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15765" windowHeight="7545" tabRatio="886"/>
  </bookViews>
  <sheets>
    <sheet name="Input" sheetId="25" r:id="rId1"/>
    <sheet name="Results" sheetId="19" r:id="rId2"/>
    <sheet name="Compare Results" sheetId="9" r:id="rId3"/>
    <sheet name="Direct End use" sheetId="20" r:id="rId4"/>
    <sheet name="Upstream" sheetId="18" r:id="rId5"/>
    <sheet name="PSE LNG Operations" sheetId="6" r:id="rId6"/>
    <sheet name="Matrix" sheetId="41" state="hidden" r:id="rId7"/>
    <sheet name="Results FEIS scenario A" sheetId="39" r:id="rId8"/>
    <sheet name="Construction Equipment" sheetId="28" r:id="rId9"/>
    <sheet name="Construction Material&amp;Power" sheetId="22" r:id="rId10"/>
    <sheet name="End use Gig Harbor" sheetId="42" r:id="rId11"/>
    <sheet name="End use On-road trucking" sheetId="43" r:id="rId12"/>
    <sheet name="End use TOTE - LNG Vessel" sheetId="31" r:id="rId13"/>
    <sheet name="End use TOTE - Fuel Oil Vessel" sheetId="30" r:id="rId14"/>
    <sheet name="Fugitives" sheetId="27" r:id="rId15"/>
    <sheet name="Factors" sheetId="2" r:id="rId16"/>
    <sheet name="Fuel_Specs" sheetId="1" r:id="rId17"/>
    <sheet name="EFs" sheetId="16" r:id="rId18"/>
    <sheet name="EF Marine Vessels spec. TOTE" sheetId="29" r:id="rId19"/>
    <sheet name=" Gas Data Fugitives" sheetId="26" r:id="rId20"/>
    <sheet name="BC_OC Ratios" sheetId="38" r:id="rId21"/>
  </sheets>
  <externalReferences>
    <externalReference r:id="rId22"/>
    <externalReference r:id="rId23"/>
    <externalReference r:id="rId24"/>
  </externalReferences>
  <definedNames>
    <definedName name="___thinkcell.lTIEE0Pf0mAsVhQ11lCfQ" hidden="1">#REF!</definedName>
    <definedName name="___thinkcell_ORl0t9y7key9DL4jBnOsg" hidden="1">#REF!</definedName>
    <definedName name="___thinkcell0lofhQCpbk6Rq3sY8kViLQ" hidden="1">#REF!</definedName>
    <definedName name="___thinkcell1pqd1Cm5oUu18NiQDsBoIg" hidden="1">#REF!</definedName>
    <definedName name="___thinkcell2Dx3fxDK9kKdx1OMtPVoMQ" hidden="1">#REF!</definedName>
    <definedName name="___thinkcell2vg4ETgHKUuDCUUpDejXJw" hidden="1">#REF!</definedName>
    <definedName name="___thinkcell4mSkG7mlMEerQx8vTPjDvg" hidden="1">'[1]Algae yield parameters'!$T$44</definedName>
    <definedName name="___thinkcell4Yi.Sujit0SMBgwOG0jTBA" hidden="1">#REF!</definedName>
    <definedName name="___thinkcell7Aucp4Uf3EOJjaMnYHi5Yg" hidden="1">#REF!</definedName>
    <definedName name="___thinkcell80tDq86GkUKICWRtZBHxRg" hidden="1">#REF!</definedName>
    <definedName name="___thinkcell8VjQUyk3EEyTr9EL.nQHZw" hidden="1">#REF!</definedName>
    <definedName name="___thinkcellAA6eiudQikODi1anfX5TSg" hidden="1">'[1]Algae yield parameters'!$Y$45</definedName>
    <definedName name="___thinkcellANYbodWfSkiYEN3_J8AhUA" hidden="1">'[1]Algae yield parameters'!$Y$32</definedName>
    <definedName name="___thinkcellApceCja_KEGHPMEEGn_Vmw" hidden="1">#REF!</definedName>
    <definedName name="___thinkcellApQR4EMYgE2_1O0O3tfDNQ" hidden="1">#REF!</definedName>
    <definedName name="___thinkcellAwi7H9e20k6JdqL9oEmcQA" hidden="1">'[1]Algae yield parameters'!$W$32</definedName>
    <definedName name="___thinkcellAwT5Xj4YS0iCm5O0LXDmZQ" hidden="1">#REF!</definedName>
    <definedName name="___thinkcellb3.bSODX_kyX.jA2RY_W6Q" hidden="1">#REF!</definedName>
    <definedName name="___thinkcellbg2farL.40a12ROCLqxMhA" hidden="1">#REF!</definedName>
    <definedName name="___thinkcellc196HtBn_kKU9bWUyMd5bQ" hidden="1">'[1]Algae yield parameters'!$Y$44</definedName>
    <definedName name="___thinkcellCaHQgaezX0W.fl0ItNh5zw" hidden="1">#REF!</definedName>
    <definedName name="___thinkcellcf1BVguSH0KzoJPmDJ649A" hidden="1">'[1]Algae yield parameters'!$V$32</definedName>
    <definedName name="___thinkcellCKG__pmMhU2imovGHJYpxQ" hidden="1">#REF!</definedName>
    <definedName name="___thinkcellDFeKwIUU.ku7_hFznPKl0Q" hidden="1">#REF!</definedName>
    <definedName name="___thinkcellE7ny7exkXUuSPOq8j.zpZw" hidden="1">#REF!</definedName>
    <definedName name="___thinkcellenijCEEEl0.nUBr8TjgaAg" hidden="1">#REF!</definedName>
    <definedName name="___thinkcellfgxU1bXbjkWQCC.VRwOCCA" hidden="1">#REF!</definedName>
    <definedName name="___thinkcellH8DPoqoc1Ei9cduvUIfF7Q" hidden="1">#REF!</definedName>
    <definedName name="___thinkcellHMj2Edha7UCZwzoX8xrWqA" hidden="1">#REF!</definedName>
    <definedName name="___thinkcellJEFANpje.0WyKp9CNjsHkA" hidden="1">#REF!</definedName>
    <definedName name="___thinkcellk.x4EZ_.CkyjbPVRIKQkNQ" hidden="1">#REF!</definedName>
    <definedName name="___thinkcellK5ZMV9KUeEe.NKmwRkTJBw" hidden="1">'[1]Algae yield parameters'!$X$44</definedName>
    <definedName name="___thinkcellkpGefu6UGk.GQSI2a6PhgA" hidden="1">'[1]Algae yield parameters'!$V$45</definedName>
    <definedName name="___thinkcellKz7A0JurMECKvoDw92MXRA" hidden="1">'[1]Algae yield parameters'!$V$44</definedName>
    <definedName name="___thinkcellL83c_plYski4j0N3q0MJyw" hidden="1">#REF!</definedName>
    <definedName name="___thinkcellLekt07j.ekere0ctoBM2.w" hidden="1">'[1]Algae yield parameters'!$U$44</definedName>
    <definedName name="___thinkcellLfXzZkGBKkexIfdV7q_0Sg" hidden="1">#REF!</definedName>
    <definedName name="___thinkcellM2LNKJuWaE20gr0D26Yn0Q" hidden="1">#REF!</definedName>
    <definedName name="___thinkcellMh1dyZP1eEGKb7JWybPqQA" hidden="1">#REF!</definedName>
    <definedName name="___thinkcellmmHf1qbB0U.Mh7qX_ISlOw" hidden="1">#REF!</definedName>
    <definedName name="___thinkcellmx_TwiOnyUmaN7kcdj4Z3g" hidden="1">#REF!</definedName>
    <definedName name="___thinkcellMYI2unEwf0SgUwvUnICxHw" hidden="1">'[1]Algae yield parameters'!$Z$44</definedName>
    <definedName name="___thinkcelln6J9uHjW90Ok4cKjHJoRow" hidden="1">'[1]Algae yield parameters'!$Z$32</definedName>
    <definedName name="___thinkcellnfsUulKdcEmPL.TVaK6qHQ" hidden="1">'[1]Algae yield parameters'!$W$43</definedName>
    <definedName name="___thinkcellO.aO5A2.oEOsE0VYMA4UNw" hidden="1">'[1]Algae yield parameters'!$X$43</definedName>
    <definedName name="___thinkcellpiMVS2vRS0.Z2YHuMxO2jw" hidden="1">#REF!</definedName>
    <definedName name="___thinkcellpQf6xzzg5E6yVEgipyAwyQ" hidden="1">#REF!</definedName>
    <definedName name="___thinkcellq_E6G_cdgEe__20eVIIzDQ" hidden="1">'[1]Algae yield parameters'!$W$45</definedName>
    <definedName name="___thinkcellQkYTEZO9R0O1vQOtkS6KQQ" hidden="1">#REF!</definedName>
    <definedName name="___thinkcellqUmHtsvwTk2tdnQA2rp3zA" hidden="1">#REF!</definedName>
    <definedName name="___thinkcellqVmjya.xs0K5Xe5GV.e8MQ" hidden="1">'[1]Algae yield parameters'!$W$44</definedName>
    <definedName name="___thinkcellR2Ntthtx7kefyuBd.QT_kQ" hidden="1">#REF!</definedName>
    <definedName name="___thinkcellr7b0EThzKk.d0wG6oTcUlA" hidden="1">#REF!</definedName>
    <definedName name="___thinkcellra4HW0fvdU6DURhrBQCRkg" hidden="1">#REF!</definedName>
    <definedName name="___thinkcellRhEOzRBbMkCDpipYQ76hsQ" hidden="1">#REF!</definedName>
    <definedName name="___thinkcellriZn6O1o00.74SgEniviAw" hidden="1">#REF!</definedName>
    <definedName name="___thinkcellst852ZYSBkKDOgwOM_ayPg" hidden="1">#REF!</definedName>
    <definedName name="___thinkcellsulWYtT4ikGN2IwVqxwe5A" hidden="1">#REF!</definedName>
    <definedName name="___thinkcellT_4fExM7oUG.AxX95G2few" hidden="1">#REF!</definedName>
    <definedName name="___thinkcelltUL5GDLlhUaaESwam.EqCg" hidden="1">'[1]Algae yield parameters'!$Z$45</definedName>
    <definedName name="___thinkcellU2uz9lE6E0myOYIlZvAviA" hidden="1">'[1]Algae yield parameters'!$Y$43</definedName>
    <definedName name="___thinkcellUorO0sSE1UeL8DymNH2AsA" hidden="1">#REF!</definedName>
    <definedName name="___thinkcellWelG5euOokaIZU429fd7CQ" hidden="1">#REF!</definedName>
    <definedName name="___thinkcellwSNF0u9xMk26f_hO_Pe79w" hidden="1">#REF!</definedName>
    <definedName name="___thinkcellwwNnKJnWmESMRBAiOkIMIg" hidden="1">'[1]Algae yield parameters'!$Z$43</definedName>
    <definedName name="___thinkcellYhfdIxC3X0WcY1JKtbQ7Rg" hidden="1">#REF!</definedName>
    <definedName name="___thinkcellyipzjC6K4EiZS1m2HDKaBQ" hidden="1">#REF!</definedName>
    <definedName name="___thinkcellyLq8Jc.Yc0KPjMiRnxGpwg" hidden="1">'[1]Algae yield parameters'!$X$32</definedName>
    <definedName name="___thinkcellynitct4Jek.DyWfHPTNeMw" hidden="1">#REF!</definedName>
    <definedName name="___thinkcellYXZlGEYN0UaTzbZ9NcJxig" hidden="1">#REF!</definedName>
    <definedName name="___thinkcellZMNSkKJe8EaMMRMbJEvQsw" hidden="1">'[1]Algae yield parameters'!$X$45</definedName>
    <definedName name="__123Graph_A" localSheetId="19" hidden="1">#REF!</definedName>
    <definedName name="__123Graph_A" localSheetId="14" hidden="1">#REF!</definedName>
    <definedName name="__123Graph_X" localSheetId="19" hidden="1">#REF!</definedName>
    <definedName name="__123Graph_X" localSheetId="14"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ef514137621" localSheetId="4">Upstream!$B$124</definedName>
    <definedName name="acreperhectare">Factors!$C$47</definedName>
    <definedName name="BD_LHV">#REF!</definedName>
    <definedName name="BtuperkWh">Factors!$C$37</definedName>
    <definedName name="BtuperMJ">Factors!$C$36</definedName>
    <definedName name="C_MW">Factors!$D$14</definedName>
    <definedName name="Ca_MW">Factors!$D$18</definedName>
    <definedName name="CarVMTmiles">'Construction Equipment'!$C$326</definedName>
    <definedName name="CBWorkbookPriority" hidden="1">-717469739</definedName>
    <definedName name="CF">#REF!</definedName>
    <definedName name="CFtarget">#REF!</definedName>
    <definedName name="CH4_C_Ratio">Factors!$C$29</definedName>
    <definedName name="CH4_GWP">Factors!$C$9</definedName>
    <definedName name="CH4_MW">Factors!$D$9</definedName>
    <definedName name="Cl_MW">Factors!$D$19</definedName>
    <definedName name="CO_C_Ratio">Factors!$C$28</definedName>
    <definedName name="CO_GWP">Factors!$C$12</definedName>
    <definedName name="CO_MW">Factors!$D$12</definedName>
    <definedName name="CO2_C_Ratio">Factors!$C$30</definedName>
    <definedName name="CO2_GWP">Factors!$C$8</definedName>
    <definedName name="CO2_MW">Factors!$D$8</definedName>
    <definedName name="conv">#REF!</definedName>
    <definedName name="convergence">#REF!</definedName>
    <definedName name="Cv">#REF!</definedName>
    <definedName name="FF">#REF!</definedName>
    <definedName name="galMeOHpertonne">Fuel_Specs!$W$19</definedName>
    <definedName name="gperlb">Factors!$C$39</definedName>
    <definedName name="gtpower">#REF!</definedName>
    <definedName name="H_MW">Factors!$D$15</definedName>
    <definedName name="iterations">#REF!</definedName>
    <definedName name="jdafsl">#REF!</definedName>
    <definedName name="JperBtu">Factors!$C$35</definedName>
    <definedName name="K_MW">Factors!$D$23</definedName>
    <definedName name="km_mi">Factors!$C$52</definedName>
    <definedName name="kmpermi">Factors!$C$52</definedName>
    <definedName name="KO">#REF!</definedName>
    <definedName name="KOratio">#REF!</definedName>
    <definedName name="kwperhp">Factors!$C$56</definedName>
    <definedName name="lbperkg">Factors!$C$42</definedName>
    <definedName name="Lpergal">Factors!$C$45</definedName>
    <definedName name="Lpergmol">Factors!$C$54</definedName>
    <definedName name="MeOH_HHVt">[2]Fuel_Specs!$AA$19</definedName>
    <definedName name="MeOH_LHVt">[2]Fuel_Specs!$Y$19</definedName>
    <definedName name="mipernaut">Factors!$C$50</definedName>
    <definedName name="mmBTU2MJ">[3]Fuel_Specs!$H$148</definedName>
    <definedName name="N_MW">Factors!$D$17</definedName>
    <definedName name="N2O_GWP">Factors!$C$10</definedName>
    <definedName name="N2O_MW">Factors!$D$10</definedName>
    <definedName name="Na_MW">Factors!$D$20</definedName>
    <definedName name="NG_HHVt">[2]Fuel_Specs!$AA$46</definedName>
    <definedName name="NO2_GWP">Factors!$C$13</definedName>
    <definedName name="NO2_MW">Factors!$D$13</definedName>
    <definedName name="O_MW">Factors!$D$16</definedName>
    <definedName name="OR">#REF!</definedName>
    <definedName name="ORtarget">#REF!</definedName>
    <definedName name="P_MW">Factors!$D$22</definedName>
    <definedName name="Pal_Workbook_GUID" hidden="1">"9LST3G56W5URFQ4RF6NCNAG4"</definedName>
    <definedName name="powersurplus">#REF!</definedName>
    <definedName name="_xlnm.Print_Area" localSheetId="19">' Gas Data Fugitives'!$A$4:$K$23</definedName>
    <definedName name="_xlnm.Print_Area" localSheetId="20">'BC_OC Ratios'!$A$1</definedName>
    <definedName name="_xlnm.Print_Area" localSheetId="9">'Construction Material&amp;Power'!$A$1:$I$43</definedName>
    <definedName name="_xlnm.Print_Area" localSheetId="3">'Direct End use'!$C$1:$H$137</definedName>
    <definedName name="_xlnm.Print_Area" localSheetId="18">'EF Marine Vessels spec. TOTE'!$A$1:$U$112</definedName>
    <definedName name="_xlnm.Print_Area" localSheetId="11">'End use On-road trucking'!$A$1:$K$23</definedName>
    <definedName name="_xlnm.Print_Area" localSheetId="13">'End use TOTE - Fuel Oil Vessel'!$A$1:$R$90</definedName>
    <definedName name="_xlnm.Print_Area" localSheetId="12">'End use TOTE - LNG Vessel'!$A$1:$S$91</definedName>
    <definedName name="_xlnm.Print_Area" localSheetId="14">Fugitives!$B$3:$N$88</definedName>
    <definedName name="_xlnm.Print_Area" localSheetId="0">Input!$A$1:$Q$247</definedName>
    <definedName name="_xlnm.Print_Area" localSheetId="5">'PSE LNG Operations'!$A$1</definedName>
    <definedName name="_xlnm.Print_Area" localSheetId="1">Results!$A$1:$Y$55</definedName>
    <definedName name="_xlnm.Print_Area" localSheetId="7">'Results FEIS scenario A'!$B$1</definedName>
    <definedName name="recy">#REF!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SwapState" hidden="1">TRUE</definedName>
    <definedName name="RiskUpdateDisplay" hidden="1">FALSE</definedName>
    <definedName name="RiskUseDifferentSeedForEachSim" hidden="1">FALSE</definedName>
    <definedName name="RiskUseFixedSeed" hidden="1">FALSE</definedName>
    <definedName name="RiskUseMultipleCPUs" hidden="1">FALSE</definedName>
    <definedName name="RR">#REF!</definedName>
    <definedName name="S_MW">Factors!$D$21</definedName>
    <definedName name="scenario">Input!$C$21</definedName>
    <definedName name="scfperlbmol">Factors!$C$53</definedName>
    <definedName name="scfperm3">Factors!$C$44</definedName>
    <definedName name="shorttonpertonne">Factors!$C$41</definedName>
    <definedName name="SO2_S_Ratio">Factors!$C$31</definedName>
    <definedName name="tolerance">#REF!</definedName>
    <definedName name="tonneperton">Factors!$C$40</definedName>
    <definedName name="TruckVMTmiles">'Construction Equipment'!$C$327</definedName>
    <definedName name="VOC_C_Ratio">Factors!$C$27</definedName>
    <definedName name="VOC_GWP">Factors!$C$11</definedName>
    <definedName name="VOC_MW">Factors!$D$11</definedName>
    <definedName name="Xperpass">#REF!</definedName>
  </definedNames>
  <calcPr calcId="162913" calcMode="manual" iterate="1" iterateDelta="1.0000000000000001E-5"/>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T150" i="25" l="1"/>
  <c r="F119" i="6" l="1"/>
  <c r="J50" i="19"/>
  <c r="P72" i="19"/>
  <c r="P71" i="19"/>
  <c r="Q73" i="19"/>
  <c r="P73" i="19" l="1"/>
  <c r="D11" i="25"/>
  <c r="D16" i="25"/>
  <c r="D12" i="25"/>
  <c r="D13" i="25"/>
  <c r="D14" i="25"/>
  <c r="D15" i="25"/>
  <c r="D10" i="25" l="1"/>
  <c r="F115" i="6" l="1"/>
  <c r="K61" i="19" l="1"/>
  <c r="L61" i="19"/>
  <c r="K62" i="19"/>
  <c r="L62" i="19"/>
  <c r="K63" i="19"/>
  <c r="L63" i="19"/>
  <c r="A19" i="20" l="1"/>
  <c r="B86" i="20" s="1"/>
  <c r="B78" i="19"/>
  <c r="B79" i="19"/>
  <c r="B80" i="19"/>
  <c r="B81" i="19"/>
  <c r="B82" i="19"/>
  <c r="B77" i="19"/>
  <c r="C68" i="19"/>
  <c r="D68" i="19"/>
  <c r="B72" i="19"/>
  <c r="B65" i="19"/>
  <c r="B66" i="19"/>
  <c r="B67" i="19"/>
  <c r="B68" i="19"/>
  <c r="B69" i="19"/>
  <c r="B70" i="19"/>
  <c r="B71" i="19"/>
  <c r="B64" i="19"/>
  <c r="E138" i="25" l="1"/>
  <c r="F138" i="25"/>
  <c r="E139" i="25"/>
  <c r="F139" i="25"/>
  <c r="E140" i="25"/>
  <c r="F140" i="25"/>
  <c r="E141" i="25"/>
  <c r="F141" i="25"/>
  <c r="E142" i="25"/>
  <c r="F142" i="25"/>
  <c r="E143" i="25"/>
  <c r="F143" i="25"/>
  <c r="D139" i="25"/>
  <c r="D140" i="25"/>
  <c r="D141" i="25"/>
  <c r="D142" i="25"/>
  <c r="D143" i="25"/>
  <c r="P138" i="25"/>
  <c r="Q138" i="25"/>
  <c r="P139" i="25"/>
  <c r="Q139" i="25"/>
  <c r="O139" i="25"/>
  <c r="O138" i="25"/>
  <c r="D138" i="25"/>
  <c r="J138" i="6"/>
  <c r="D37" i="25"/>
  <c r="I140" i="6" l="1"/>
  <c r="I136" i="6"/>
  <c r="I134" i="6"/>
  <c r="I132" i="6"/>
  <c r="D163" i="25"/>
  <c r="G31" i="20" l="1"/>
  <c r="D132" i="25" l="1"/>
  <c r="E132" i="25"/>
  <c r="F132" i="25"/>
  <c r="G132" i="25"/>
  <c r="H132" i="25"/>
  <c r="C132" i="25"/>
  <c r="I132" i="25" s="1"/>
  <c r="F24" i="1"/>
  <c r="F25" i="1"/>
  <c r="K90" i="25"/>
  <c r="I90" i="25"/>
  <c r="J90" i="25" s="1"/>
  <c r="E83" i="25"/>
  <c r="F83" i="25"/>
  <c r="G83" i="25"/>
  <c r="H83" i="25"/>
  <c r="C83" i="25"/>
  <c r="F81" i="2"/>
  <c r="F80" i="2"/>
  <c r="F18" i="22"/>
  <c r="F19" i="22"/>
  <c r="F20" i="22"/>
  <c r="F21" i="22"/>
  <c r="F22" i="22"/>
  <c r="F23" i="22"/>
  <c r="F24" i="22"/>
  <c r="G130" i="18" l="1"/>
  <c r="E149" i="25" l="1"/>
  <c r="F149" i="25"/>
  <c r="E150" i="25"/>
  <c r="F150" i="25"/>
  <c r="E152" i="25"/>
  <c r="F152" i="25"/>
  <c r="E153" i="25"/>
  <c r="F153" i="25"/>
  <c r="D150" i="25"/>
  <c r="D152" i="25"/>
  <c r="D153" i="25"/>
  <c r="D149" i="25"/>
  <c r="G139" i="25"/>
  <c r="G140" i="25"/>
  <c r="G141" i="25"/>
  <c r="G142" i="25"/>
  <c r="G143" i="25"/>
  <c r="G155" i="25"/>
  <c r="G156" i="25"/>
  <c r="G157" i="25"/>
  <c r="G158" i="25"/>
  <c r="G159" i="25"/>
  <c r="G160" i="25"/>
  <c r="G161" i="25"/>
  <c r="G162" i="25"/>
  <c r="G138" i="25"/>
  <c r="G153" i="25" l="1"/>
  <c r="G150" i="25"/>
  <c r="G152" i="25"/>
  <c r="G149" i="25"/>
  <c r="B63" i="19"/>
  <c r="B62" i="19"/>
  <c r="B61" i="19"/>
  <c r="B76" i="19"/>
  <c r="B74" i="19"/>
  <c r="D115" i="20" l="1"/>
  <c r="D116" i="20"/>
  <c r="C116" i="20"/>
  <c r="C115" i="20"/>
  <c r="D91" i="20"/>
  <c r="D92" i="20"/>
  <c r="C92" i="20"/>
  <c r="C91" i="20"/>
  <c r="B35" i="25" l="1"/>
  <c r="I100" i="6" l="1"/>
  <c r="I101" i="6" s="1"/>
  <c r="D11" i="42" l="1"/>
  <c r="D90" i="6"/>
  <c r="C90" i="6"/>
  <c r="C89" i="6"/>
  <c r="A108" i="20" l="1"/>
  <c r="C45" i="20"/>
  <c r="C131" i="20"/>
  <c r="C74" i="20"/>
  <c r="B58" i="19"/>
  <c r="G35" i="20" l="1"/>
  <c r="H32" i="20"/>
  <c r="H36" i="20"/>
  <c r="H37" i="20"/>
  <c r="H40" i="20"/>
  <c r="H41" i="20"/>
  <c r="E25" i="1" l="1"/>
  <c r="K81" i="25" l="1"/>
  <c r="L82" i="25" s="1"/>
  <c r="E144" i="25"/>
  <c r="F144" i="25"/>
  <c r="D144" i="25"/>
  <c r="E154" i="25"/>
  <c r="F154" i="25"/>
  <c r="D154" i="25"/>
  <c r="G144" i="25" l="1"/>
  <c r="G154" i="25"/>
  <c r="D44" i="25"/>
  <c r="D42" i="25"/>
  <c r="D38" i="25"/>
  <c r="D39" i="25"/>
  <c r="D57" i="25"/>
  <c r="D15" i="18" s="1"/>
  <c r="BA52" i="6" s="1"/>
  <c r="C57" i="25"/>
  <c r="C15" i="18" s="1"/>
  <c r="BA41" i="6" s="1"/>
  <c r="J9" i="6"/>
  <c r="M16" i="25"/>
  <c r="I15" i="25"/>
  <c r="M15" i="25" s="1"/>
  <c r="I14" i="25"/>
  <c r="M14" i="25" s="1"/>
  <c r="I13" i="25"/>
  <c r="M13" i="25" s="1"/>
  <c r="I12" i="25"/>
  <c r="M12" i="25" s="1"/>
  <c r="I11" i="25"/>
  <c r="M11" i="25" s="1"/>
  <c r="BA42" i="6" l="1"/>
  <c r="E15" i="18"/>
  <c r="D9" i="6"/>
  <c r="J10" i="6"/>
  <c r="D11" i="6"/>
  <c r="V40" i="6"/>
  <c r="I10" i="25"/>
  <c r="D15" i="43"/>
  <c r="E15" i="43"/>
  <c r="C15" i="43"/>
  <c r="E11" i="42"/>
  <c r="E9" i="42"/>
  <c r="D9" i="42"/>
  <c r="C103" i="18"/>
  <c r="D103" i="18"/>
  <c r="E103" i="18"/>
  <c r="E102" i="18"/>
  <c r="D102" i="18"/>
  <c r="C102" i="18"/>
  <c r="E101" i="18"/>
  <c r="D101" i="18"/>
  <c r="C101" i="18"/>
  <c r="E100" i="18"/>
  <c r="D100" i="18"/>
  <c r="C100" i="18"/>
  <c r="E99" i="18"/>
  <c r="D99" i="18"/>
  <c r="C99" i="18"/>
  <c r="E98" i="18"/>
  <c r="D98" i="18"/>
  <c r="C98" i="18"/>
  <c r="E97" i="18"/>
  <c r="D97" i="18"/>
  <c r="C97" i="18"/>
  <c r="E94" i="18"/>
  <c r="D94" i="18"/>
  <c r="C94" i="18"/>
  <c r="E93" i="18"/>
  <c r="D93" i="18"/>
  <c r="C93" i="18"/>
  <c r="E92" i="18"/>
  <c r="D92" i="18"/>
  <c r="C92" i="18"/>
  <c r="E91" i="18"/>
  <c r="D91" i="18"/>
  <c r="C91" i="18"/>
  <c r="E90" i="18"/>
  <c r="D90" i="18"/>
  <c r="C90" i="18"/>
  <c r="E89" i="18"/>
  <c r="D89" i="18"/>
  <c r="C89" i="18"/>
  <c r="D81" i="18"/>
  <c r="E81" i="18"/>
  <c r="D82" i="18"/>
  <c r="E82" i="18"/>
  <c r="D83" i="18"/>
  <c r="E83" i="18"/>
  <c r="D84" i="18"/>
  <c r="E84" i="18"/>
  <c r="D85" i="18"/>
  <c r="E85" i="18"/>
  <c r="D86" i="18"/>
  <c r="E86" i="18"/>
  <c r="C82" i="18"/>
  <c r="C83" i="18"/>
  <c r="C84" i="18"/>
  <c r="C85" i="18"/>
  <c r="C86" i="18"/>
  <c r="C81" i="18"/>
  <c r="D222" i="25"/>
  <c r="E222" i="25"/>
  <c r="C222" i="25"/>
  <c r="E213" i="25"/>
  <c r="D213" i="25"/>
  <c r="C213" i="25"/>
  <c r="D205" i="25"/>
  <c r="E205" i="25"/>
  <c r="C205" i="25"/>
  <c r="C95" i="18" l="1"/>
  <c r="D87" i="18"/>
  <c r="E87" i="18"/>
  <c r="E95" i="18"/>
  <c r="C87" i="18"/>
  <c r="D95" i="18"/>
  <c r="C104" i="18"/>
  <c r="F82" i="18"/>
  <c r="F83" i="18"/>
  <c r="F84" i="18"/>
  <c r="F85" i="18"/>
  <c r="F86" i="18"/>
  <c r="F81" i="18"/>
  <c r="F90" i="18"/>
  <c r="F91" i="18"/>
  <c r="F92" i="18"/>
  <c r="F93" i="18"/>
  <c r="F94" i="18"/>
  <c r="F89" i="18"/>
  <c r="D104" i="18"/>
  <c r="E104" i="18"/>
  <c r="F104" i="18"/>
  <c r="H57" i="25"/>
  <c r="F82" i="2"/>
  <c r="E81" i="2"/>
  <c r="AE15" i="16"/>
  <c r="AH15" i="16"/>
  <c r="H66" i="6"/>
  <c r="E80" i="2"/>
  <c r="G66" i="6" s="1"/>
  <c r="F95" i="18" l="1"/>
  <c r="D81" i="2"/>
  <c r="J16" i="25" l="1"/>
  <c r="J15" i="25"/>
  <c r="J14" i="25"/>
  <c r="J13" i="25"/>
  <c r="J12" i="25"/>
  <c r="J11" i="25"/>
  <c r="AU32" i="6" l="1"/>
  <c r="F65" i="6" l="1"/>
  <c r="C41" i="18" l="1"/>
  <c r="O11" i="6" l="1"/>
  <c r="J19" i="6"/>
  <c r="D22" i="6"/>
  <c r="O9" i="6"/>
  <c r="D14" i="6"/>
  <c r="C69" i="18"/>
  <c r="C70" i="18"/>
  <c r="C72" i="18"/>
  <c r="C73" i="18"/>
  <c r="C75" i="18"/>
  <c r="C76" i="18"/>
  <c r="C68" i="18"/>
  <c r="C64" i="18"/>
  <c r="C57" i="18"/>
  <c r="G24" i="25"/>
  <c r="B36" i="18" s="1"/>
  <c r="C35" i="18"/>
  <c r="F27" i="18"/>
  <c r="G27" i="18"/>
  <c r="E28" i="18"/>
  <c r="F28" i="18"/>
  <c r="G28" i="18"/>
  <c r="C46" i="18"/>
  <c r="F29" i="18"/>
  <c r="G29" i="18"/>
  <c r="F30" i="18"/>
  <c r="G30" i="18"/>
  <c r="F31" i="18"/>
  <c r="G31" i="18"/>
  <c r="F32" i="18"/>
  <c r="G32" i="18"/>
  <c r="F33" i="18"/>
  <c r="G33" i="18"/>
  <c r="F34" i="18"/>
  <c r="G34" i="18"/>
  <c r="E30" i="18"/>
  <c r="E31" i="18"/>
  <c r="E32" i="18"/>
  <c r="E33" i="18"/>
  <c r="E34" i="18"/>
  <c r="E5" i="18"/>
  <c r="F5" i="18"/>
  <c r="E6" i="18"/>
  <c r="F6" i="18"/>
  <c r="E7" i="18"/>
  <c r="F7" i="18"/>
  <c r="E8" i="18"/>
  <c r="F8" i="18"/>
  <c r="E9" i="18"/>
  <c r="F9" i="18"/>
  <c r="E10" i="18"/>
  <c r="F10" i="18"/>
  <c r="D10" i="18"/>
  <c r="D9" i="18"/>
  <c r="D8" i="18"/>
  <c r="D7" i="18"/>
  <c r="D6" i="18"/>
  <c r="D5" i="18"/>
  <c r="G128" i="18" l="1"/>
  <c r="C36" i="18"/>
  <c r="C42" i="18" s="1"/>
  <c r="C37" i="18"/>
  <c r="F37" i="18" s="1"/>
  <c r="C52" i="18"/>
  <c r="C47" i="18"/>
  <c r="H28" i="18"/>
  <c r="H34" i="18"/>
  <c r="I34" i="18" s="1"/>
  <c r="J34" i="18" s="1"/>
  <c r="H32" i="18"/>
  <c r="H30" i="18"/>
  <c r="H33" i="18"/>
  <c r="H31" i="18"/>
  <c r="I32" i="18" l="1"/>
  <c r="J32" i="18" s="1"/>
  <c r="E37" i="18"/>
  <c r="G37" i="18"/>
  <c r="F36" i="18"/>
  <c r="E42" i="18" s="1"/>
  <c r="G36" i="18"/>
  <c r="D89" i="6"/>
  <c r="F111" i="6"/>
  <c r="C81" i="20"/>
  <c r="C77" i="20"/>
  <c r="C76" i="20"/>
  <c r="C78" i="20"/>
  <c r="C79" i="20"/>
  <c r="C80" i="20"/>
  <c r="C82" i="20"/>
  <c r="D75" i="20"/>
  <c r="E75" i="20"/>
  <c r="C75" i="20"/>
  <c r="H119" i="6" l="1"/>
  <c r="G119" i="6" s="1"/>
  <c r="H115" i="6" s="1"/>
  <c r="E124" i="6"/>
  <c r="E125" i="6"/>
  <c r="E123" i="6"/>
  <c r="H37" i="18"/>
  <c r="F47" i="18"/>
  <c r="F42" i="18"/>
  <c r="G115" i="6" l="1"/>
  <c r="H111" i="6" l="1"/>
  <c r="G111" i="6" l="1"/>
  <c r="C112" i="29" l="1"/>
  <c r="C111" i="29"/>
  <c r="C110" i="29"/>
  <c r="E68" i="2" l="1"/>
  <c r="E74" i="2"/>
  <c r="O2" i="39" l="1"/>
  <c r="I6" i="39" l="1"/>
  <c r="K26" i="39"/>
  <c r="I20" i="39"/>
  <c r="N23" i="39"/>
  <c r="I5" i="39"/>
  <c r="M5" i="39"/>
  <c r="K5" i="39"/>
  <c r="N29" i="39"/>
  <c r="L29" i="39"/>
  <c r="J29" i="39"/>
  <c r="N28" i="39"/>
  <c r="L28" i="39"/>
  <c r="J28" i="39"/>
  <c r="N27" i="39"/>
  <c r="L27" i="39"/>
  <c r="J27" i="39"/>
  <c r="N26" i="39"/>
  <c r="L26" i="39"/>
  <c r="J26" i="39"/>
  <c r="N25" i="39"/>
  <c r="L25" i="39"/>
  <c r="J25" i="39"/>
  <c r="N24" i="39"/>
  <c r="L24" i="39"/>
  <c r="J24" i="39"/>
  <c r="L23" i="39"/>
  <c r="J23" i="39"/>
  <c r="N22" i="39"/>
  <c r="L22" i="39"/>
  <c r="J22" i="39"/>
  <c r="N21" i="39"/>
  <c r="L21" i="39"/>
  <c r="J21" i="39"/>
  <c r="N20" i="39"/>
  <c r="L20" i="39"/>
  <c r="J20" i="39"/>
  <c r="N19" i="39"/>
  <c r="L19" i="39"/>
  <c r="J19" i="39"/>
  <c r="N18" i="39"/>
  <c r="L18" i="39"/>
  <c r="J18" i="39"/>
  <c r="N17" i="39"/>
  <c r="L17" i="39"/>
  <c r="J17" i="39"/>
  <c r="N16" i="39"/>
  <c r="L16" i="39"/>
  <c r="J16" i="39"/>
  <c r="N15" i="39"/>
  <c r="L15" i="39"/>
  <c r="J15" i="39"/>
  <c r="N14" i="39"/>
  <c r="L14" i="39"/>
  <c r="J14" i="39"/>
  <c r="N13" i="39"/>
  <c r="L13" i="39"/>
  <c r="J13" i="39"/>
  <c r="N12" i="39"/>
  <c r="L12" i="39"/>
  <c r="J12" i="39"/>
  <c r="N11" i="39"/>
  <c r="L11" i="39"/>
  <c r="J11" i="39"/>
  <c r="N10" i="39"/>
  <c r="L10" i="39"/>
  <c r="J10" i="39"/>
  <c r="N9" i="39"/>
  <c r="L9" i="39"/>
  <c r="J9" i="39"/>
  <c r="N8" i="39"/>
  <c r="L8" i="39"/>
  <c r="J8" i="39"/>
  <c r="N7" i="39"/>
  <c r="L7" i="39"/>
  <c r="J7" i="39"/>
  <c r="N6" i="39"/>
  <c r="L6" i="39"/>
  <c r="J6" i="39"/>
  <c r="N5" i="39"/>
  <c r="L5" i="39"/>
  <c r="J5" i="39"/>
  <c r="M29" i="39"/>
  <c r="K29" i="39"/>
  <c r="I29" i="39"/>
  <c r="M28" i="39"/>
  <c r="K28" i="39"/>
  <c r="I28" i="39"/>
  <c r="M27" i="39"/>
  <c r="K27" i="39"/>
  <c r="I27" i="39"/>
  <c r="M26" i="39"/>
  <c r="I26" i="39"/>
  <c r="M25" i="39"/>
  <c r="K25" i="39"/>
  <c r="I25" i="39"/>
  <c r="M24" i="39"/>
  <c r="K24" i="39"/>
  <c r="I24" i="39"/>
  <c r="M23" i="39"/>
  <c r="K23" i="39"/>
  <c r="I23" i="39"/>
  <c r="M22" i="39"/>
  <c r="K22" i="39"/>
  <c r="I22" i="39"/>
  <c r="M21" i="39"/>
  <c r="K21" i="39"/>
  <c r="I21" i="39"/>
  <c r="M20" i="39"/>
  <c r="K20" i="39"/>
  <c r="M19" i="39"/>
  <c r="K19" i="39"/>
  <c r="I19" i="39"/>
  <c r="M18" i="39"/>
  <c r="K18" i="39"/>
  <c r="I18" i="39"/>
  <c r="M17" i="39"/>
  <c r="K17" i="39"/>
  <c r="I17" i="39"/>
  <c r="M16" i="39"/>
  <c r="K16" i="39"/>
  <c r="I16" i="39"/>
  <c r="M15" i="39"/>
  <c r="K15" i="39"/>
  <c r="I15" i="39"/>
  <c r="M14" i="39"/>
  <c r="K14" i="39"/>
  <c r="I14" i="39"/>
  <c r="M13" i="39"/>
  <c r="K13" i="39"/>
  <c r="I13" i="39"/>
  <c r="M12" i="39"/>
  <c r="K12" i="39"/>
  <c r="I12" i="39"/>
  <c r="M11" i="39"/>
  <c r="K11" i="39"/>
  <c r="I11" i="39"/>
  <c r="M10" i="39"/>
  <c r="K10" i="39"/>
  <c r="I10" i="39"/>
  <c r="M9" i="39"/>
  <c r="K9" i="39"/>
  <c r="E7" i="9" s="1"/>
  <c r="I9" i="39"/>
  <c r="M8" i="39"/>
  <c r="K8" i="39"/>
  <c r="I8" i="39"/>
  <c r="M7" i="39"/>
  <c r="K7" i="39"/>
  <c r="I7" i="39"/>
  <c r="M6" i="39"/>
  <c r="K6" i="39"/>
  <c r="E8" i="9" l="1"/>
  <c r="F6" i="9"/>
  <c r="F8" i="9"/>
  <c r="E6" i="9"/>
  <c r="C18" i="31"/>
  <c r="G39" i="20"/>
  <c r="F9" i="9" l="1"/>
  <c r="S2" i="1" l="1"/>
  <c r="F20" i="31"/>
  <c r="E20" i="31"/>
  <c r="C20" i="31"/>
  <c r="F19" i="31"/>
  <c r="E19" i="31"/>
  <c r="D19" i="31"/>
  <c r="C19" i="31"/>
  <c r="F18" i="31"/>
  <c r="E18" i="31"/>
  <c r="D18" i="31"/>
  <c r="F19" i="30"/>
  <c r="E19" i="30"/>
  <c r="C19" i="30"/>
  <c r="F18" i="30"/>
  <c r="E18" i="30"/>
  <c r="D18" i="30"/>
  <c r="C18" i="30"/>
  <c r="F17" i="30"/>
  <c r="E17" i="30"/>
  <c r="D17" i="30"/>
  <c r="C17" i="30"/>
  <c r="L104" i="29"/>
  <c r="K104" i="29"/>
  <c r="J104" i="29"/>
  <c r="I104" i="29"/>
  <c r="H104" i="29"/>
  <c r="G104" i="29"/>
  <c r="F104" i="29"/>
  <c r="E104" i="29"/>
  <c r="D104" i="29"/>
  <c r="C104" i="29"/>
  <c r="S60" i="29"/>
  <c r="R60" i="29"/>
  <c r="Q60" i="29"/>
  <c r="P60" i="29"/>
  <c r="J60" i="29"/>
  <c r="I60" i="29"/>
  <c r="G60" i="29"/>
  <c r="F60" i="29"/>
  <c r="E60" i="29"/>
  <c r="D60" i="29"/>
  <c r="P59" i="29"/>
  <c r="L75" i="30" s="1"/>
  <c r="D59" i="29"/>
  <c r="D75" i="30" s="1"/>
  <c r="S54" i="29"/>
  <c r="Q54" i="29"/>
  <c r="P54" i="29"/>
  <c r="K54" i="29"/>
  <c r="J54" i="29"/>
  <c r="I54" i="29"/>
  <c r="G54" i="29"/>
  <c r="E54" i="29"/>
  <c r="D54" i="29"/>
  <c r="S53" i="29"/>
  <c r="Q53" i="29"/>
  <c r="P53" i="29"/>
  <c r="H53" i="29"/>
  <c r="G53" i="29"/>
  <c r="E53" i="29"/>
  <c r="D53" i="29"/>
  <c r="P52" i="29"/>
  <c r="D52" i="29"/>
  <c r="P51" i="29"/>
  <c r="D51" i="29"/>
  <c r="P50" i="29"/>
  <c r="L85" i="30" s="1"/>
  <c r="D50" i="29"/>
  <c r="R17" i="29"/>
  <c r="P17" i="29"/>
  <c r="D17" i="29"/>
  <c r="R16" i="29"/>
  <c r="P16" i="29"/>
  <c r="D16" i="29"/>
  <c r="P15" i="29"/>
  <c r="H15" i="29"/>
  <c r="H54" i="29" s="1"/>
  <c r="F15" i="29"/>
  <c r="F54" i="29" s="1"/>
  <c r="D15" i="29"/>
  <c r="P14" i="29"/>
  <c r="K14" i="29"/>
  <c r="K53" i="29" s="1"/>
  <c r="J14" i="29"/>
  <c r="J53" i="29" s="1"/>
  <c r="I14" i="29"/>
  <c r="I53" i="29" s="1"/>
  <c r="F14" i="29"/>
  <c r="F53" i="29" s="1"/>
  <c r="D14" i="29"/>
  <c r="P13" i="29"/>
  <c r="D13" i="29"/>
  <c r="P12" i="29"/>
  <c r="D12" i="29"/>
  <c r="P11" i="29"/>
  <c r="D11" i="29"/>
  <c r="P10" i="29"/>
  <c r="D10" i="29"/>
  <c r="P9" i="29"/>
  <c r="D9" i="29"/>
  <c r="P8" i="29"/>
  <c r="D8" i="29"/>
  <c r="C65" i="30" l="1"/>
  <c r="D83" i="31"/>
  <c r="F71" i="30"/>
  <c r="H72" i="31"/>
  <c r="L82" i="30"/>
  <c r="J65" i="30"/>
  <c r="D57" i="30"/>
  <c r="H65" i="30"/>
  <c r="L65" i="30"/>
  <c r="J66" i="30"/>
  <c r="D67" i="30"/>
  <c r="J67" i="30"/>
  <c r="F69" i="30"/>
  <c r="L69" i="30"/>
  <c r="H70" i="30"/>
  <c r="L70" i="30"/>
  <c r="J71" i="30"/>
  <c r="D73" i="30"/>
  <c r="L73" i="30"/>
  <c r="J74" i="30"/>
  <c r="H75" i="30"/>
  <c r="J80" i="30"/>
  <c r="J81" i="30"/>
  <c r="J82" i="30"/>
  <c r="J84" i="30"/>
  <c r="J86" i="30"/>
  <c r="K87" i="31"/>
  <c r="D65" i="30"/>
  <c r="F66" i="30"/>
  <c r="L66" i="30"/>
  <c r="H67" i="30"/>
  <c r="L67" i="30"/>
  <c r="J69" i="30"/>
  <c r="D70" i="30"/>
  <c r="J70" i="30"/>
  <c r="L71" i="30"/>
  <c r="H73" i="30"/>
  <c r="F74" i="30"/>
  <c r="L80" i="30"/>
  <c r="L81" i="30"/>
  <c r="F59" i="30"/>
  <c r="E59" i="30"/>
  <c r="F57" i="30"/>
  <c r="E58" i="30"/>
  <c r="F58" i="30"/>
  <c r="E59" i="31"/>
  <c r="D60" i="31"/>
  <c r="D58" i="31"/>
  <c r="E60" i="31"/>
  <c r="E58" i="31"/>
  <c r="D59" i="31"/>
  <c r="F58" i="31"/>
  <c r="I81" i="30"/>
  <c r="G81" i="30"/>
  <c r="E81" i="30"/>
  <c r="C81" i="30"/>
  <c r="I66" i="30"/>
  <c r="G66" i="30"/>
  <c r="E66" i="30"/>
  <c r="C66" i="30"/>
  <c r="H81" i="30"/>
  <c r="D81" i="30"/>
  <c r="D59" i="30"/>
  <c r="H83" i="31"/>
  <c r="F83" i="31"/>
  <c r="F82" i="31"/>
  <c r="H81" i="31"/>
  <c r="F81" i="31"/>
  <c r="D81" i="31"/>
  <c r="H68" i="31"/>
  <c r="F68" i="31"/>
  <c r="D68" i="31"/>
  <c r="F67" i="31"/>
  <c r="G83" i="31"/>
  <c r="C83" i="31"/>
  <c r="G81" i="31"/>
  <c r="C81" i="31"/>
  <c r="I68" i="31"/>
  <c r="E68" i="31"/>
  <c r="I66" i="31"/>
  <c r="G66" i="31"/>
  <c r="E66" i="31"/>
  <c r="C66" i="31"/>
  <c r="E83" i="31"/>
  <c r="I81" i="31"/>
  <c r="G68" i="31"/>
  <c r="H66" i="31"/>
  <c r="D66" i="31"/>
  <c r="I82" i="30"/>
  <c r="G82" i="30"/>
  <c r="E82" i="30"/>
  <c r="C82" i="30"/>
  <c r="I80" i="30"/>
  <c r="G80" i="30"/>
  <c r="E80" i="30"/>
  <c r="C80" i="30"/>
  <c r="I67" i="30"/>
  <c r="G67" i="30"/>
  <c r="E67" i="30"/>
  <c r="C67" i="30"/>
  <c r="I65" i="30"/>
  <c r="G65" i="30"/>
  <c r="E65" i="30"/>
  <c r="I83" i="31"/>
  <c r="C82" i="31"/>
  <c r="E81" i="31"/>
  <c r="C68" i="31"/>
  <c r="E67" i="31"/>
  <c r="F66" i="31"/>
  <c r="H82" i="30"/>
  <c r="F82" i="30"/>
  <c r="D82" i="30"/>
  <c r="F81" i="30"/>
  <c r="H80" i="30"/>
  <c r="F80" i="30"/>
  <c r="K82" i="31"/>
  <c r="K68" i="31"/>
  <c r="J66" i="31"/>
  <c r="H87" i="31"/>
  <c r="F87" i="31"/>
  <c r="D87" i="31"/>
  <c r="H86" i="31"/>
  <c r="F86" i="31"/>
  <c r="D86" i="31"/>
  <c r="H85" i="31"/>
  <c r="F85" i="31"/>
  <c r="D85" i="31"/>
  <c r="F72" i="31"/>
  <c r="D72" i="31"/>
  <c r="H71" i="31"/>
  <c r="F71" i="31"/>
  <c r="D71" i="31"/>
  <c r="H70" i="31"/>
  <c r="F70" i="31"/>
  <c r="D70" i="31"/>
  <c r="I87" i="31"/>
  <c r="E87" i="31"/>
  <c r="G86" i="31"/>
  <c r="C86" i="31"/>
  <c r="I85" i="31"/>
  <c r="E85" i="31"/>
  <c r="G72" i="31"/>
  <c r="C72" i="31"/>
  <c r="I71" i="31"/>
  <c r="E71" i="31"/>
  <c r="G70" i="31"/>
  <c r="C70" i="31"/>
  <c r="I86" i="30"/>
  <c r="G86" i="30"/>
  <c r="E86" i="30"/>
  <c r="C86" i="30"/>
  <c r="I85" i="30"/>
  <c r="G85" i="30"/>
  <c r="E85" i="30"/>
  <c r="C85" i="30"/>
  <c r="I84" i="30"/>
  <c r="G84" i="30"/>
  <c r="G87" i="31"/>
  <c r="I86" i="31"/>
  <c r="C85" i="31"/>
  <c r="I72" i="31"/>
  <c r="C71" i="31"/>
  <c r="E70" i="31"/>
  <c r="H86" i="30"/>
  <c r="D86" i="30"/>
  <c r="F85" i="30"/>
  <c r="H84" i="30"/>
  <c r="E84" i="30"/>
  <c r="C84" i="30"/>
  <c r="I71" i="30"/>
  <c r="G71" i="30"/>
  <c r="E71" i="30"/>
  <c r="C71" i="30"/>
  <c r="I70" i="30"/>
  <c r="G70" i="30"/>
  <c r="E70" i="30"/>
  <c r="C70" i="30"/>
  <c r="I69" i="30"/>
  <c r="G69" i="30"/>
  <c r="E69" i="30"/>
  <c r="C69" i="30"/>
  <c r="C87" i="31"/>
  <c r="E86" i="31"/>
  <c r="G85" i="31"/>
  <c r="E72" i="31"/>
  <c r="G71" i="31"/>
  <c r="I70" i="31"/>
  <c r="F86" i="30"/>
  <c r="H85" i="30"/>
  <c r="D85" i="30"/>
  <c r="F84" i="30"/>
  <c r="D84" i="30"/>
  <c r="H91" i="31"/>
  <c r="F91" i="31"/>
  <c r="D91" i="31"/>
  <c r="H90" i="31"/>
  <c r="F90" i="31"/>
  <c r="D90" i="31"/>
  <c r="H89" i="31"/>
  <c r="F89" i="31"/>
  <c r="D89" i="31"/>
  <c r="H76" i="31"/>
  <c r="F76" i="31"/>
  <c r="D76" i="31"/>
  <c r="H75" i="31"/>
  <c r="F75" i="31"/>
  <c r="D75" i="31"/>
  <c r="H74" i="31"/>
  <c r="F74" i="31"/>
  <c r="D74" i="31"/>
  <c r="G91" i="31"/>
  <c r="C91" i="31"/>
  <c r="I90" i="31"/>
  <c r="E90" i="31"/>
  <c r="G89" i="31"/>
  <c r="C89" i="31"/>
  <c r="I76" i="31"/>
  <c r="E76" i="31"/>
  <c r="G75" i="31"/>
  <c r="C75" i="31"/>
  <c r="I74" i="31"/>
  <c r="E74" i="31"/>
  <c r="I90" i="30"/>
  <c r="G90" i="30"/>
  <c r="E90" i="30"/>
  <c r="C90" i="30"/>
  <c r="I89" i="30"/>
  <c r="G89" i="30"/>
  <c r="E89" i="30"/>
  <c r="C89" i="30"/>
  <c r="I88" i="30"/>
  <c r="G88" i="30"/>
  <c r="E88" i="30"/>
  <c r="C88" i="30"/>
  <c r="I91" i="31"/>
  <c r="C90" i="31"/>
  <c r="E89" i="31"/>
  <c r="C76" i="31"/>
  <c r="E75" i="31"/>
  <c r="G74" i="31"/>
  <c r="F90" i="30"/>
  <c r="H89" i="30"/>
  <c r="D89" i="30"/>
  <c r="F88" i="30"/>
  <c r="I75" i="30"/>
  <c r="G75" i="30"/>
  <c r="E75" i="30"/>
  <c r="C75" i="30"/>
  <c r="I74" i="30"/>
  <c r="G74" i="30"/>
  <c r="E74" i="30"/>
  <c r="C74" i="30"/>
  <c r="I73" i="30"/>
  <c r="G73" i="30"/>
  <c r="E73" i="30"/>
  <c r="C73" i="30"/>
  <c r="E91" i="31"/>
  <c r="G90" i="31"/>
  <c r="I89" i="31"/>
  <c r="G76" i="31"/>
  <c r="I75" i="31"/>
  <c r="C74" i="31"/>
  <c r="H90" i="30"/>
  <c r="D90" i="30"/>
  <c r="F89" i="30"/>
  <c r="H88" i="30"/>
  <c r="D88" i="30"/>
  <c r="L91" i="31"/>
  <c r="J91" i="31"/>
  <c r="L90" i="31"/>
  <c r="J90" i="31"/>
  <c r="L89" i="31"/>
  <c r="J89" i="31"/>
  <c r="L76" i="31"/>
  <c r="J76" i="31"/>
  <c r="L75" i="31"/>
  <c r="J75" i="31"/>
  <c r="L74" i="31"/>
  <c r="J74" i="31"/>
  <c r="K91" i="31"/>
  <c r="K89" i="31"/>
  <c r="K75" i="31"/>
  <c r="K90" i="30"/>
  <c r="K89" i="30"/>
  <c r="K88" i="30"/>
  <c r="K90" i="31"/>
  <c r="K76" i="31"/>
  <c r="J90" i="30"/>
  <c r="L89" i="30"/>
  <c r="J88" i="30"/>
  <c r="K75" i="30"/>
  <c r="K74" i="30"/>
  <c r="K73" i="30"/>
  <c r="K74" i="31"/>
  <c r="L90" i="30"/>
  <c r="J89" i="30"/>
  <c r="L88" i="30"/>
  <c r="F65" i="30"/>
  <c r="D66" i="30"/>
  <c r="H66" i="30"/>
  <c r="F67" i="30"/>
  <c r="D69" i="30"/>
  <c r="H69" i="30"/>
  <c r="F70" i="30"/>
  <c r="D71" i="30"/>
  <c r="H71" i="30"/>
  <c r="F73" i="30"/>
  <c r="J73" i="30"/>
  <c r="D74" i="30"/>
  <c r="H74" i="30"/>
  <c r="L74" i="30"/>
  <c r="F75" i="30"/>
  <c r="J75" i="30"/>
  <c r="D80" i="30"/>
  <c r="F60" i="31"/>
  <c r="L83" i="31"/>
  <c r="J83" i="31"/>
  <c r="L82" i="31"/>
  <c r="J82" i="31"/>
  <c r="L81" i="31"/>
  <c r="J81" i="31"/>
  <c r="L68" i="31"/>
  <c r="J68" i="31"/>
  <c r="L67" i="31"/>
  <c r="J67" i="31"/>
  <c r="K83" i="31"/>
  <c r="K81" i="31"/>
  <c r="K67" i="31"/>
  <c r="K66" i="31"/>
  <c r="L87" i="31"/>
  <c r="J87" i="31"/>
  <c r="L86" i="31"/>
  <c r="J86" i="31"/>
  <c r="L85" i="31"/>
  <c r="J85" i="31"/>
  <c r="L72" i="31"/>
  <c r="J72" i="31"/>
  <c r="L71" i="31"/>
  <c r="J71" i="31"/>
  <c r="L70" i="31"/>
  <c r="J70" i="31"/>
  <c r="K86" i="31"/>
  <c r="K72" i="31"/>
  <c r="K70" i="31"/>
  <c r="K86" i="30"/>
  <c r="K85" i="30"/>
  <c r="K84" i="30"/>
  <c r="E57" i="30"/>
  <c r="D58" i="30"/>
  <c r="K65" i="30"/>
  <c r="K66" i="30"/>
  <c r="K67" i="30"/>
  <c r="K69" i="30"/>
  <c r="K70" i="30"/>
  <c r="K71" i="30"/>
  <c r="K80" i="30"/>
  <c r="K81" i="30"/>
  <c r="K82" i="30"/>
  <c r="L84" i="30"/>
  <c r="J85" i="30"/>
  <c r="L86" i="30"/>
  <c r="H82" i="31"/>
  <c r="D82" i="31"/>
  <c r="H67" i="31"/>
  <c r="D67" i="31"/>
  <c r="I82" i="31"/>
  <c r="E82" i="31"/>
  <c r="G67" i="31"/>
  <c r="C67" i="31"/>
  <c r="L66" i="31"/>
  <c r="I67" i="31"/>
  <c r="K71" i="31"/>
  <c r="G82" i="31"/>
  <c r="K85" i="31"/>
  <c r="F59" i="31"/>
  <c r="F66" i="28"/>
  <c r="F61" i="28"/>
  <c r="F56" i="28"/>
  <c r="F51" i="28"/>
  <c r="F44" i="28"/>
  <c r="F39" i="28"/>
  <c r="F34" i="28"/>
  <c r="F29" i="28"/>
  <c r="N10" i="1"/>
  <c r="H326" i="28"/>
  <c r="K135" i="28"/>
  <c r="J135" i="28"/>
  <c r="I135" i="28"/>
  <c r="K103" i="28"/>
  <c r="K136" i="28"/>
  <c r="J136" i="28"/>
  <c r="I136" i="28"/>
  <c r="K104" i="28"/>
  <c r="J104" i="28"/>
  <c r="J103" i="28"/>
  <c r="I104" i="28"/>
  <c r="I103" i="28"/>
  <c r="N25" i="31" l="1"/>
  <c r="N26" i="31"/>
  <c r="N35" i="31"/>
  <c r="N45" i="31" s="1"/>
  <c r="N36" i="30"/>
  <c r="L36" i="31"/>
  <c r="D24" i="30"/>
  <c r="L27" i="31"/>
  <c r="L47" i="31" s="1"/>
  <c r="M25" i="31"/>
  <c r="M28" i="31" s="1"/>
  <c r="M29" i="31" s="1"/>
  <c r="L37" i="31"/>
  <c r="L26" i="31"/>
  <c r="L35" i="31"/>
  <c r="L38" i="31" s="1"/>
  <c r="L39" i="31" s="1"/>
  <c r="M27" i="31"/>
  <c r="M35" i="31"/>
  <c r="M26" i="31"/>
  <c r="M37" i="31"/>
  <c r="N27" i="31"/>
  <c r="N28" i="31" s="1"/>
  <c r="N29" i="31" s="1"/>
  <c r="N36" i="31"/>
  <c r="N46" i="31" s="1"/>
  <c r="N37" i="31"/>
  <c r="L25" i="31"/>
  <c r="L45" i="31" s="1"/>
  <c r="M36" i="31"/>
  <c r="L46" i="31"/>
  <c r="Q49" i="31"/>
  <c r="R49" i="31"/>
  <c r="N25" i="30"/>
  <c r="N35" i="30"/>
  <c r="L25" i="30"/>
  <c r="M36" i="30"/>
  <c r="M34" i="30"/>
  <c r="F25" i="30"/>
  <c r="L24" i="30"/>
  <c r="L34" i="30"/>
  <c r="G26" i="31"/>
  <c r="H26" i="31"/>
  <c r="D34" i="30"/>
  <c r="D44" i="30" s="1"/>
  <c r="M26" i="30"/>
  <c r="M24" i="30"/>
  <c r="I36" i="31"/>
  <c r="H36" i="31"/>
  <c r="H26" i="30"/>
  <c r="F24" i="30"/>
  <c r="F25" i="31"/>
  <c r="C27" i="31"/>
  <c r="C36" i="31"/>
  <c r="H25" i="31"/>
  <c r="I35" i="31"/>
  <c r="C25" i="31"/>
  <c r="G25" i="31"/>
  <c r="E27" i="31"/>
  <c r="C35" i="31"/>
  <c r="C37" i="31"/>
  <c r="F26" i="31"/>
  <c r="F27" i="31"/>
  <c r="D35" i="31"/>
  <c r="H35" i="31"/>
  <c r="D37" i="31"/>
  <c r="H37" i="31"/>
  <c r="N24" i="30"/>
  <c r="G36" i="31"/>
  <c r="I26" i="31"/>
  <c r="C26" i="31"/>
  <c r="E36" i="31"/>
  <c r="D26" i="31"/>
  <c r="D36" i="31"/>
  <c r="L26" i="30"/>
  <c r="D26" i="30"/>
  <c r="H24" i="30"/>
  <c r="E26" i="31"/>
  <c r="E35" i="31"/>
  <c r="I37" i="31"/>
  <c r="D25" i="31"/>
  <c r="G27" i="31"/>
  <c r="E37" i="31"/>
  <c r="E25" i="31"/>
  <c r="I25" i="31"/>
  <c r="I27" i="31"/>
  <c r="G35" i="31"/>
  <c r="G37" i="31"/>
  <c r="D27" i="31"/>
  <c r="H27" i="31"/>
  <c r="F35" i="31"/>
  <c r="F36" i="31"/>
  <c r="F37" i="31"/>
  <c r="N26" i="30"/>
  <c r="L36" i="30"/>
  <c r="L35" i="30"/>
  <c r="N34" i="30"/>
  <c r="H25" i="30"/>
  <c r="F35" i="30"/>
  <c r="D35" i="30"/>
  <c r="C25" i="30"/>
  <c r="G25" i="30"/>
  <c r="C35" i="30"/>
  <c r="G35" i="30"/>
  <c r="M35" i="30"/>
  <c r="M25" i="30"/>
  <c r="D25" i="30"/>
  <c r="C24" i="30"/>
  <c r="H35" i="30"/>
  <c r="E25" i="30"/>
  <c r="I25" i="30"/>
  <c r="E35" i="30"/>
  <c r="I35" i="30"/>
  <c r="F26" i="30"/>
  <c r="H34" i="30"/>
  <c r="D36" i="30"/>
  <c r="H36" i="30"/>
  <c r="G24" i="30"/>
  <c r="C26" i="30"/>
  <c r="G26" i="30"/>
  <c r="C34" i="30"/>
  <c r="G34" i="30"/>
  <c r="C36" i="30"/>
  <c r="G36" i="30"/>
  <c r="F34" i="30"/>
  <c r="F36" i="30"/>
  <c r="E24" i="30"/>
  <c r="I24" i="30"/>
  <c r="E26" i="30"/>
  <c r="I26" i="30"/>
  <c r="E34" i="30"/>
  <c r="I34" i="30"/>
  <c r="E36" i="30"/>
  <c r="I36" i="30"/>
  <c r="N46" i="30" l="1"/>
  <c r="M45" i="31"/>
  <c r="M47" i="31"/>
  <c r="L28" i="31"/>
  <c r="L29" i="31" s="1"/>
  <c r="N38" i="31"/>
  <c r="N39" i="31" s="1"/>
  <c r="M38" i="31"/>
  <c r="M39" i="31" s="1"/>
  <c r="C45" i="30"/>
  <c r="N37" i="30"/>
  <c r="N38" i="30" s="1"/>
  <c r="D45" i="31"/>
  <c r="N47" i="31"/>
  <c r="M46" i="31"/>
  <c r="H46" i="30"/>
  <c r="Q46" i="30" s="1"/>
  <c r="L48" i="31"/>
  <c r="L49" i="31" s="1"/>
  <c r="N45" i="30"/>
  <c r="M46" i="30"/>
  <c r="D27" i="30"/>
  <c r="D28" i="30" s="1"/>
  <c r="D47" i="31"/>
  <c r="L44" i="30"/>
  <c r="L27" i="30"/>
  <c r="I46" i="31"/>
  <c r="R46" i="31" s="1"/>
  <c r="L37" i="30"/>
  <c r="E45" i="30"/>
  <c r="G44" i="30"/>
  <c r="L45" i="30"/>
  <c r="L46" i="30"/>
  <c r="N27" i="30"/>
  <c r="N28" i="30" s="1"/>
  <c r="E45" i="31"/>
  <c r="D46" i="31"/>
  <c r="H44" i="30"/>
  <c r="Q44" i="30" s="1"/>
  <c r="F45" i="30"/>
  <c r="G28" i="31"/>
  <c r="G29" i="31" s="1"/>
  <c r="H45" i="30"/>
  <c r="Q45" i="30" s="1"/>
  <c r="F46" i="31"/>
  <c r="E46" i="31"/>
  <c r="D46" i="30"/>
  <c r="N44" i="30"/>
  <c r="N47" i="30" s="1"/>
  <c r="N48" i="30" s="1"/>
  <c r="F37" i="30"/>
  <c r="F38" i="30" s="1"/>
  <c r="I44" i="30"/>
  <c r="R44" i="30" s="1"/>
  <c r="F46" i="30"/>
  <c r="M44" i="30"/>
  <c r="M45" i="30"/>
  <c r="G37" i="30"/>
  <c r="G38" i="30" s="1"/>
  <c r="D45" i="30"/>
  <c r="D47" i="30" s="1"/>
  <c r="D48" i="30" s="1"/>
  <c r="I45" i="30"/>
  <c r="R45" i="30" s="1"/>
  <c r="M37" i="30"/>
  <c r="M38" i="30" s="1"/>
  <c r="H37" i="30"/>
  <c r="H38" i="30" s="1"/>
  <c r="C44" i="30"/>
  <c r="C37" i="30"/>
  <c r="C38" i="30" s="1"/>
  <c r="E44" i="30"/>
  <c r="E37" i="30"/>
  <c r="E38" i="30" s="1"/>
  <c r="C27" i="30"/>
  <c r="C28" i="30" s="1"/>
  <c r="F27" i="30"/>
  <c r="F28" i="30" s="1"/>
  <c r="M27" i="30"/>
  <c r="M28" i="30" s="1"/>
  <c r="I37" i="30"/>
  <c r="I38" i="30" s="1"/>
  <c r="H27" i="30"/>
  <c r="H28" i="30" s="1"/>
  <c r="D37" i="30"/>
  <c r="D38" i="30" s="1"/>
  <c r="G45" i="30"/>
  <c r="H38" i="31"/>
  <c r="H39" i="31" s="1"/>
  <c r="I38" i="31"/>
  <c r="I39" i="31" s="1"/>
  <c r="H28" i="31"/>
  <c r="H29" i="31" s="1"/>
  <c r="C46" i="31"/>
  <c r="H47" i="31"/>
  <c r="Q47" i="31" s="1"/>
  <c r="I47" i="31"/>
  <c r="R47" i="31" s="1"/>
  <c r="G46" i="31"/>
  <c r="C45" i="31"/>
  <c r="F45" i="31"/>
  <c r="G38" i="31"/>
  <c r="G39" i="31" s="1"/>
  <c r="E38" i="31"/>
  <c r="E39" i="31" s="1"/>
  <c r="H45" i="31"/>
  <c r="Q45" i="31" s="1"/>
  <c r="F47" i="31"/>
  <c r="C38" i="31"/>
  <c r="C39" i="31" s="1"/>
  <c r="G45" i="31"/>
  <c r="I45" i="31"/>
  <c r="R45" i="31" s="1"/>
  <c r="H46" i="31"/>
  <c r="Q46" i="31" s="1"/>
  <c r="F28" i="31"/>
  <c r="F29" i="31" s="1"/>
  <c r="D38" i="31"/>
  <c r="C47" i="31"/>
  <c r="C28" i="31"/>
  <c r="C29" i="31" s="1"/>
  <c r="G46" i="30"/>
  <c r="E47" i="31"/>
  <c r="E46" i="30"/>
  <c r="E28" i="31"/>
  <c r="E29" i="31" s="1"/>
  <c r="I28" i="31"/>
  <c r="I29" i="31" s="1"/>
  <c r="G27" i="30"/>
  <c r="G28" i="30" s="1"/>
  <c r="F44" i="30"/>
  <c r="G47" i="31"/>
  <c r="C46" i="30"/>
  <c r="I46" i="30"/>
  <c r="R46" i="30" s="1"/>
  <c r="E27" i="30"/>
  <c r="E28" i="30" s="1"/>
  <c r="I27" i="30"/>
  <c r="I28" i="30" s="1"/>
  <c r="F38" i="31"/>
  <c r="F39" i="31" s="1"/>
  <c r="D28" i="31"/>
  <c r="M48" i="31" l="1"/>
  <c r="M49" i="31" s="1"/>
  <c r="N48" i="31"/>
  <c r="N49" i="31" s="1"/>
  <c r="D39" i="31"/>
  <c r="D48" i="31"/>
  <c r="D29" i="31"/>
  <c r="L38" i="30"/>
  <c r="L28" i="30"/>
  <c r="L47" i="30"/>
  <c r="L48" i="30" s="1"/>
  <c r="E48" i="31"/>
  <c r="E49" i="31" s="1"/>
  <c r="H47" i="30"/>
  <c r="H48" i="30" s="1"/>
  <c r="M47" i="30"/>
  <c r="M48" i="30" s="1"/>
  <c r="F47" i="30"/>
  <c r="F48" i="30" s="1"/>
  <c r="R48" i="30"/>
  <c r="Q48" i="30"/>
  <c r="I47" i="30"/>
  <c r="I48" i="30" s="1"/>
  <c r="C47" i="30"/>
  <c r="C48" i="30" s="1"/>
  <c r="E47" i="30"/>
  <c r="E48" i="30" s="1"/>
  <c r="G47" i="30"/>
  <c r="G48" i="30" s="1"/>
  <c r="I48" i="31"/>
  <c r="I49" i="31" s="1"/>
  <c r="C48" i="31"/>
  <c r="C49" i="31" s="1"/>
  <c r="F48" i="31"/>
  <c r="F49" i="31" s="1"/>
  <c r="G48" i="31"/>
  <c r="G49" i="31" s="1"/>
  <c r="H48" i="31"/>
  <c r="D49" i="31" l="1"/>
  <c r="H49" i="31"/>
  <c r="C71" i="28" l="1"/>
  <c r="I320" i="28"/>
  <c r="G320" i="28"/>
  <c r="I330" i="28"/>
  <c r="D260" i="28" s="1"/>
  <c r="I329" i="28"/>
  <c r="D254" i="28" s="1"/>
  <c r="I328" i="28"/>
  <c r="D246" i="28" s="1"/>
  <c r="I327" i="28"/>
  <c r="D240" i="28" s="1"/>
  <c r="H330" i="28"/>
  <c r="D259" i="28" s="1"/>
  <c r="H329" i="28"/>
  <c r="D253" i="28" s="1"/>
  <c r="H328" i="28"/>
  <c r="D245" i="28" s="1"/>
  <c r="H327" i="28"/>
  <c r="D239" i="28" s="1"/>
  <c r="I326" i="28"/>
  <c r="D232" i="28" s="1"/>
  <c r="I325" i="28"/>
  <c r="D226" i="28" s="1"/>
  <c r="I324" i="28"/>
  <c r="D218" i="28" s="1"/>
  <c r="I323" i="28"/>
  <c r="D231" i="28"/>
  <c r="H325" i="28"/>
  <c r="D225" i="28" s="1"/>
  <c r="H324" i="28"/>
  <c r="D217" i="28" s="1"/>
  <c r="H323" i="28"/>
  <c r="D211" i="28" s="1"/>
  <c r="P197" i="28"/>
  <c r="D42" i="28" s="1"/>
  <c r="Q197" i="28"/>
  <c r="E42" i="28" s="1"/>
  <c r="F21" i="28"/>
  <c r="F16" i="28"/>
  <c r="F11" i="28"/>
  <c r="F6" i="28"/>
  <c r="M226" i="28" l="1"/>
  <c r="L226" i="28"/>
  <c r="L239" i="28"/>
  <c r="M239" i="28"/>
  <c r="L253" i="28"/>
  <c r="M253" i="28"/>
  <c r="L240" i="28"/>
  <c r="M240" i="28"/>
  <c r="L254" i="28"/>
  <c r="M254" i="28"/>
  <c r="S182" i="28"/>
  <c r="S136" i="28"/>
  <c r="D103" i="28"/>
  <c r="S103" i="28" s="1"/>
  <c r="S135" i="28"/>
  <c r="S134" i="28"/>
  <c r="D104" i="28"/>
  <c r="S104" i="28" s="1"/>
  <c r="P136" i="28"/>
  <c r="S91" i="28"/>
  <c r="S184" i="28"/>
  <c r="S186" i="28"/>
  <c r="S188" i="28"/>
  <c r="S190" i="28"/>
  <c r="S192" i="28"/>
  <c r="S194" i="28"/>
  <c r="S196" i="28"/>
  <c r="S163" i="28"/>
  <c r="S165" i="28"/>
  <c r="S167" i="28"/>
  <c r="S169" i="28"/>
  <c r="S171" i="28"/>
  <c r="S173" i="28"/>
  <c r="S175" i="28"/>
  <c r="S112" i="28"/>
  <c r="S114" i="28"/>
  <c r="S116" i="28"/>
  <c r="S118" i="28"/>
  <c r="S120" i="28"/>
  <c r="S122" i="28"/>
  <c r="S124" i="28"/>
  <c r="S127" i="28"/>
  <c r="S129" i="28"/>
  <c r="S131" i="28"/>
  <c r="S133" i="28"/>
  <c r="S139" i="28"/>
  <c r="S141" i="28"/>
  <c r="S143" i="28"/>
  <c r="S145" i="28"/>
  <c r="S147" i="28"/>
  <c r="S149" i="28"/>
  <c r="S151" i="28"/>
  <c r="S153" i="28"/>
  <c r="S111" i="28"/>
  <c r="S81" i="28"/>
  <c r="S83" i="28"/>
  <c r="S85" i="28"/>
  <c r="S87" i="28"/>
  <c r="S89" i="28"/>
  <c r="S92" i="28"/>
  <c r="S95" i="28"/>
  <c r="S97" i="28"/>
  <c r="S99" i="28"/>
  <c r="S101" i="28"/>
  <c r="S79" i="28"/>
  <c r="S183" i="28"/>
  <c r="S185" i="28"/>
  <c r="S187" i="28"/>
  <c r="S189" i="28"/>
  <c r="S191" i="28"/>
  <c r="S193" i="28"/>
  <c r="S195" i="28"/>
  <c r="S162" i="28"/>
  <c r="S164" i="28"/>
  <c r="S166" i="28"/>
  <c r="S168" i="28"/>
  <c r="S170" i="28"/>
  <c r="S172" i="28"/>
  <c r="S174" i="28"/>
  <c r="S161" i="28"/>
  <c r="P135" i="28"/>
  <c r="S113" i="28"/>
  <c r="S115" i="28"/>
  <c r="S117" i="28"/>
  <c r="S119" i="28"/>
  <c r="S121" i="28"/>
  <c r="S123" i="28"/>
  <c r="S125" i="28"/>
  <c r="S128" i="28"/>
  <c r="S130" i="28"/>
  <c r="S132" i="28"/>
  <c r="S138" i="28"/>
  <c r="S140" i="28"/>
  <c r="S142" i="28"/>
  <c r="S144" i="28"/>
  <c r="S146" i="28"/>
  <c r="S148" i="28"/>
  <c r="S150" i="28"/>
  <c r="S152" i="28"/>
  <c r="S154" i="28"/>
  <c r="S80" i="28"/>
  <c r="S82" i="28"/>
  <c r="S84" i="28"/>
  <c r="S86" i="28"/>
  <c r="S88" i="28"/>
  <c r="S90" i="28"/>
  <c r="S93" i="28"/>
  <c r="S96" i="28"/>
  <c r="S98" i="28"/>
  <c r="S100" i="28"/>
  <c r="S102" i="28"/>
  <c r="L211" i="28"/>
  <c r="M211" i="28"/>
  <c r="M225" i="28"/>
  <c r="L225" i="28"/>
  <c r="M217" i="28"/>
  <c r="L217" i="28"/>
  <c r="M218" i="28"/>
  <c r="L218" i="28"/>
  <c r="L232" i="28"/>
  <c r="M232" i="28"/>
  <c r="L245" i="28"/>
  <c r="M245" i="28"/>
  <c r="L259" i="28"/>
  <c r="M259" i="28"/>
  <c r="L246" i="28"/>
  <c r="M246" i="28"/>
  <c r="M247" i="28" s="1"/>
  <c r="L260" i="28"/>
  <c r="M260" i="28"/>
  <c r="M261" i="28" s="1"/>
  <c r="M231" i="28"/>
  <c r="L231" i="28"/>
  <c r="P162" i="28"/>
  <c r="P163" i="28"/>
  <c r="P164" i="28"/>
  <c r="P165" i="28"/>
  <c r="P166" i="28"/>
  <c r="P167" i="28"/>
  <c r="P168" i="28"/>
  <c r="P169" i="28"/>
  <c r="P170" i="28"/>
  <c r="P171" i="28"/>
  <c r="P172" i="28"/>
  <c r="P173" i="28"/>
  <c r="P174" i="28"/>
  <c r="P175" i="28"/>
  <c r="D37" i="28" s="1"/>
  <c r="P161" i="28"/>
  <c r="P112" i="28"/>
  <c r="P113" i="28"/>
  <c r="P114" i="28"/>
  <c r="P115" i="28"/>
  <c r="P116" i="28"/>
  <c r="P117" i="28"/>
  <c r="P118" i="28"/>
  <c r="P119" i="28"/>
  <c r="P120" i="28"/>
  <c r="P121" i="28"/>
  <c r="P122" i="28"/>
  <c r="P123" i="28"/>
  <c r="P124" i="28"/>
  <c r="P125" i="28"/>
  <c r="P127" i="28"/>
  <c r="P128" i="28"/>
  <c r="P129" i="28"/>
  <c r="P130" i="28"/>
  <c r="P131" i="28"/>
  <c r="P132" i="28"/>
  <c r="P133" i="28"/>
  <c r="P134" i="28"/>
  <c r="P138" i="28"/>
  <c r="P139" i="28"/>
  <c r="P140" i="28"/>
  <c r="P141" i="28"/>
  <c r="P142" i="28"/>
  <c r="P143" i="28"/>
  <c r="P144" i="28"/>
  <c r="P145" i="28"/>
  <c r="P146" i="28"/>
  <c r="P147" i="28"/>
  <c r="P148" i="28"/>
  <c r="P149" i="28"/>
  <c r="P150" i="28"/>
  <c r="P151" i="28"/>
  <c r="P152" i="28"/>
  <c r="P153" i="28"/>
  <c r="P154" i="28"/>
  <c r="Q111" i="28"/>
  <c r="P80" i="28"/>
  <c r="P81" i="28"/>
  <c r="P82" i="28"/>
  <c r="P83" i="28"/>
  <c r="P84" i="28"/>
  <c r="P85" i="28"/>
  <c r="P86" i="28"/>
  <c r="P87" i="28"/>
  <c r="P88" i="28"/>
  <c r="P89" i="28"/>
  <c r="P90" i="28"/>
  <c r="P91" i="28"/>
  <c r="P92" i="28"/>
  <c r="P93" i="28"/>
  <c r="P95" i="28"/>
  <c r="P96" i="28"/>
  <c r="P97" i="28"/>
  <c r="P98" i="28"/>
  <c r="P99" i="28"/>
  <c r="P100" i="28"/>
  <c r="P101" i="28"/>
  <c r="P102" i="28"/>
  <c r="P103" i="28"/>
  <c r="P104" i="28"/>
  <c r="Q79" i="28"/>
  <c r="P79" i="28"/>
  <c r="Q162" i="28"/>
  <c r="Q163" i="28"/>
  <c r="Q164" i="28"/>
  <c r="Q165" i="28"/>
  <c r="Q166" i="28"/>
  <c r="Q167" i="28"/>
  <c r="Q168" i="28"/>
  <c r="Q169" i="28"/>
  <c r="Q170" i="28"/>
  <c r="Q171" i="28"/>
  <c r="Q172" i="28"/>
  <c r="Q173" i="28"/>
  <c r="Q174" i="28"/>
  <c r="Q175" i="28"/>
  <c r="E37" i="28" s="1"/>
  <c r="Q161" i="28"/>
  <c r="Q112" i="28"/>
  <c r="Q113" i="28"/>
  <c r="Q114" i="28"/>
  <c r="Q115" i="28"/>
  <c r="Q116" i="28"/>
  <c r="Q117" i="28"/>
  <c r="Q118" i="28"/>
  <c r="Q119" i="28"/>
  <c r="Q120" i="28"/>
  <c r="Q121" i="28"/>
  <c r="Q122" i="28"/>
  <c r="Q123" i="28"/>
  <c r="Q124" i="28"/>
  <c r="Q125" i="28"/>
  <c r="Q127" i="28"/>
  <c r="Q128" i="28"/>
  <c r="Q129" i="28"/>
  <c r="Q130" i="28"/>
  <c r="Q131" i="28"/>
  <c r="Q132" i="28"/>
  <c r="Q133" i="28"/>
  <c r="Q134" i="28"/>
  <c r="Q135" i="28"/>
  <c r="Q136" i="28"/>
  <c r="Q138" i="28"/>
  <c r="Q139" i="28"/>
  <c r="Q140" i="28"/>
  <c r="Q141" i="28"/>
  <c r="Q142" i="28"/>
  <c r="Q143" i="28"/>
  <c r="Q144" i="28"/>
  <c r="Q145" i="28"/>
  <c r="Q146" i="28"/>
  <c r="Q147" i="28"/>
  <c r="Q148" i="28"/>
  <c r="Q149" i="28"/>
  <c r="Q150" i="28"/>
  <c r="Q151" i="28"/>
  <c r="Q152" i="28"/>
  <c r="Q153" i="28"/>
  <c r="Q154" i="28"/>
  <c r="P111" i="28"/>
  <c r="Q80" i="28"/>
  <c r="Q81" i="28"/>
  <c r="Q82" i="28"/>
  <c r="Q83" i="28"/>
  <c r="Q84" i="28"/>
  <c r="Q85" i="28"/>
  <c r="Q86" i="28"/>
  <c r="Q87" i="28"/>
  <c r="Q88" i="28"/>
  <c r="Q89" i="28"/>
  <c r="Q90" i="28"/>
  <c r="Q91" i="28"/>
  <c r="Q92" i="28"/>
  <c r="Q93" i="28"/>
  <c r="Q95" i="28"/>
  <c r="Q96" i="28"/>
  <c r="Q97" i="28"/>
  <c r="Q98" i="28"/>
  <c r="Q99" i="28"/>
  <c r="Q100" i="28"/>
  <c r="Q101" i="28"/>
  <c r="Q102" i="28"/>
  <c r="D212" i="28"/>
  <c r="I331" i="28"/>
  <c r="H331" i="28"/>
  <c r="D78" i="27"/>
  <c r="V17" i="27"/>
  <c r="V16" i="27"/>
  <c r="V15" i="27"/>
  <c r="V14" i="27"/>
  <c r="V13" i="27"/>
  <c r="V12" i="27"/>
  <c r="V11" i="27"/>
  <c r="V10" i="27"/>
  <c r="V9" i="27"/>
  <c r="V8" i="27"/>
  <c r="V7" i="27"/>
  <c r="K15" i="26"/>
  <c r="J15" i="26"/>
  <c r="I15" i="26"/>
  <c r="H15" i="26"/>
  <c r="G15" i="26"/>
  <c r="F15" i="26"/>
  <c r="D77" i="27" s="1"/>
  <c r="E15" i="26"/>
  <c r="D15" i="26"/>
  <c r="C15" i="26"/>
  <c r="K14" i="26"/>
  <c r="J14" i="26"/>
  <c r="I14" i="26"/>
  <c r="H14" i="26"/>
  <c r="G14" i="26"/>
  <c r="F14" i="26"/>
  <c r="D76" i="27" s="1"/>
  <c r="E14" i="26"/>
  <c r="D14" i="26"/>
  <c r="C14" i="26"/>
  <c r="K13" i="26"/>
  <c r="J13" i="26"/>
  <c r="I13" i="26"/>
  <c r="H13" i="26"/>
  <c r="G13" i="26"/>
  <c r="F13" i="26"/>
  <c r="D75" i="27" s="1"/>
  <c r="E13" i="26"/>
  <c r="D13" i="26"/>
  <c r="C13" i="26"/>
  <c r="K12" i="26"/>
  <c r="J12" i="26"/>
  <c r="I12" i="26"/>
  <c r="H12" i="26"/>
  <c r="G12" i="26"/>
  <c r="F12" i="26"/>
  <c r="D74" i="27" s="1"/>
  <c r="E12" i="26"/>
  <c r="D12" i="26"/>
  <c r="C12" i="26"/>
  <c r="K11" i="26"/>
  <c r="J11" i="26"/>
  <c r="I11" i="26"/>
  <c r="H11" i="26"/>
  <c r="G11" i="26"/>
  <c r="F11" i="26"/>
  <c r="D73" i="27" s="1"/>
  <c r="E11" i="26"/>
  <c r="D11" i="26"/>
  <c r="C11" i="26"/>
  <c r="D35" i="27" l="1"/>
  <c r="M255" i="28"/>
  <c r="Q103" i="28"/>
  <c r="M227" i="28"/>
  <c r="L227" i="28"/>
  <c r="M233" i="28"/>
  <c r="M241" i="28"/>
  <c r="Q104" i="28"/>
  <c r="L233" i="28"/>
  <c r="L212" i="28"/>
  <c r="L213" i="28" s="1"/>
  <c r="S105" i="28"/>
  <c r="S197" i="28"/>
  <c r="L255" i="28"/>
  <c r="L241" i="28"/>
  <c r="M212" i="28"/>
  <c r="M213" i="28" s="1"/>
  <c r="L261" i="28"/>
  <c r="L247" i="28"/>
  <c r="S176" i="28"/>
  <c r="S155" i="28"/>
  <c r="M262" i="28"/>
  <c r="E43" i="28" s="1"/>
  <c r="E45" i="28" s="1"/>
  <c r="M248" i="28"/>
  <c r="E38" i="28" s="1"/>
  <c r="E40" i="28" s="1"/>
  <c r="Q176" i="28"/>
  <c r="P155" i="28"/>
  <c r="L219" i="28"/>
  <c r="M219" i="28"/>
  <c r="Q155" i="28"/>
  <c r="P176" i="28"/>
  <c r="P105" i="28"/>
  <c r="D27" i="28" s="1"/>
  <c r="L42" i="27"/>
  <c r="J42" i="27"/>
  <c r="H42" i="27"/>
  <c r="F42" i="27"/>
  <c r="D42" i="27"/>
  <c r="L41" i="27"/>
  <c r="J41" i="27"/>
  <c r="H41" i="27"/>
  <c r="F41" i="27"/>
  <c r="D41" i="27"/>
  <c r="L40" i="27"/>
  <c r="J40" i="27"/>
  <c r="H40" i="27"/>
  <c r="F40" i="27"/>
  <c r="D40" i="27"/>
  <c r="L39" i="27"/>
  <c r="J39" i="27"/>
  <c r="H39" i="27"/>
  <c r="F39" i="27"/>
  <c r="D39" i="27"/>
  <c r="L38" i="27"/>
  <c r="J38" i="27"/>
  <c r="H38" i="27"/>
  <c r="F38" i="27"/>
  <c r="D38" i="27"/>
  <c r="L37" i="27"/>
  <c r="J37" i="27"/>
  <c r="H37" i="27"/>
  <c r="F37" i="27"/>
  <c r="D37" i="27"/>
  <c r="L36" i="27"/>
  <c r="J36" i="27"/>
  <c r="H36" i="27"/>
  <c r="F36" i="27"/>
  <c r="D36" i="27"/>
  <c r="L35" i="27"/>
  <c r="J35" i="27"/>
  <c r="H35" i="27"/>
  <c r="F35" i="27"/>
  <c r="K42" i="27"/>
  <c r="I42" i="27"/>
  <c r="G42" i="27"/>
  <c r="E42" i="27"/>
  <c r="K41" i="27"/>
  <c r="I41" i="27"/>
  <c r="G41" i="27"/>
  <c r="E41" i="27"/>
  <c r="K40" i="27"/>
  <c r="I40" i="27"/>
  <c r="G40" i="27"/>
  <c r="E40" i="27"/>
  <c r="K39" i="27"/>
  <c r="I39" i="27"/>
  <c r="G39" i="27"/>
  <c r="E39" i="27"/>
  <c r="G35" i="27"/>
  <c r="K35" i="27"/>
  <c r="E36" i="27"/>
  <c r="I36" i="27"/>
  <c r="G37" i="27"/>
  <c r="K37" i="27"/>
  <c r="E38" i="27"/>
  <c r="I38" i="27"/>
  <c r="E35" i="27"/>
  <c r="I35" i="27"/>
  <c r="G36" i="27"/>
  <c r="K36" i="27"/>
  <c r="E37" i="27"/>
  <c r="I37" i="27"/>
  <c r="G38" i="27"/>
  <c r="K38" i="27"/>
  <c r="O41" i="18"/>
  <c r="Q41" i="18"/>
  <c r="R41" i="18"/>
  <c r="O67" i="1"/>
  <c r="O66" i="1"/>
  <c r="O64" i="1"/>
  <c r="O63" i="1"/>
  <c r="O62" i="1"/>
  <c r="O61" i="1"/>
  <c r="O59" i="1"/>
  <c r="O58" i="1"/>
  <c r="O57" i="1"/>
  <c r="O54" i="1"/>
  <c r="N54" i="1"/>
  <c r="O53" i="1"/>
  <c r="N53" i="1"/>
  <c r="O51" i="1"/>
  <c r="N51" i="1"/>
  <c r="O50" i="1"/>
  <c r="N50" i="1"/>
  <c r="O48" i="1"/>
  <c r="N48" i="1"/>
  <c r="M45" i="1"/>
  <c r="M44" i="1"/>
  <c r="O43" i="1"/>
  <c r="N43" i="1"/>
  <c r="O42" i="1"/>
  <c r="N42" i="1"/>
  <c r="O41" i="1"/>
  <c r="N41" i="1"/>
  <c r="O40" i="1"/>
  <c r="N40" i="1"/>
  <c r="O39" i="1"/>
  <c r="N39" i="1"/>
  <c r="O38" i="1"/>
  <c r="N38" i="1"/>
  <c r="O37" i="1"/>
  <c r="N37" i="1"/>
  <c r="O36" i="1"/>
  <c r="N36" i="1"/>
  <c r="M36" i="1"/>
  <c r="O35" i="1"/>
  <c r="N35" i="1"/>
  <c r="O34" i="1"/>
  <c r="N34" i="1"/>
  <c r="O33" i="1"/>
  <c r="N33" i="1"/>
  <c r="O32" i="1"/>
  <c r="N32" i="1"/>
  <c r="O31" i="1"/>
  <c r="N31" i="1"/>
  <c r="O30" i="1"/>
  <c r="N30" i="1"/>
  <c r="O29" i="1"/>
  <c r="M29" i="1"/>
  <c r="M28" i="1"/>
  <c r="O27" i="1"/>
  <c r="N27" i="1"/>
  <c r="O26" i="1"/>
  <c r="N26" i="1"/>
  <c r="O23" i="1"/>
  <c r="N23" i="1"/>
  <c r="O22" i="1"/>
  <c r="N22" i="1"/>
  <c r="O21" i="1"/>
  <c r="N21" i="1"/>
  <c r="O20" i="1"/>
  <c r="N20" i="1"/>
  <c r="O19" i="1"/>
  <c r="N19" i="1"/>
  <c r="O18" i="1"/>
  <c r="N18" i="1"/>
  <c r="O17" i="1"/>
  <c r="N17" i="1"/>
  <c r="O16" i="1"/>
  <c r="N16" i="1"/>
  <c r="O15" i="1"/>
  <c r="N15" i="1"/>
  <c r="O14" i="1"/>
  <c r="N14" i="1"/>
  <c r="O13" i="1"/>
  <c r="N13" i="1"/>
  <c r="O12" i="1"/>
  <c r="N12" i="1"/>
  <c r="O10" i="1"/>
  <c r="O9" i="1"/>
  <c r="N9" i="1"/>
  <c r="O8" i="1"/>
  <c r="N8" i="1"/>
  <c r="O7" i="1"/>
  <c r="N7" i="1"/>
  <c r="C37" i="2"/>
  <c r="N39" i="18" s="1"/>
  <c r="C36" i="2"/>
  <c r="K82" i="25" s="1"/>
  <c r="D136" i="6"/>
  <c r="F136" i="6"/>
  <c r="M234" i="28" l="1"/>
  <c r="E33" i="28" s="1"/>
  <c r="L234" i="28"/>
  <c r="D33" i="28" s="1"/>
  <c r="J76" i="25"/>
  <c r="Q105" i="28"/>
  <c r="E27" i="28" s="1"/>
  <c r="L248" i="28"/>
  <c r="D38" i="28" s="1"/>
  <c r="D40" i="28" s="1"/>
  <c r="L220" i="28"/>
  <c r="D28" i="28" s="1"/>
  <c r="D30" i="28" s="1"/>
  <c r="L262" i="28"/>
  <c r="D43" i="28" s="1"/>
  <c r="D45" i="28" s="1"/>
  <c r="E32" i="28"/>
  <c r="E35" i="28" s="1"/>
  <c r="D32" i="28"/>
  <c r="M220" i="28"/>
  <c r="E28" i="28" s="1"/>
  <c r="M39" i="18"/>
  <c r="S39" i="18"/>
  <c r="Q39" i="18"/>
  <c r="O39" i="18"/>
  <c r="K61" i="27"/>
  <c r="K49" i="27"/>
  <c r="K43" i="27"/>
  <c r="K54" i="27" s="1"/>
  <c r="I60" i="27"/>
  <c r="I48" i="27"/>
  <c r="K59" i="27"/>
  <c r="K47" i="27"/>
  <c r="I58" i="27"/>
  <c r="I46" i="27"/>
  <c r="I61" i="27"/>
  <c r="I49" i="27"/>
  <c r="I43" i="27"/>
  <c r="I54" i="27" s="1"/>
  <c r="K60" i="27"/>
  <c r="K48" i="27"/>
  <c r="I59" i="27"/>
  <c r="I47" i="27"/>
  <c r="K58" i="27"/>
  <c r="K46" i="27"/>
  <c r="E62" i="27"/>
  <c r="E50" i="27"/>
  <c r="I62" i="27"/>
  <c r="I50" i="27"/>
  <c r="E63" i="27"/>
  <c r="E51" i="27"/>
  <c r="I63" i="27"/>
  <c r="I51" i="27"/>
  <c r="E64" i="27"/>
  <c r="E52" i="27"/>
  <c r="I64" i="27"/>
  <c r="I52" i="27"/>
  <c r="E65" i="27"/>
  <c r="E53" i="27"/>
  <c r="I65" i="27"/>
  <c r="I53" i="27"/>
  <c r="D58" i="27"/>
  <c r="D46" i="27"/>
  <c r="M35" i="27"/>
  <c r="M46" i="27" s="1"/>
  <c r="H58" i="27"/>
  <c r="H46" i="27"/>
  <c r="L58" i="27"/>
  <c r="L46" i="27"/>
  <c r="F59" i="27"/>
  <c r="F47" i="27"/>
  <c r="J59" i="27"/>
  <c r="J47" i="27"/>
  <c r="D60" i="27"/>
  <c r="D48" i="27"/>
  <c r="M37" i="27"/>
  <c r="M48" i="27" s="1"/>
  <c r="H60" i="27"/>
  <c r="H48" i="27"/>
  <c r="L60" i="27"/>
  <c r="L48" i="27"/>
  <c r="F61" i="27"/>
  <c r="F43" i="27"/>
  <c r="F54" i="27" s="1"/>
  <c r="F49" i="27"/>
  <c r="J61" i="27"/>
  <c r="J43" i="27"/>
  <c r="J54" i="27" s="1"/>
  <c r="J49" i="27"/>
  <c r="D62" i="27"/>
  <c r="D50" i="27"/>
  <c r="M39" i="27"/>
  <c r="M50" i="27" s="1"/>
  <c r="H62" i="27"/>
  <c r="H50" i="27"/>
  <c r="L62" i="27"/>
  <c r="L50" i="27"/>
  <c r="F63" i="27"/>
  <c r="F51" i="27"/>
  <c r="J63" i="27"/>
  <c r="J51" i="27"/>
  <c r="D64" i="27"/>
  <c r="D52" i="27"/>
  <c r="M41" i="27"/>
  <c r="M52" i="27" s="1"/>
  <c r="H64" i="27"/>
  <c r="H52" i="27"/>
  <c r="L64" i="27"/>
  <c r="L52" i="27"/>
  <c r="F65" i="27"/>
  <c r="F53" i="27"/>
  <c r="J65" i="27"/>
  <c r="J53" i="27"/>
  <c r="T39" i="18"/>
  <c r="R39" i="18"/>
  <c r="P39" i="18"/>
  <c r="G61" i="27"/>
  <c r="G49" i="27"/>
  <c r="G43" i="27"/>
  <c r="G54" i="27" s="1"/>
  <c r="E60" i="27"/>
  <c r="E48" i="27"/>
  <c r="G59" i="27"/>
  <c r="G47" i="27"/>
  <c r="E58" i="27"/>
  <c r="E46" i="27"/>
  <c r="E61" i="27"/>
  <c r="E66" i="27" s="1"/>
  <c r="E49" i="27"/>
  <c r="E43" i="27"/>
  <c r="E54" i="27" s="1"/>
  <c r="G60" i="27"/>
  <c r="G48" i="27"/>
  <c r="E59" i="27"/>
  <c r="E47" i="27"/>
  <c r="G58" i="27"/>
  <c r="G46" i="27"/>
  <c r="G62" i="27"/>
  <c r="G50" i="27"/>
  <c r="K62" i="27"/>
  <c r="K50" i="27"/>
  <c r="G63" i="27"/>
  <c r="G51" i="27"/>
  <c r="K63" i="27"/>
  <c r="K51" i="27"/>
  <c r="G64" i="27"/>
  <c r="G52" i="27"/>
  <c r="K64" i="27"/>
  <c r="K52" i="27"/>
  <c r="G65" i="27"/>
  <c r="G53" i="27"/>
  <c r="K65" i="27"/>
  <c r="K53" i="27"/>
  <c r="F46" i="27"/>
  <c r="F58" i="27"/>
  <c r="J46" i="27"/>
  <c r="J58" i="27"/>
  <c r="D47" i="27"/>
  <c r="D59" i="27"/>
  <c r="M36" i="27"/>
  <c r="M47" i="27" s="1"/>
  <c r="H47" i="27"/>
  <c r="H59" i="27"/>
  <c r="L47" i="27"/>
  <c r="L59" i="27"/>
  <c r="F48" i="27"/>
  <c r="F60" i="27"/>
  <c r="J48" i="27"/>
  <c r="J60" i="27"/>
  <c r="D49" i="27"/>
  <c r="D43" i="27"/>
  <c r="D61" i="27"/>
  <c r="M38" i="27"/>
  <c r="M49" i="27" s="1"/>
  <c r="H49" i="27"/>
  <c r="H43" i="27"/>
  <c r="H54" i="27" s="1"/>
  <c r="H61" i="27"/>
  <c r="L49" i="27"/>
  <c r="L43" i="27"/>
  <c r="L54" i="27" s="1"/>
  <c r="L61" i="27"/>
  <c r="F50" i="27"/>
  <c r="F62" i="27"/>
  <c r="J50" i="27"/>
  <c r="J62" i="27"/>
  <c r="D51" i="27"/>
  <c r="D63" i="27"/>
  <c r="M40" i="27"/>
  <c r="M51" i="27" s="1"/>
  <c r="H51" i="27"/>
  <c r="H63" i="27"/>
  <c r="L51" i="27"/>
  <c r="L63" i="27"/>
  <c r="F52" i="27"/>
  <c r="F64" i="27"/>
  <c r="J52" i="27"/>
  <c r="J64" i="27"/>
  <c r="D53" i="27"/>
  <c r="D65" i="27"/>
  <c r="M42" i="27"/>
  <c r="M53" i="27" s="1"/>
  <c r="H53" i="27"/>
  <c r="H65" i="27"/>
  <c r="L53" i="27"/>
  <c r="L65" i="27"/>
  <c r="E11" i="18"/>
  <c r="M11" i="18"/>
  <c r="N11" i="18"/>
  <c r="O11" i="18"/>
  <c r="P9" i="18"/>
  <c r="N10" i="18"/>
  <c r="O10" i="18"/>
  <c r="M10" i="18"/>
  <c r="P8" i="18"/>
  <c r="P7" i="18"/>
  <c r="G6" i="18"/>
  <c r="G7" i="18"/>
  <c r="G8" i="18"/>
  <c r="G9" i="18"/>
  <c r="G10" i="18"/>
  <c r="G5" i="18"/>
  <c r="F57" i="18"/>
  <c r="E57" i="18"/>
  <c r="E30" i="28" l="1"/>
  <c r="D35" i="28"/>
  <c r="D46" i="28" s="1"/>
  <c r="M65" i="27"/>
  <c r="M59" i="27"/>
  <c r="E46" i="28"/>
  <c r="M62" i="27"/>
  <c r="K66" i="27"/>
  <c r="H66" i="27"/>
  <c r="M61" i="27"/>
  <c r="D66" i="27"/>
  <c r="F66" i="27"/>
  <c r="M58" i="27"/>
  <c r="M63" i="27"/>
  <c r="L66" i="27"/>
  <c r="D54" i="27"/>
  <c r="M43" i="27"/>
  <c r="M54" i="27" s="1"/>
  <c r="G66" i="27"/>
  <c r="M64" i="27"/>
  <c r="J66" i="27"/>
  <c r="M60" i="27"/>
  <c r="I66" i="27"/>
  <c r="P11" i="18"/>
  <c r="P10" i="18"/>
  <c r="D19" i="6"/>
  <c r="O8" i="6"/>
  <c r="J8" i="6"/>
  <c r="J11" i="6" s="1"/>
  <c r="D8" i="6"/>
  <c r="D32" i="25"/>
  <c r="D29" i="25"/>
  <c r="D30" i="25"/>
  <c r="D31" i="25"/>
  <c r="D28" i="25"/>
  <c r="I46" i="18" s="1"/>
  <c r="E63" i="2"/>
  <c r="F63" i="2"/>
  <c r="E64" i="2"/>
  <c r="F16" i="43" s="1"/>
  <c r="F64" i="2"/>
  <c r="G16" i="43" s="1"/>
  <c r="E65" i="2"/>
  <c r="F65" i="2"/>
  <c r="E66" i="2"/>
  <c r="F66" i="2"/>
  <c r="E69" i="2"/>
  <c r="F69" i="2"/>
  <c r="E70" i="2"/>
  <c r="F70" i="2"/>
  <c r="E71" i="2"/>
  <c r="F71" i="2"/>
  <c r="E72" i="2"/>
  <c r="F72" i="2"/>
  <c r="E76" i="2"/>
  <c r="F14" i="43" s="1"/>
  <c r="F15" i="43" s="1"/>
  <c r="F76" i="2"/>
  <c r="G14" i="43" s="1"/>
  <c r="G15" i="43" s="1"/>
  <c r="E77" i="2"/>
  <c r="F77" i="2"/>
  <c r="E78" i="2"/>
  <c r="F78" i="2"/>
  <c r="E79" i="2"/>
  <c r="F79" i="2"/>
  <c r="E82" i="2"/>
  <c r="E83" i="2"/>
  <c r="F83" i="2"/>
  <c r="E57" i="25"/>
  <c r="D12" i="6"/>
  <c r="K16" i="25" l="1"/>
  <c r="K15" i="25"/>
  <c r="K14" i="25"/>
  <c r="K13" i="25"/>
  <c r="K12" i="25"/>
  <c r="K11" i="25"/>
  <c r="D23" i="6"/>
  <c r="D24" i="6" s="1"/>
  <c r="D25" i="6" s="1"/>
  <c r="D21" i="6"/>
  <c r="F12" i="25"/>
  <c r="F13" i="25"/>
  <c r="F14" i="25"/>
  <c r="F15" i="25"/>
  <c r="F11" i="25"/>
  <c r="M66" i="27"/>
  <c r="E16" i="25"/>
  <c r="E14" i="25"/>
  <c r="E12" i="25"/>
  <c r="E15" i="25"/>
  <c r="E13" i="25"/>
  <c r="E11" i="25"/>
  <c r="F16" i="25"/>
  <c r="E22" i="20" l="1"/>
  <c r="E58" i="18"/>
  <c r="F58" i="18"/>
  <c r="E64" i="18"/>
  <c r="E65" i="18" s="1"/>
  <c r="F64" i="18"/>
  <c r="F65" i="18" s="1"/>
  <c r="F52" i="18"/>
  <c r="E130" i="18" s="1"/>
  <c r="E52" i="18"/>
  <c r="D130" i="18" s="1"/>
  <c r="C137" i="6"/>
  <c r="C136" i="6"/>
  <c r="C22" i="19" l="1"/>
  <c r="D76" i="20"/>
  <c r="G67" i="6"/>
  <c r="H67" i="6"/>
  <c r="G65" i="6"/>
  <c r="H65" i="6"/>
  <c r="I65" i="6"/>
  <c r="G4" i="41" l="1"/>
  <c r="C64" i="19"/>
  <c r="O10" i="6"/>
  <c r="E47" i="1" l="1"/>
  <c r="D47" i="1"/>
  <c r="C47" i="1"/>
  <c r="F47" i="1"/>
  <c r="P41" i="18"/>
  <c r="T21" i="1"/>
  <c r="T25" i="1"/>
  <c r="U25" i="1" s="1"/>
  <c r="O47" i="1" l="1"/>
  <c r="N47" i="1"/>
  <c r="C25" i="1"/>
  <c r="D22" i="19" l="1"/>
  <c r="N25" i="1"/>
  <c r="B25" i="1"/>
  <c r="H22" i="20"/>
  <c r="F22" i="20" s="1"/>
  <c r="I119" i="6"/>
  <c r="J119" i="6" s="1"/>
  <c r="I115" i="6"/>
  <c r="J115" i="6" s="1"/>
  <c r="I111" i="6"/>
  <c r="J111" i="6" s="1"/>
  <c r="D25" i="1"/>
  <c r="O25" i="1" s="1"/>
  <c r="O12" i="6"/>
  <c r="D10" i="6"/>
  <c r="B4" i="6"/>
  <c r="F48" i="20" l="1"/>
  <c r="G48" i="20"/>
  <c r="D64" i="19"/>
  <c r="D13" i="6"/>
  <c r="H23" i="20"/>
  <c r="E76" i="20" l="1"/>
  <c r="D4" i="6"/>
  <c r="AU48" i="6" s="1"/>
  <c r="AU46" i="6" s="1"/>
  <c r="H64" i="6"/>
  <c r="H68" i="6"/>
  <c r="G64" i="6"/>
  <c r="G68" i="6"/>
  <c r="G79" i="6" l="1"/>
  <c r="G89" i="6" s="1"/>
  <c r="H79" i="6"/>
  <c r="H89" i="6" s="1"/>
  <c r="G72" i="6"/>
  <c r="H72" i="6"/>
  <c r="AU47" i="6"/>
  <c r="F132" i="6" l="1"/>
  <c r="E132" i="6"/>
  <c r="E35" i="20"/>
  <c r="E31" i="20"/>
  <c r="E28" i="20"/>
  <c r="D6" i="43" s="1"/>
  <c r="E25" i="20"/>
  <c r="H29" i="20"/>
  <c r="H25" i="20"/>
  <c r="H26" i="20" s="1"/>
  <c r="H35" i="20"/>
  <c r="D123" i="6" l="1"/>
  <c r="F123" i="6" s="1"/>
  <c r="D125" i="6"/>
  <c r="C27" i="19"/>
  <c r="C46" i="19"/>
  <c r="E26" i="20"/>
  <c r="D4" i="42"/>
  <c r="D6" i="42" s="1"/>
  <c r="D77" i="20"/>
  <c r="D80" i="20"/>
  <c r="C23" i="19"/>
  <c r="D79" i="20"/>
  <c r="C24" i="19"/>
  <c r="D78" i="20"/>
  <c r="C25" i="19"/>
  <c r="F35" i="20"/>
  <c r="F25" i="20"/>
  <c r="H39" i="20"/>
  <c r="D46" i="19" l="1"/>
  <c r="D38" i="19" s="1"/>
  <c r="F53" i="20"/>
  <c r="F92" i="20" s="1"/>
  <c r="G53" i="20"/>
  <c r="G92" i="20" s="1"/>
  <c r="D23" i="19"/>
  <c r="D65" i="19" s="1"/>
  <c r="J123" i="6"/>
  <c r="E96" i="6" s="1"/>
  <c r="D27" i="19"/>
  <c r="D69" i="19" s="1"/>
  <c r="C67" i="19"/>
  <c r="D25" i="19"/>
  <c r="D67" i="19" s="1"/>
  <c r="C66" i="19"/>
  <c r="D24" i="19"/>
  <c r="D66" i="19" s="1"/>
  <c r="F5" i="41"/>
  <c r="C78" i="19"/>
  <c r="G8" i="41"/>
  <c r="C69" i="19"/>
  <c r="G5" i="41"/>
  <c r="C65" i="19"/>
  <c r="G123" i="6"/>
  <c r="H123" i="6" s="1"/>
  <c r="I82" i="6" s="1"/>
  <c r="G6" i="41"/>
  <c r="G7" i="41"/>
  <c r="F26" i="20"/>
  <c r="F36" i="20"/>
  <c r="E10" i="42"/>
  <c r="E12" i="42" s="1"/>
  <c r="C17" i="42" s="1"/>
  <c r="D10" i="42"/>
  <c r="D12" i="42" s="1"/>
  <c r="C16" i="42" s="1"/>
  <c r="C121" i="18" s="1"/>
  <c r="E77" i="20"/>
  <c r="J125" i="6"/>
  <c r="F125" i="6"/>
  <c r="G125" i="6" s="1"/>
  <c r="E80" i="20"/>
  <c r="G89" i="20"/>
  <c r="F89" i="20"/>
  <c r="F23" i="20"/>
  <c r="D45" i="19" l="1"/>
  <c r="D77" i="19" s="1"/>
  <c r="F49" i="20"/>
  <c r="G49" i="20"/>
  <c r="G113" i="20" s="1"/>
  <c r="G136" i="20" s="1"/>
  <c r="E36" i="20"/>
  <c r="F54" i="20"/>
  <c r="F116" i="20" s="1"/>
  <c r="G54" i="20"/>
  <c r="G116" i="20" s="1"/>
  <c r="D96" i="6"/>
  <c r="D78" i="19"/>
  <c r="G82" i="6"/>
  <c r="C137" i="18"/>
  <c r="E121" i="18"/>
  <c r="D121" i="18"/>
  <c r="F121" i="18"/>
  <c r="H125" i="6"/>
  <c r="I84" i="6" s="1"/>
  <c r="G84" i="6"/>
  <c r="E16" i="42"/>
  <c r="F16" i="42"/>
  <c r="C138" i="18"/>
  <c r="F17" i="42"/>
  <c r="E17" i="42"/>
  <c r="F112" i="20"/>
  <c r="F135" i="20" s="1"/>
  <c r="G112" i="20"/>
  <c r="G135" i="20" s="1"/>
  <c r="D98" i="6"/>
  <c r="E98" i="6"/>
  <c r="F37" i="20"/>
  <c r="C136" i="18"/>
  <c r="F113" i="20"/>
  <c r="F136" i="20" s="1"/>
  <c r="E23" i="20"/>
  <c r="H33" i="20"/>
  <c r="H31" i="20"/>
  <c r="H28" i="20"/>
  <c r="D37" i="19" l="1"/>
  <c r="F52" i="20"/>
  <c r="F115" i="20" s="1"/>
  <c r="G52" i="20"/>
  <c r="G115" i="20" s="1"/>
  <c r="G51" i="20"/>
  <c r="G91" i="20" s="1"/>
  <c r="F51" i="20"/>
  <c r="F91" i="20" s="1"/>
  <c r="D49" i="19"/>
  <c r="D41" i="19" s="1"/>
  <c r="F136" i="18"/>
  <c r="G136" i="18"/>
  <c r="E138" i="18"/>
  <c r="G138" i="18"/>
  <c r="F138" i="18"/>
  <c r="G121" i="18"/>
  <c r="E16" i="19" s="1"/>
  <c r="F16" i="19" s="1"/>
  <c r="E37" i="20"/>
  <c r="C49" i="19" s="1"/>
  <c r="C81" i="19" s="1"/>
  <c r="C45" i="19"/>
  <c r="F28" i="20"/>
  <c r="F31" i="20"/>
  <c r="C141" i="18"/>
  <c r="F4" i="41" l="1"/>
  <c r="C77" i="19"/>
  <c r="D81" i="19"/>
  <c r="E141" i="18"/>
  <c r="F141" i="18"/>
  <c r="G141" i="18"/>
  <c r="F8" i="41"/>
  <c r="E6" i="43"/>
  <c r="C22" i="43" s="1"/>
  <c r="F22" i="43" s="1"/>
  <c r="E78" i="20"/>
  <c r="E79" i="20"/>
  <c r="F29" i="20"/>
  <c r="D47" i="19" s="1"/>
  <c r="F32" i="20"/>
  <c r="E32" i="20" l="1"/>
  <c r="G56" i="20"/>
  <c r="G94" i="20" s="1"/>
  <c r="D39" i="19"/>
  <c r="D79" i="19"/>
  <c r="E22" i="43"/>
  <c r="F33" i="20"/>
  <c r="C139" i="18"/>
  <c r="E7" i="43"/>
  <c r="C23" i="43" s="1"/>
  <c r="E29" i="20"/>
  <c r="D48" i="19" l="1"/>
  <c r="D40" i="19" s="1"/>
  <c r="F56" i="20"/>
  <c r="F94" i="20" s="1"/>
  <c r="G139" i="18"/>
  <c r="F139" i="18"/>
  <c r="D7" i="43"/>
  <c r="C47" i="19"/>
  <c r="E33" i="20"/>
  <c r="C48" i="19" s="1"/>
  <c r="C140" i="18"/>
  <c r="F23" i="43"/>
  <c r="E23" i="43"/>
  <c r="F57" i="20" l="1"/>
  <c r="F118" i="20" s="1"/>
  <c r="G57" i="20"/>
  <c r="G118" i="20" s="1"/>
  <c r="F6" i="41"/>
  <c r="C79" i="19"/>
  <c r="D80" i="19"/>
  <c r="F7" i="41"/>
  <c r="C80" i="19"/>
  <c r="G140" i="18"/>
  <c r="F140" i="18"/>
  <c r="E140" i="18"/>
  <c r="G111" i="20"/>
  <c r="G134" i="20" s="1"/>
  <c r="G137" i="20" s="1"/>
  <c r="V41" i="6"/>
  <c r="F111" i="20"/>
  <c r="F134" i="20" s="1"/>
  <c r="F137" i="20" s="1"/>
  <c r="E111" i="20" l="1"/>
  <c r="H111" i="20" s="1"/>
  <c r="H134" i="20" s="1"/>
  <c r="T79" i="28"/>
  <c r="U102" i="28"/>
  <c r="U93" i="28"/>
  <c r="U88" i="28"/>
  <c r="U80" i="28"/>
  <c r="U152" i="28"/>
  <c r="U144" i="28"/>
  <c r="U128" i="28"/>
  <c r="U123" i="28"/>
  <c r="U115" i="28"/>
  <c r="U170" i="28"/>
  <c r="U162" i="28"/>
  <c r="U189" i="28"/>
  <c r="U99" i="28"/>
  <c r="U85" i="28"/>
  <c r="U149" i="28"/>
  <c r="U141" i="28"/>
  <c r="U133" i="28"/>
  <c r="U124" i="28"/>
  <c r="U116" i="28"/>
  <c r="U169" i="28"/>
  <c r="U192" i="28"/>
  <c r="U184" i="28"/>
  <c r="U134" i="28"/>
  <c r="U103" i="28"/>
  <c r="U96" i="28"/>
  <c r="U90" i="28"/>
  <c r="U82" i="28"/>
  <c r="U154" i="28"/>
  <c r="U146" i="28"/>
  <c r="U98" i="28"/>
  <c r="U84" i="28"/>
  <c r="U148" i="28"/>
  <c r="U140" i="28"/>
  <c r="U132" i="28"/>
  <c r="U119" i="28"/>
  <c r="U174" i="28"/>
  <c r="U166" i="28"/>
  <c r="U193" i="28"/>
  <c r="U185" i="28"/>
  <c r="U79" i="28"/>
  <c r="U95" i="28"/>
  <c r="U89" i="28"/>
  <c r="U81" i="28"/>
  <c r="U153" i="28"/>
  <c r="U145" i="28"/>
  <c r="U129" i="28"/>
  <c r="U120" i="28"/>
  <c r="U112" i="28"/>
  <c r="U173" i="28"/>
  <c r="U165" i="28"/>
  <c r="U196" i="28"/>
  <c r="U188" i="28"/>
  <c r="U182" i="28"/>
  <c r="U100" i="28"/>
  <c r="U86" i="28"/>
  <c r="U150" i="28"/>
  <c r="U142" i="28"/>
  <c r="U121" i="28"/>
  <c r="U113" i="28"/>
  <c r="U117" i="28"/>
  <c r="U172" i="28"/>
  <c r="U168" i="28"/>
  <c r="U195" i="28"/>
  <c r="U187" i="28"/>
  <c r="U101" i="28"/>
  <c r="U92" i="28"/>
  <c r="U87" i="28"/>
  <c r="U147" i="28"/>
  <c r="U139" i="28"/>
  <c r="U131" i="28"/>
  <c r="U127" i="28"/>
  <c r="U118" i="28"/>
  <c r="U175" i="28"/>
  <c r="U167" i="28"/>
  <c r="U190" i="28"/>
  <c r="U136" i="28"/>
  <c r="U138" i="28"/>
  <c r="U130" i="28"/>
  <c r="U125" i="28"/>
  <c r="U161" i="28"/>
  <c r="U164" i="28"/>
  <c r="U191" i="28"/>
  <c r="U183" i="28"/>
  <c r="U97" i="28"/>
  <c r="U83" i="28"/>
  <c r="U111" i="28"/>
  <c r="U151" i="28"/>
  <c r="U143" i="28"/>
  <c r="U122" i="28"/>
  <c r="U114" i="28"/>
  <c r="U171" i="28"/>
  <c r="U163" i="28"/>
  <c r="U194" i="28"/>
  <c r="U186" i="28"/>
  <c r="U91" i="28"/>
  <c r="U104" i="28"/>
  <c r="U135" i="28"/>
  <c r="F120" i="20"/>
  <c r="T98" i="28"/>
  <c r="T84" i="28"/>
  <c r="T148" i="28"/>
  <c r="T140" i="28"/>
  <c r="T132" i="28"/>
  <c r="T119" i="28"/>
  <c r="T174" i="28"/>
  <c r="T166" i="28"/>
  <c r="T193" i="28"/>
  <c r="T185" i="28"/>
  <c r="T95" i="28"/>
  <c r="T85" i="28"/>
  <c r="T153" i="28"/>
  <c r="T145" i="28"/>
  <c r="T133" i="28"/>
  <c r="T124" i="28"/>
  <c r="T120" i="28"/>
  <c r="T116" i="28"/>
  <c r="T173" i="28"/>
  <c r="T165" i="28"/>
  <c r="T196" i="28"/>
  <c r="T188" i="28"/>
  <c r="T100" i="28"/>
  <c r="T86" i="28"/>
  <c r="T154" i="28"/>
  <c r="T146" i="28"/>
  <c r="T102" i="28"/>
  <c r="T93" i="28"/>
  <c r="T88" i="28"/>
  <c r="T80" i="28"/>
  <c r="T152" i="28"/>
  <c r="T144" i="28"/>
  <c r="T128" i="28"/>
  <c r="T123" i="28"/>
  <c r="T115" i="28"/>
  <c r="T170" i="28"/>
  <c r="T162" i="28"/>
  <c r="T189" i="28"/>
  <c r="T99" i="28"/>
  <c r="T89" i="28"/>
  <c r="T81" i="28"/>
  <c r="T149" i="28"/>
  <c r="T141" i="28"/>
  <c r="T129" i="28"/>
  <c r="T112" i="28"/>
  <c r="T169" i="28"/>
  <c r="T192" i="28"/>
  <c r="T184" i="28"/>
  <c r="T134" i="28"/>
  <c r="T103" i="28"/>
  <c r="T182" i="28"/>
  <c r="T96" i="28"/>
  <c r="T90" i="28"/>
  <c r="T82" i="28"/>
  <c r="T150" i="28"/>
  <c r="T142" i="28"/>
  <c r="T130" i="28"/>
  <c r="T121" i="28"/>
  <c r="T113" i="28"/>
  <c r="T172" i="28"/>
  <c r="T138" i="28"/>
  <c r="T125" i="28"/>
  <c r="T161" i="28"/>
  <c r="T164" i="28"/>
  <c r="T191" i="28"/>
  <c r="T183" i="28"/>
  <c r="T97" i="28"/>
  <c r="T83" i="28"/>
  <c r="T111" i="28"/>
  <c r="T151" i="28"/>
  <c r="T143" i="28"/>
  <c r="T127" i="28"/>
  <c r="T122" i="28"/>
  <c r="T114" i="28"/>
  <c r="T175" i="28"/>
  <c r="T167" i="28"/>
  <c r="T194" i="28"/>
  <c r="T186" i="28"/>
  <c r="T91" i="28"/>
  <c r="T104" i="28"/>
  <c r="T136" i="28"/>
  <c r="T117" i="28"/>
  <c r="T168" i="28"/>
  <c r="T195" i="28"/>
  <c r="T187" i="28"/>
  <c r="T101" i="28"/>
  <c r="T92" i="28"/>
  <c r="T87" i="28"/>
  <c r="T147" i="28"/>
  <c r="T139" i="28"/>
  <c r="T131" i="28"/>
  <c r="T118" i="28"/>
  <c r="T171" i="28"/>
  <c r="T163" i="28"/>
  <c r="T190" i="28"/>
  <c r="T135" i="28"/>
  <c r="E120" i="20"/>
  <c r="V98" i="28"/>
  <c r="V88" i="28"/>
  <c r="V80" i="28"/>
  <c r="V148" i="28"/>
  <c r="V140" i="28"/>
  <c r="V128" i="28"/>
  <c r="V119" i="28"/>
  <c r="V174" i="28"/>
  <c r="V166" i="28"/>
  <c r="V193" i="28"/>
  <c r="V185" i="28"/>
  <c r="V95" i="28"/>
  <c r="V89" i="28"/>
  <c r="V81" i="28"/>
  <c r="V153" i="28"/>
  <c r="V145" i="28"/>
  <c r="V129" i="28"/>
  <c r="V112" i="28"/>
  <c r="V173" i="28"/>
  <c r="V165" i="28"/>
  <c r="V192" i="28"/>
  <c r="V184" i="28"/>
  <c r="V103" i="28"/>
  <c r="V182" i="28"/>
  <c r="V96" i="28"/>
  <c r="V86" i="28"/>
  <c r="V150" i="28"/>
  <c r="V142" i="28"/>
  <c r="V102" i="28"/>
  <c r="V93" i="28"/>
  <c r="V84" i="28"/>
  <c r="V152" i="28"/>
  <c r="V144" i="28"/>
  <c r="V132" i="28"/>
  <c r="V123" i="28"/>
  <c r="V115" i="28"/>
  <c r="V170" i="28"/>
  <c r="V162" i="28"/>
  <c r="V189" i="28"/>
  <c r="V79" i="28"/>
  <c r="V99" i="28"/>
  <c r="V85" i="28"/>
  <c r="V149" i="28"/>
  <c r="V141" i="28"/>
  <c r="V133" i="28"/>
  <c r="V124" i="28"/>
  <c r="V120" i="28"/>
  <c r="V116" i="28"/>
  <c r="V169" i="28"/>
  <c r="V196" i="28"/>
  <c r="V188" i="28"/>
  <c r="V134" i="28"/>
  <c r="V100" i="28"/>
  <c r="V90" i="28"/>
  <c r="V82" i="28"/>
  <c r="V154" i="28"/>
  <c r="V146" i="28"/>
  <c r="V138" i="28"/>
  <c r="V130" i="28"/>
  <c r="V125" i="28"/>
  <c r="V117" i="28"/>
  <c r="V161" i="28"/>
  <c r="V168" i="28"/>
  <c r="V121" i="28"/>
  <c r="V195" i="28"/>
  <c r="V187" i="28"/>
  <c r="V101" i="28"/>
  <c r="V92" i="28"/>
  <c r="V83" i="28"/>
  <c r="V147" i="28"/>
  <c r="V139" i="28"/>
  <c r="V118" i="28"/>
  <c r="V171" i="28"/>
  <c r="V163" i="28"/>
  <c r="V194" i="28"/>
  <c r="V186" i="28"/>
  <c r="V104" i="28"/>
  <c r="V135" i="28"/>
  <c r="V113" i="28"/>
  <c r="V172" i="28"/>
  <c r="V164" i="28"/>
  <c r="V191" i="28"/>
  <c r="V183" i="28"/>
  <c r="V97" i="28"/>
  <c r="V87" i="28"/>
  <c r="V111" i="28"/>
  <c r="V151" i="28"/>
  <c r="V143" i="28"/>
  <c r="V131" i="28"/>
  <c r="V127" i="28"/>
  <c r="V122" i="28"/>
  <c r="V114" i="28"/>
  <c r="V175" i="28"/>
  <c r="V167" i="28"/>
  <c r="V190" i="28"/>
  <c r="V91" i="28"/>
  <c r="V136" i="28"/>
  <c r="G120" i="20"/>
  <c r="E136" i="18"/>
  <c r="E139" i="18"/>
  <c r="F87" i="18"/>
  <c r="J2" i="1"/>
  <c r="K2" i="1"/>
  <c r="L2" i="1"/>
  <c r="M2" i="1"/>
  <c r="N2" i="1"/>
  <c r="O2" i="1"/>
  <c r="P2" i="1"/>
  <c r="R2" i="1"/>
  <c r="T2" i="1"/>
  <c r="U2" i="1"/>
  <c r="J5" i="1"/>
  <c r="K5" i="1"/>
  <c r="L5" i="1"/>
  <c r="N5" i="1"/>
  <c r="P5" i="1"/>
  <c r="B7" i="1"/>
  <c r="I7" i="1" s="1"/>
  <c r="R7" i="1"/>
  <c r="Q7" i="1"/>
  <c r="T7" i="1"/>
  <c r="U7" i="1" s="1"/>
  <c r="B8" i="1"/>
  <c r="I8" i="1" s="1"/>
  <c r="R8" i="1"/>
  <c r="P8" i="1"/>
  <c r="Q8" i="1"/>
  <c r="T8" i="1"/>
  <c r="U8" i="1" s="1"/>
  <c r="B9" i="1"/>
  <c r="I9" i="1" s="1"/>
  <c r="F9" i="1"/>
  <c r="Q9" i="1"/>
  <c r="R9" i="1"/>
  <c r="T9" i="1"/>
  <c r="U9" i="1" s="1"/>
  <c r="B10" i="1"/>
  <c r="I10" i="1" s="1"/>
  <c r="R10" i="1"/>
  <c r="Q10" i="1"/>
  <c r="T10" i="1"/>
  <c r="U10" i="1" s="1"/>
  <c r="C11" i="1"/>
  <c r="D11" i="1"/>
  <c r="E11" i="1"/>
  <c r="T11" i="1" s="1"/>
  <c r="U11" i="1" s="1"/>
  <c r="F11" i="1"/>
  <c r="B12" i="1"/>
  <c r="I12" i="1" s="1"/>
  <c r="R12" i="1"/>
  <c r="Q12" i="1"/>
  <c r="T12" i="1"/>
  <c r="U12" i="1" s="1"/>
  <c r="B13" i="1"/>
  <c r="P13" i="1" s="1"/>
  <c r="R13" i="1"/>
  <c r="Q13" i="1"/>
  <c r="T13" i="1"/>
  <c r="U13" i="1" s="1"/>
  <c r="B14" i="1"/>
  <c r="P14" i="1" s="1"/>
  <c r="F14" i="1"/>
  <c r="R14" i="1"/>
  <c r="Q14" i="1"/>
  <c r="T14" i="1"/>
  <c r="U14" i="1" s="1"/>
  <c r="B15" i="1"/>
  <c r="I15" i="1" s="1"/>
  <c r="R15" i="1"/>
  <c r="Q15" i="1"/>
  <c r="T15" i="1"/>
  <c r="U15" i="1" s="1"/>
  <c r="B16" i="1"/>
  <c r="I16" i="1" s="1"/>
  <c r="R16" i="1"/>
  <c r="Q16" i="1"/>
  <c r="T16" i="1"/>
  <c r="U16" i="1" s="1"/>
  <c r="B17" i="1"/>
  <c r="I17" i="1" s="1"/>
  <c r="R17" i="1"/>
  <c r="P17" i="1"/>
  <c r="Q17" i="1"/>
  <c r="T17" i="1"/>
  <c r="U17" i="1" s="1"/>
  <c r="B18" i="1"/>
  <c r="I18" i="1" s="1"/>
  <c r="R18" i="1"/>
  <c r="Q18" i="1"/>
  <c r="T18" i="1"/>
  <c r="U18" i="1" s="1"/>
  <c r="B19" i="1"/>
  <c r="I19" i="1" s="1"/>
  <c r="R19" i="1"/>
  <c r="Q19" i="1"/>
  <c r="T19" i="1"/>
  <c r="U19" i="1" s="1"/>
  <c r="B20" i="1"/>
  <c r="P20" i="1" s="1"/>
  <c r="G20" i="1"/>
  <c r="H20" i="1" s="1"/>
  <c r="Q20" i="1"/>
  <c r="R20" i="1"/>
  <c r="T20" i="1"/>
  <c r="U20" i="1" s="1"/>
  <c r="B21" i="1"/>
  <c r="P21" i="1" s="1"/>
  <c r="R21" i="1"/>
  <c r="Q21" i="1"/>
  <c r="U21" i="1"/>
  <c r="B22" i="1"/>
  <c r="P22" i="1" s="1"/>
  <c r="R22" i="1"/>
  <c r="Q22" i="1"/>
  <c r="T22" i="1"/>
  <c r="U22" i="1" s="1"/>
  <c r="B23" i="1"/>
  <c r="I23" i="1" s="1"/>
  <c r="R23" i="1"/>
  <c r="Q23" i="1"/>
  <c r="T23" i="1"/>
  <c r="U23" i="1" s="1"/>
  <c r="T24" i="1"/>
  <c r="U24" i="1" s="1"/>
  <c r="J82" i="25" s="1"/>
  <c r="I25" i="1"/>
  <c r="R25" i="1"/>
  <c r="P25" i="1"/>
  <c r="D17" i="18" s="1"/>
  <c r="D16" i="18" s="1"/>
  <c r="Q25" i="1"/>
  <c r="B26" i="1"/>
  <c r="I26" i="1" s="1"/>
  <c r="R26" i="1"/>
  <c r="P26" i="1"/>
  <c r="Q26" i="1"/>
  <c r="T26" i="1"/>
  <c r="U26" i="1" s="1"/>
  <c r="B27" i="1"/>
  <c r="I27" i="1" s="1"/>
  <c r="R27" i="1"/>
  <c r="Q27" i="1"/>
  <c r="T27" i="1"/>
  <c r="U27" i="1" s="1"/>
  <c r="C28" i="1"/>
  <c r="T28" i="1"/>
  <c r="U28" i="1" s="1"/>
  <c r="Q29" i="1"/>
  <c r="T29" i="1"/>
  <c r="U29" i="1" s="1"/>
  <c r="B30" i="1"/>
  <c r="I30" i="1" s="1"/>
  <c r="K30" i="1"/>
  <c r="R30" i="1"/>
  <c r="Q30" i="1"/>
  <c r="T30" i="1"/>
  <c r="U30" i="1" s="1"/>
  <c r="B31" i="1"/>
  <c r="Q31" i="1"/>
  <c r="T31" i="1"/>
  <c r="U31" i="1" s="1"/>
  <c r="B32" i="1"/>
  <c r="P32" i="1" s="1"/>
  <c r="I32" i="1"/>
  <c r="R32" i="1"/>
  <c r="Q32" i="1"/>
  <c r="T32" i="1"/>
  <c r="U32" i="1" s="1"/>
  <c r="B33" i="1"/>
  <c r="R33" i="1"/>
  <c r="Q33" i="1"/>
  <c r="T33" i="1"/>
  <c r="U33" i="1" s="1"/>
  <c r="B34" i="1"/>
  <c r="P34" i="1" s="1"/>
  <c r="R34" i="1"/>
  <c r="Q34" i="1"/>
  <c r="T34" i="1"/>
  <c r="U34" i="1" s="1"/>
  <c r="B35" i="1"/>
  <c r="R35" i="1"/>
  <c r="Q35" i="1"/>
  <c r="T35" i="1"/>
  <c r="U35" i="1" s="1"/>
  <c r="B36" i="1"/>
  <c r="P36" i="1" s="1"/>
  <c r="L36" i="1"/>
  <c r="R36" i="1"/>
  <c r="Q36" i="1"/>
  <c r="T36" i="1"/>
  <c r="U36" i="1" s="1"/>
  <c r="B37" i="1"/>
  <c r="I38" i="1" s="1"/>
  <c r="R37" i="1"/>
  <c r="Q37" i="1"/>
  <c r="T37" i="1"/>
  <c r="U37" i="1" s="1"/>
  <c r="B38" i="1"/>
  <c r="P38" i="1" s="1"/>
  <c r="R38" i="1"/>
  <c r="Q38" i="1"/>
  <c r="T38" i="1"/>
  <c r="U38" i="1" s="1"/>
  <c r="B39" i="1"/>
  <c r="P39" i="1" s="1"/>
  <c r="R39" i="1"/>
  <c r="Q39" i="1"/>
  <c r="T39" i="1"/>
  <c r="U39" i="1" s="1"/>
  <c r="B40" i="1"/>
  <c r="I41" i="1" s="1"/>
  <c r="R40" i="1"/>
  <c r="Q40" i="1"/>
  <c r="T40" i="1"/>
  <c r="U40" i="1" s="1"/>
  <c r="B41" i="1"/>
  <c r="P41" i="1" s="1"/>
  <c r="R41" i="1"/>
  <c r="Q41" i="1"/>
  <c r="T41" i="1"/>
  <c r="U41" i="1" s="1"/>
  <c r="B42" i="1"/>
  <c r="I43" i="1" s="1"/>
  <c r="R42" i="1"/>
  <c r="Q42" i="1"/>
  <c r="T42" i="1"/>
  <c r="U42" i="1" s="1"/>
  <c r="B43" i="1"/>
  <c r="P43" i="1" s="1"/>
  <c r="R43" i="1"/>
  <c r="Q43" i="1"/>
  <c r="T43" i="1"/>
  <c r="U43" i="1" s="1"/>
  <c r="B44" i="1"/>
  <c r="U44" i="1"/>
  <c r="B45" i="1"/>
  <c r="U45" i="1"/>
  <c r="B47" i="1"/>
  <c r="H47" i="1"/>
  <c r="R47" i="1"/>
  <c r="Q47" i="1"/>
  <c r="T47" i="1"/>
  <c r="B48" i="1"/>
  <c r="P48" i="1" s="1"/>
  <c r="R48" i="1"/>
  <c r="Q48" i="1"/>
  <c r="T48" i="1"/>
  <c r="T49" i="1"/>
  <c r="B50" i="1"/>
  <c r="P50" i="1" s="1"/>
  <c r="R50" i="1"/>
  <c r="Q50" i="1"/>
  <c r="T50" i="1"/>
  <c r="B51" i="1"/>
  <c r="P51" i="1" s="1"/>
  <c r="Q51" i="1"/>
  <c r="T51" i="1"/>
  <c r="B53" i="1"/>
  <c r="P53" i="1" s="1"/>
  <c r="H53" i="1"/>
  <c r="R53" i="1"/>
  <c r="Q53" i="1"/>
  <c r="T53" i="1"/>
  <c r="B54" i="1"/>
  <c r="P54" i="1" s="1"/>
  <c r="H54" i="1"/>
  <c r="R54" i="1"/>
  <c r="Q54" i="1"/>
  <c r="T54" i="1"/>
  <c r="B57" i="1"/>
  <c r="Q57" i="1"/>
  <c r="B58" i="1"/>
  <c r="Q58" i="1"/>
  <c r="B59" i="1"/>
  <c r="Q59" i="1"/>
  <c r="B61" i="1"/>
  <c r="Q61" i="1"/>
  <c r="B62" i="1"/>
  <c r="Q62" i="1"/>
  <c r="B63" i="1"/>
  <c r="Q63" i="1"/>
  <c r="B64" i="1"/>
  <c r="Q64" i="1"/>
  <c r="B66" i="1"/>
  <c r="Q66" i="1"/>
  <c r="B67" i="1"/>
  <c r="Q67" i="1"/>
  <c r="E71" i="1"/>
  <c r="R71" i="1" s="1"/>
  <c r="H71" i="1"/>
  <c r="E72" i="1"/>
  <c r="R72" i="1" s="1"/>
  <c r="H72" i="1"/>
  <c r="E73" i="1"/>
  <c r="R73" i="1" s="1"/>
  <c r="H73" i="1"/>
  <c r="E74" i="1"/>
  <c r="R74" i="1" s="1"/>
  <c r="H74" i="1"/>
  <c r="E75" i="1"/>
  <c r="T75" i="1" s="1"/>
  <c r="H75" i="1"/>
  <c r="E76" i="1"/>
  <c r="T76" i="1" s="1"/>
  <c r="H76" i="1"/>
  <c r="D8" i="2"/>
  <c r="D9" i="2"/>
  <c r="C29" i="2" s="1"/>
  <c r="D10" i="2"/>
  <c r="D12" i="2"/>
  <c r="C28" i="2" s="1"/>
  <c r="D13" i="2"/>
  <c r="C42" i="2"/>
  <c r="C50" i="2"/>
  <c r="C52" i="2"/>
  <c r="J2" i="20"/>
  <c r="J3" i="20"/>
  <c r="F3" i="20" s="1"/>
  <c r="J4" i="20"/>
  <c r="J5" i="20"/>
  <c r="J6" i="20"/>
  <c r="J7" i="20"/>
  <c r="J8" i="20"/>
  <c r="D28" i="22"/>
  <c r="C30" i="22"/>
  <c r="D30" i="22"/>
  <c r="E30" i="22"/>
  <c r="P40" i="1" l="1"/>
  <c r="P9" i="1"/>
  <c r="P19" i="1"/>
  <c r="S19" i="1" s="1"/>
  <c r="AG39" i="6"/>
  <c r="E134" i="20"/>
  <c r="I13" i="1"/>
  <c r="I39" i="1"/>
  <c r="I33" i="1"/>
  <c r="P10" i="1"/>
  <c r="S10" i="1" s="1"/>
  <c r="P7" i="1"/>
  <c r="S7" i="1" s="1"/>
  <c r="I42" i="1"/>
  <c r="P37" i="1"/>
  <c r="S37" i="1" s="1"/>
  <c r="P27" i="1"/>
  <c r="S27" i="1" s="1"/>
  <c r="I14" i="1"/>
  <c r="W135" i="28"/>
  <c r="W163" i="28"/>
  <c r="W118" i="28"/>
  <c r="W139" i="28"/>
  <c r="W87" i="28"/>
  <c r="W101" i="28"/>
  <c r="W195" i="28"/>
  <c r="W117" i="28"/>
  <c r="W104" i="28"/>
  <c r="W186" i="28"/>
  <c r="W167" i="28"/>
  <c r="W114" i="28"/>
  <c r="W127" i="28"/>
  <c r="W151" i="28"/>
  <c r="W83" i="28"/>
  <c r="W183" i="28"/>
  <c r="W164" i="28"/>
  <c r="W125" i="28"/>
  <c r="W172" i="28"/>
  <c r="W121" i="28"/>
  <c r="W142" i="28"/>
  <c r="W82" i="28"/>
  <c r="W96" i="28"/>
  <c r="W103" i="28"/>
  <c r="W184" i="28"/>
  <c r="W169" i="28"/>
  <c r="W129" i="28"/>
  <c r="W149" i="28"/>
  <c r="W89" i="28"/>
  <c r="W189" i="28"/>
  <c r="W170" i="28"/>
  <c r="W123" i="28"/>
  <c r="W144" i="28"/>
  <c r="W80" i="28"/>
  <c r="W93" i="28"/>
  <c r="W146" i="28"/>
  <c r="W86" i="28"/>
  <c r="W188" i="28"/>
  <c r="W165" i="28"/>
  <c r="W116" i="28"/>
  <c r="W124" i="28"/>
  <c r="W145" i="28"/>
  <c r="W85" i="28"/>
  <c r="T105" i="28"/>
  <c r="C49" i="28" s="1"/>
  <c r="W79" i="28"/>
  <c r="W193" i="28"/>
  <c r="W174" i="28"/>
  <c r="W132" i="28"/>
  <c r="W148" i="28"/>
  <c r="W98" i="28"/>
  <c r="U155" i="28"/>
  <c r="U176" i="28"/>
  <c r="U105" i="28"/>
  <c r="S32" i="1"/>
  <c r="P30" i="1"/>
  <c r="S30" i="1" s="1"/>
  <c r="V155" i="28"/>
  <c r="V176" i="28"/>
  <c r="V105" i="28"/>
  <c r="V197" i="28"/>
  <c r="W190" i="28"/>
  <c r="W171" i="28"/>
  <c r="W131" i="28"/>
  <c r="W147" i="28"/>
  <c r="W92" i="28"/>
  <c r="W187" i="28"/>
  <c r="W168" i="28"/>
  <c r="W136" i="28"/>
  <c r="W91" i="28"/>
  <c r="W194" i="28"/>
  <c r="W175" i="28"/>
  <c r="W122" i="28"/>
  <c r="W143" i="28"/>
  <c r="T155" i="28"/>
  <c r="C54" i="28" s="1"/>
  <c r="W111" i="28"/>
  <c r="W97" i="28"/>
  <c r="W191" i="28"/>
  <c r="T176" i="28"/>
  <c r="C59" i="28" s="1"/>
  <c r="W161" i="28"/>
  <c r="W138" i="28"/>
  <c r="W113" i="28"/>
  <c r="W130" i="28"/>
  <c r="W150" i="28"/>
  <c r="W90" i="28"/>
  <c r="T197" i="28"/>
  <c r="C64" i="28" s="1"/>
  <c r="W182" i="28"/>
  <c r="W134" i="28"/>
  <c r="W192" i="28"/>
  <c r="W112" i="28"/>
  <c r="W141" i="28"/>
  <c r="W81" i="28"/>
  <c r="W99" i="28"/>
  <c r="W162" i="28"/>
  <c r="W115" i="28"/>
  <c r="W128" i="28"/>
  <c r="W152" i="28"/>
  <c r="W88" i="28"/>
  <c r="W102" i="28"/>
  <c r="W154" i="28"/>
  <c r="W100" i="28"/>
  <c r="W196" i="28"/>
  <c r="W173" i="28"/>
  <c r="W120" i="28"/>
  <c r="W133" i="28"/>
  <c r="W153" i="28"/>
  <c r="W95" i="28"/>
  <c r="W185" i="28"/>
  <c r="W166" i="28"/>
  <c r="W119" i="28"/>
  <c r="W140" i="28"/>
  <c r="W84" i="28"/>
  <c r="U197" i="28"/>
  <c r="D31" i="22"/>
  <c r="R76" i="1"/>
  <c r="S53" i="1"/>
  <c r="S40" i="1"/>
  <c r="S38" i="1"/>
  <c r="S36" i="1"/>
  <c r="S20" i="1"/>
  <c r="S17" i="1"/>
  <c r="S8" i="1"/>
  <c r="S48" i="1"/>
  <c r="S34" i="1"/>
  <c r="P31" i="1"/>
  <c r="S31" i="1" s="1"/>
  <c r="S22" i="1"/>
  <c r="S21" i="1"/>
  <c r="S14" i="1"/>
  <c r="S54" i="1"/>
  <c r="S51" i="1"/>
  <c r="S50" i="1"/>
  <c r="S43" i="1"/>
  <c r="S41" i="1"/>
  <c r="S39" i="1"/>
  <c r="S26" i="1"/>
  <c r="S25" i="1"/>
  <c r="S13" i="1"/>
  <c r="S9" i="1"/>
  <c r="R67" i="1"/>
  <c r="N67" i="1"/>
  <c r="R66" i="1"/>
  <c r="N66" i="1"/>
  <c r="R64" i="1"/>
  <c r="N64" i="1"/>
  <c r="R63" i="1"/>
  <c r="N63" i="1"/>
  <c r="R62" i="1"/>
  <c r="N62" i="1"/>
  <c r="P61" i="1"/>
  <c r="S61" i="1" s="1"/>
  <c r="R61" i="1"/>
  <c r="N61" i="1"/>
  <c r="P59" i="1"/>
  <c r="S59" i="1" s="1"/>
  <c r="R59" i="1"/>
  <c r="N59" i="1"/>
  <c r="R58" i="1"/>
  <c r="N58" i="1"/>
  <c r="R57" i="1"/>
  <c r="N57" i="1"/>
  <c r="B28" i="1"/>
  <c r="I28" i="1" s="1"/>
  <c r="N28" i="1"/>
  <c r="R28" i="1" s="1"/>
  <c r="B11" i="1"/>
  <c r="P11" i="1" s="1"/>
  <c r="N11" i="1"/>
  <c r="R11" i="1" s="1"/>
  <c r="I35" i="1"/>
  <c r="O11" i="1"/>
  <c r="C28" i="22"/>
  <c r="H140" i="18"/>
  <c r="E40" i="19" s="1"/>
  <c r="H138" i="18"/>
  <c r="H136" i="18"/>
  <c r="H139" i="18"/>
  <c r="E39" i="19" s="1"/>
  <c r="H141" i="18"/>
  <c r="E41" i="19" s="1"/>
  <c r="E28" i="22"/>
  <c r="P75" i="1"/>
  <c r="C75" i="1" s="1"/>
  <c r="P73" i="1"/>
  <c r="C73" i="1" s="1"/>
  <c r="P71" i="1"/>
  <c r="C71" i="1" s="1"/>
  <c r="P76" i="1"/>
  <c r="C76" i="1" s="1"/>
  <c r="P74" i="1"/>
  <c r="C74" i="1" s="1"/>
  <c r="P72" i="1"/>
  <c r="C72" i="1" s="1"/>
  <c r="L12" i="25"/>
  <c r="L11" i="25"/>
  <c r="L14" i="25"/>
  <c r="G15" i="25"/>
  <c r="L13" i="25"/>
  <c r="G16" i="25"/>
  <c r="G13" i="25"/>
  <c r="L15" i="25"/>
  <c r="G14" i="25"/>
  <c r="G11" i="25"/>
  <c r="G12" i="25"/>
  <c r="C24" i="1"/>
  <c r="D24" i="1" s="1"/>
  <c r="R75" i="1"/>
  <c r="H75" i="6"/>
  <c r="AG28" i="6"/>
  <c r="AG29" i="6" s="1"/>
  <c r="G75" i="6"/>
  <c r="AG30" i="6"/>
  <c r="F2" i="20"/>
  <c r="F12" i="20" s="1"/>
  <c r="C29" i="22"/>
  <c r="C30" i="2"/>
  <c r="J64" i="1" s="1"/>
  <c r="M64" i="1" s="1"/>
  <c r="I20" i="1"/>
  <c r="Q11" i="1"/>
  <c r="P62" i="1"/>
  <c r="S62" i="1" s="1"/>
  <c r="G3" i="20"/>
  <c r="G4" i="20"/>
  <c r="G13" i="20" s="1"/>
  <c r="F30" i="22"/>
  <c r="E32" i="22"/>
  <c r="I54" i="1"/>
  <c r="I40" i="1"/>
  <c r="T71" i="1"/>
  <c r="I37" i="1"/>
  <c r="I44" i="1"/>
  <c r="F4" i="20"/>
  <c r="F13" i="20" s="1"/>
  <c r="C40" i="2"/>
  <c r="N58" i="27" s="1"/>
  <c r="I48" i="1"/>
  <c r="P12" i="1"/>
  <c r="S12" i="1" s="1"/>
  <c r="T72" i="1"/>
  <c r="P63" i="1"/>
  <c r="S63" i="1" s="1"/>
  <c r="P18" i="1"/>
  <c r="S18" i="1" s="1"/>
  <c r="P16" i="1"/>
  <c r="S16" i="1" s="1"/>
  <c r="P15" i="1"/>
  <c r="S15" i="1" s="1"/>
  <c r="T74" i="1"/>
  <c r="P67" i="1"/>
  <c r="S67" i="1" s="1"/>
  <c r="P23" i="1"/>
  <c r="S23" i="1" s="1"/>
  <c r="D11" i="18"/>
  <c r="F11" i="18"/>
  <c r="I36" i="1"/>
  <c r="P35" i="1"/>
  <c r="S35" i="1" s="1"/>
  <c r="F9" i="20"/>
  <c r="F7" i="20"/>
  <c r="G7" i="20"/>
  <c r="F6" i="20"/>
  <c r="F15" i="20" s="1"/>
  <c r="G9" i="20"/>
  <c r="G6" i="20"/>
  <c r="G15" i="20" s="1"/>
  <c r="F8" i="20"/>
  <c r="G8" i="20"/>
  <c r="P58" i="1"/>
  <c r="S58" i="1" s="1"/>
  <c r="I34" i="1"/>
  <c r="P33" i="1"/>
  <c r="S33" i="1" s="1"/>
  <c r="T73" i="1"/>
  <c r="J26" i="1"/>
  <c r="M26" i="1" s="1"/>
  <c r="P66" i="1"/>
  <c r="S66" i="1" s="1"/>
  <c r="P42" i="1"/>
  <c r="S42" i="1" s="1"/>
  <c r="I11" i="1"/>
  <c r="I22" i="1"/>
  <c r="I53" i="1"/>
  <c r="P64" i="1"/>
  <c r="S64" i="1" s="1"/>
  <c r="P57" i="1"/>
  <c r="D28" i="1"/>
  <c r="O28" i="1" s="1"/>
  <c r="I47" i="1"/>
  <c r="P47" i="1"/>
  <c r="I21" i="1"/>
  <c r="G2" i="20"/>
  <c r="G12" i="20" s="1"/>
  <c r="V16" i="16" l="1"/>
  <c r="D66" i="2" s="1"/>
  <c r="G66" i="2" s="1"/>
  <c r="F41" i="19"/>
  <c r="H41" i="19"/>
  <c r="F40" i="19"/>
  <c r="H40" i="19"/>
  <c r="J22" i="1"/>
  <c r="M22" i="1" s="1"/>
  <c r="K41" i="1"/>
  <c r="J12" i="1"/>
  <c r="M12" i="1" s="1"/>
  <c r="J13" i="1"/>
  <c r="M13" i="1" s="1"/>
  <c r="J9" i="1"/>
  <c r="M9" i="1" s="1"/>
  <c r="J20" i="1"/>
  <c r="M20" i="1" s="1"/>
  <c r="F39" i="19"/>
  <c r="H39" i="19"/>
  <c r="S47" i="1"/>
  <c r="C17" i="18"/>
  <c r="C16" i="18" s="1"/>
  <c r="E16" i="18" s="1"/>
  <c r="F16" i="18" s="1"/>
  <c r="W40" i="6"/>
  <c r="W41" i="6" s="1"/>
  <c r="AG41" i="6"/>
  <c r="AG40" i="6"/>
  <c r="J57" i="1"/>
  <c r="M57" i="1" s="1"/>
  <c r="K15" i="1"/>
  <c r="K37" i="1"/>
  <c r="J18" i="43"/>
  <c r="I18" i="43"/>
  <c r="J30" i="1"/>
  <c r="M30" i="1" s="1"/>
  <c r="J14" i="1"/>
  <c r="M14" i="1" s="1"/>
  <c r="O1" i="1" s="1"/>
  <c r="J50" i="1"/>
  <c r="M50" i="1" s="1"/>
  <c r="I16" i="16"/>
  <c r="D69" i="2" s="1"/>
  <c r="G69" i="2" s="1"/>
  <c r="H6" i="20" s="1"/>
  <c r="H15" i="20" s="1"/>
  <c r="P28" i="1"/>
  <c r="J40" i="1"/>
  <c r="M40" i="1" s="1"/>
  <c r="AG16" i="16"/>
  <c r="D78" i="2" s="1"/>
  <c r="G78" i="2" s="1"/>
  <c r="AE16" i="16"/>
  <c r="X16" i="16"/>
  <c r="K38" i="1"/>
  <c r="W16" i="16"/>
  <c r="J25" i="1"/>
  <c r="M25" i="1" s="1"/>
  <c r="J51" i="1"/>
  <c r="M51" i="1" s="1"/>
  <c r="U16" i="16"/>
  <c r="J23" i="1"/>
  <c r="M23" i="1" s="1"/>
  <c r="K16" i="16"/>
  <c r="J16" i="16"/>
  <c r="K13" i="1"/>
  <c r="J37" i="1"/>
  <c r="M37" i="1" s="1"/>
  <c r="N50" i="31"/>
  <c r="AJ13" i="16" s="1"/>
  <c r="E73" i="2" s="1"/>
  <c r="K11" i="1"/>
  <c r="N30" i="31"/>
  <c r="M40" i="31"/>
  <c r="Q50" i="31"/>
  <c r="AJ11" i="16" s="1"/>
  <c r="F29" i="2"/>
  <c r="O36" i="31"/>
  <c r="P36" i="31" s="1"/>
  <c r="O35" i="30"/>
  <c r="P35" i="30" s="1"/>
  <c r="O26" i="30"/>
  <c r="P26" i="30" s="1"/>
  <c r="O37" i="31"/>
  <c r="P37" i="31" s="1"/>
  <c r="O24" i="30"/>
  <c r="P24" i="30" s="1"/>
  <c r="O27" i="31"/>
  <c r="P27" i="31" s="1"/>
  <c r="O35" i="31"/>
  <c r="P35" i="31" s="1"/>
  <c r="O25" i="30"/>
  <c r="P25" i="30" s="1"/>
  <c r="O26" i="31"/>
  <c r="P26" i="31" s="1"/>
  <c r="O34" i="30"/>
  <c r="P34" i="30" s="1"/>
  <c r="O25" i="31"/>
  <c r="P25" i="31" s="1"/>
  <c r="O36" i="30"/>
  <c r="P36" i="30" s="1"/>
  <c r="O47" i="31"/>
  <c r="O27" i="30"/>
  <c r="O45" i="31"/>
  <c r="O46" i="31"/>
  <c r="O37" i="30"/>
  <c r="O38" i="31"/>
  <c r="O28" i="31"/>
  <c r="O48" i="31"/>
  <c r="L50" i="31"/>
  <c r="AJ15" i="16" s="1"/>
  <c r="L40" i="31"/>
  <c r="M30" i="31"/>
  <c r="N40" i="31"/>
  <c r="H69" i="6"/>
  <c r="E128" i="18"/>
  <c r="L30" i="31"/>
  <c r="R50" i="31"/>
  <c r="AJ12" i="16" s="1"/>
  <c r="M50" i="31"/>
  <c r="AJ14" i="16" s="1"/>
  <c r="F73" i="2" s="1"/>
  <c r="H120" i="20"/>
  <c r="F139" i="6"/>
  <c r="E137" i="6"/>
  <c r="F137" i="6"/>
  <c r="W176" i="28"/>
  <c r="W155" i="28"/>
  <c r="E4" i="28"/>
  <c r="E49" i="28"/>
  <c r="E54" i="28"/>
  <c r="E9" i="28"/>
  <c r="D59" i="28"/>
  <c r="D14" i="28"/>
  <c r="D64" i="28"/>
  <c r="D19" i="28"/>
  <c r="W197" i="28"/>
  <c r="E19" i="28"/>
  <c r="E64" i="28"/>
  <c r="E59" i="28"/>
  <c r="E14" i="28"/>
  <c r="D4" i="28"/>
  <c r="D49" i="28"/>
  <c r="D54" i="28"/>
  <c r="D9" i="28"/>
  <c r="W105" i="28"/>
  <c r="Y16" i="16"/>
  <c r="D83" i="2" s="1"/>
  <c r="G83" i="2" s="1"/>
  <c r="P16" i="16"/>
  <c r="J53" i="1"/>
  <c r="M53" i="1" s="1"/>
  <c r="K28" i="1"/>
  <c r="L28" i="1" s="1"/>
  <c r="J11" i="1"/>
  <c r="M11" i="1" s="1"/>
  <c r="F16" i="16"/>
  <c r="J38" i="1"/>
  <c r="M38" i="1" s="1"/>
  <c r="J17" i="1"/>
  <c r="M16" i="16"/>
  <c r="J47" i="1"/>
  <c r="M47" i="1" s="1"/>
  <c r="X47" i="1" s="1"/>
  <c r="K12" i="1"/>
  <c r="L16" i="16"/>
  <c r="K39" i="1"/>
  <c r="J21" i="1"/>
  <c r="M21" i="1" s="1"/>
  <c r="K8" i="1"/>
  <c r="J59" i="1"/>
  <c r="M59" i="1" s="1"/>
  <c r="J8" i="1"/>
  <c r="M8" i="1" s="1"/>
  <c r="J67" i="1"/>
  <c r="M67" i="1" s="1"/>
  <c r="J35" i="1"/>
  <c r="M35" i="1" s="1"/>
  <c r="K9" i="1"/>
  <c r="L9" i="1" s="1"/>
  <c r="J66" i="1"/>
  <c r="M66" i="1" s="1"/>
  <c r="K27" i="1"/>
  <c r="J27" i="1"/>
  <c r="M27" i="1" s="1"/>
  <c r="K43" i="1"/>
  <c r="K53" i="1"/>
  <c r="G16" i="16"/>
  <c r="D70" i="2" s="1"/>
  <c r="G70" i="2" s="1"/>
  <c r="H7" i="20" s="1"/>
  <c r="K45" i="1"/>
  <c r="K25" i="1"/>
  <c r="K10" i="1"/>
  <c r="J62" i="1"/>
  <c r="M62" i="1" s="1"/>
  <c r="J34" i="1"/>
  <c r="M34" i="1" s="1"/>
  <c r="J10" i="1"/>
  <c r="M10" i="1" s="1"/>
  <c r="J61" i="1"/>
  <c r="M61" i="1" s="1"/>
  <c r="J41" i="1"/>
  <c r="M41" i="1" s="1"/>
  <c r="F27" i="2"/>
  <c r="D16" i="16"/>
  <c r="D72" i="2" s="1"/>
  <c r="G72" i="2" s="1"/>
  <c r="H8" i="20" s="1"/>
  <c r="J31" i="1"/>
  <c r="M31" i="1" s="1"/>
  <c r="K18" i="1"/>
  <c r="AB16" i="16"/>
  <c r="D64" i="2" s="1"/>
  <c r="I16" i="43" s="1"/>
  <c r="H16" i="43" s="1"/>
  <c r="J16" i="43" s="1"/>
  <c r="K42" i="1"/>
  <c r="AA16" i="16"/>
  <c r="J48" i="1"/>
  <c r="M48" i="1" s="1"/>
  <c r="J33" i="1"/>
  <c r="M33" i="1" s="1"/>
  <c r="Z16" i="16"/>
  <c r="J58" i="1"/>
  <c r="M58" i="1" s="1"/>
  <c r="K19" i="1"/>
  <c r="E31" i="22"/>
  <c r="K14" i="1"/>
  <c r="J63" i="1"/>
  <c r="M63" i="1" s="1"/>
  <c r="J43" i="1"/>
  <c r="M43" i="1" s="1"/>
  <c r="K17" i="1"/>
  <c r="K7" i="1"/>
  <c r="K47" i="1"/>
  <c r="J32" i="1"/>
  <c r="M32" i="1" s="1"/>
  <c r="J7" i="1"/>
  <c r="M7" i="1" s="1"/>
  <c r="K54" i="1"/>
  <c r="K23" i="1"/>
  <c r="AC16" i="16"/>
  <c r="J54" i="1"/>
  <c r="M54" i="1" s="1"/>
  <c r="K26" i="1"/>
  <c r="J15" i="1"/>
  <c r="M15" i="1" s="1"/>
  <c r="T16" i="16"/>
  <c r="J39" i="1"/>
  <c r="M39" i="1" s="1"/>
  <c r="S16" i="16"/>
  <c r="J42" i="1"/>
  <c r="M42" i="1" s="1"/>
  <c r="K16" i="1"/>
  <c r="R16" i="16"/>
  <c r="K40" i="1"/>
  <c r="J16" i="1"/>
  <c r="M16" i="1" s="1"/>
  <c r="L64" i="1"/>
  <c r="J19" i="1"/>
  <c r="M19" i="1" s="1"/>
  <c r="Q16" i="16"/>
  <c r="D65" i="2" s="1"/>
  <c r="C31" i="22"/>
  <c r="N16" i="16"/>
  <c r="J18" i="1"/>
  <c r="M18" i="1" s="1"/>
  <c r="AK16" i="16"/>
  <c r="D74" i="2" s="1"/>
  <c r="D75" i="2" s="1"/>
  <c r="H50" i="31"/>
  <c r="AJ9" i="16" s="1"/>
  <c r="G49" i="30"/>
  <c r="O8" i="16" s="1"/>
  <c r="F49" i="30"/>
  <c r="O10" i="16" s="1"/>
  <c r="E49" i="30"/>
  <c r="O6" i="16" s="1"/>
  <c r="C49" i="30"/>
  <c r="O7" i="16" s="1"/>
  <c r="R49" i="30"/>
  <c r="O12" i="16" s="1"/>
  <c r="I50" i="31"/>
  <c r="H39" i="30"/>
  <c r="I39" i="30"/>
  <c r="F30" i="31"/>
  <c r="E29" i="30"/>
  <c r="M49" i="30"/>
  <c r="O14" i="16" s="1"/>
  <c r="F67" i="2" s="1"/>
  <c r="H40" i="31"/>
  <c r="D40" i="31"/>
  <c r="D30" i="31"/>
  <c r="C39" i="30"/>
  <c r="D39" i="30"/>
  <c r="E50" i="31"/>
  <c r="AJ6" i="16" s="1"/>
  <c r="N49" i="30"/>
  <c r="O13" i="16" s="1"/>
  <c r="E67" i="2" s="1"/>
  <c r="F40" i="31"/>
  <c r="M29" i="30"/>
  <c r="C40" i="31"/>
  <c r="I29" i="30"/>
  <c r="H30" i="31"/>
  <c r="L49" i="30"/>
  <c r="O15" i="16" s="1"/>
  <c r="L29" i="30"/>
  <c r="F39" i="30"/>
  <c r="L39" i="30"/>
  <c r="N19" i="6"/>
  <c r="G77" i="6" s="1"/>
  <c r="G40" i="2"/>
  <c r="F28" i="2"/>
  <c r="Q49" i="30"/>
  <c r="O11" i="16" s="1"/>
  <c r="G50" i="31"/>
  <c r="AJ8" i="16" s="1"/>
  <c r="H49" i="30"/>
  <c r="O9" i="16" s="1"/>
  <c r="F50" i="31"/>
  <c r="AJ10" i="16" s="1"/>
  <c r="C50" i="31"/>
  <c r="AJ7" i="16" s="1"/>
  <c r="I49" i="30"/>
  <c r="E39" i="30"/>
  <c r="G40" i="31"/>
  <c r="E30" i="31"/>
  <c r="C29" i="30"/>
  <c r="E40" i="31"/>
  <c r="H29" i="30"/>
  <c r="G29" i="30"/>
  <c r="G39" i="30"/>
  <c r="F29" i="30"/>
  <c r="I40" i="31"/>
  <c r="D50" i="31"/>
  <c r="M39" i="30"/>
  <c r="I30" i="31"/>
  <c r="D49" i="30"/>
  <c r="O5" i="16" s="1"/>
  <c r="C30" i="31"/>
  <c r="D29" i="30"/>
  <c r="G30" i="31"/>
  <c r="N29" i="30"/>
  <c r="N39" i="30"/>
  <c r="Q1" i="1"/>
  <c r="S57" i="1"/>
  <c r="D29" i="22"/>
  <c r="S11" i="1"/>
  <c r="O47" i="30"/>
  <c r="O45" i="30"/>
  <c r="P45" i="30" s="1"/>
  <c r="O46" i="30"/>
  <c r="P46" i="30" s="1"/>
  <c r="O44" i="30"/>
  <c r="P44" i="30" s="1"/>
  <c r="L79" i="28"/>
  <c r="O79" i="28" s="1"/>
  <c r="F28" i="22"/>
  <c r="D32" i="22"/>
  <c r="H12" i="20"/>
  <c r="J259" i="28"/>
  <c r="K259" i="28" s="1"/>
  <c r="J253" i="28"/>
  <c r="K253" i="28" s="1"/>
  <c r="J245" i="28"/>
  <c r="K245" i="28" s="1"/>
  <c r="J239" i="28"/>
  <c r="K239" i="28" s="1"/>
  <c r="J231" i="28"/>
  <c r="K231" i="28" s="1"/>
  <c r="J226" i="28"/>
  <c r="K226" i="28" s="1"/>
  <c r="N226" i="28" s="1"/>
  <c r="O226" i="28" s="1"/>
  <c r="J225" i="28"/>
  <c r="K225" i="28" s="1"/>
  <c r="J217" i="28"/>
  <c r="K217" i="28" s="1"/>
  <c r="J211" i="28"/>
  <c r="K211" i="28" s="1"/>
  <c r="J254" i="28"/>
  <c r="K254" i="28" s="1"/>
  <c r="N254" i="28" s="1"/>
  <c r="O254" i="28" s="1"/>
  <c r="J240" i="28"/>
  <c r="K240" i="28" s="1"/>
  <c r="N240" i="28" s="1"/>
  <c r="J218" i="28"/>
  <c r="K218" i="28" s="1"/>
  <c r="N218" i="28" s="1"/>
  <c r="J260" i="28"/>
  <c r="K260" i="28" s="1"/>
  <c r="N260" i="28" s="1"/>
  <c r="J246" i="28"/>
  <c r="K246" i="28" s="1"/>
  <c r="N246" i="28" s="1"/>
  <c r="O246" i="28" s="1"/>
  <c r="J232" i="28"/>
  <c r="K232" i="28" s="1"/>
  <c r="N232" i="28" s="1"/>
  <c r="J212" i="28"/>
  <c r="L103" i="28"/>
  <c r="O103" i="28" s="1"/>
  <c r="R103" i="28" s="1"/>
  <c r="X103" i="28" s="1"/>
  <c r="C32" i="22"/>
  <c r="L183" i="28"/>
  <c r="O183" i="28" s="1"/>
  <c r="R183" i="28" s="1"/>
  <c r="X183" i="28" s="1"/>
  <c r="L185" i="28"/>
  <c r="O185" i="28" s="1"/>
  <c r="R185" i="28" s="1"/>
  <c r="X185" i="28" s="1"/>
  <c r="L187" i="28"/>
  <c r="O187" i="28" s="1"/>
  <c r="R187" i="28" s="1"/>
  <c r="X187" i="28" s="1"/>
  <c r="L189" i="28"/>
  <c r="O189" i="28" s="1"/>
  <c r="R189" i="28" s="1"/>
  <c r="X189" i="28" s="1"/>
  <c r="L191" i="28"/>
  <c r="O191" i="28" s="1"/>
  <c r="R191" i="28" s="1"/>
  <c r="X191" i="28" s="1"/>
  <c r="L193" i="28"/>
  <c r="O193" i="28" s="1"/>
  <c r="R193" i="28" s="1"/>
  <c r="X193" i="28" s="1"/>
  <c r="L195" i="28"/>
  <c r="O195" i="28" s="1"/>
  <c r="R195" i="28" s="1"/>
  <c r="X195" i="28" s="1"/>
  <c r="L182" i="28"/>
  <c r="O182" i="28" s="1"/>
  <c r="L163" i="28"/>
  <c r="O163" i="28" s="1"/>
  <c r="R163" i="28" s="1"/>
  <c r="X163" i="28" s="1"/>
  <c r="L165" i="28"/>
  <c r="O165" i="28" s="1"/>
  <c r="R165" i="28" s="1"/>
  <c r="X165" i="28" s="1"/>
  <c r="L167" i="28"/>
  <c r="O167" i="28" s="1"/>
  <c r="R167" i="28" s="1"/>
  <c r="X167" i="28" s="1"/>
  <c r="L169" i="28"/>
  <c r="O169" i="28" s="1"/>
  <c r="R169" i="28" s="1"/>
  <c r="X169" i="28" s="1"/>
  <c r="L171" i="28"/>
  <c r="O171" i="28" s="1"/>
  <c r="R171" i="28" s="1"/>
  <c r="X171" i="28" s="1"/>
  <c r="L173" i="28"/>
  <c r="O173" i="28" s="1"/>
  <c r="R173" i="28" s="1"/>
  <c r="X173" i="28" s="1"/>
  <c r="L175" i="28"/>
  <c r="O175" i="28" s="1"/>
  <c r="L112" i="28"/>
  <c r="O112" i="28" s="1"/>
  <c r="R112" i="28" s="1"/>
  <c r="X112" i="28" s="1"/>
  <c r="L114" i="28"/>
  <c r="O114" i="28" s="1"/>
  <c r="R114" i="28" s="1"/>
  <c r="X114" i="28" s="1"/>
  <c r="L116" i="28"/>
  <c r="O116" i="28" s="1"/>
  <c r="R116" i="28" s="1"/>
  <c r="X116" i="28" s="1"/>
  <c r="L118" i="28"/>
  <c r="O118" i="28" s="1"/>
  <c r="R118" i="28" s="1"/>
  <c r="X118" i="28" s="1"/>
  <c r="L120" i="28"/>
  <c r="O120" i="28" s="1"/>
  <c r="R120" i="28" s="1"/>
  <c r="X120" i="28" s="1"/>
  <c r="L122" i="28"/>
  <c r="O122" i="28" s="1"/>
  <c r="R122" i="28" s="1"/>
  <c r="X122" i="28" s="1"/>
  <c r="L124" i="28"/>
  <c r="O124" i="28" s="1"/>
  <c r="R124" i="28" s="1"/>
  <c r="X124" i="28" s="1"/>
  <c r="L127" i="28"/>
  <c r="O127" i="28" s="1"/>
  <c r="R127" i="28" s="1"/>
  <c r="X127" i="28" s="1"/>
  <c r="L129" i="28"/>
  <c r="O129" i="28" s="1"/>
  <c r="R129" i="28" s="1"/>
  <c r="X129" i="28" s="1"/>
  <c r="L131" i="28"/>
  <c r="O131" i="28" s="1"/>
  <c r="R131" i="28" s="1"/>
  <c r="X131" i="28" s="1"/>
  <c r="L133" i="28"/>
  <c r="O133" i="28" s="1"/>
  <c r="R133" i="28" s="1"/>
  <c r="X133" i="28" s="1"/>
  <c r="L135" i="28"/>
  <c r="L138" i="28"/>
  <c r="O138" i="28" s="1"/>
  <c r="R138" i="28" s="1"/>
  <c r="X138" i="28" s="1"/>
  <c r="L140" i="28"/>
  <c r="O140" i="28" s="1"/>
  <c r="R140" i="28" s="1"/>
  <c r="X140" i="28" s="1"/>
  <c r="L104" i="28"/>
  <c r="O104" i="28" s="1"/>
  <c r="R104" i="28" s="1"/>
  <c r="X104" i="28" s="1"/>
  <c r="L184" i="28"/>
  <c r="O184" i="28" s="1"/>
  <c r="R184" i="28" s="1"/>
  <c r="X184" i="28" s="1"/>
  <c r="L186" i="28"/>
  <c r="O186" i="28" s="1"/>
  <c r="R186" i="28" s="1"/>
  <c r="X186" i="28" s="1"/>
  <c r="L188" i="28"/>
  <c r="O188" i="28" s="1"/>
  <c r="R188" i="28" s="1"/>
  <c r="X188" i="28" s="1"/>
  <c r="L190" i="28"/>
  <c r="O190" i="28" s="1"/>
  <c r="R190" i="28" s="1"/>
  <c r="X190" i="28" s="1"/>
  <c r="L192" i="28"/>
  <c r="O192" i="28" s="1"/>
  <c r="R192" i="28" s="1"/>
  <c r="X192" i="28" s="1"/>
  <c r="L194" i="28"/>
  <c r="O194" i="28" s="1"/>
  <c r="R194" i="28" s="1"/>
  <c r="X194" i="28" s="1"/>
  <c r="L196" i="28"/>
  <c r="O196" i="28" s="1"/>
  <c r="R196" i="28" s="1"/>
  <c r="X196" i="28" s="1"/>
  <c r="L162" i="28"/>
  <c r="O162" i="28" s="1"/>
  <c r="R162" i="28" s="1"/>
  <c r="X162" i="28" s="1"/>
  <c r="L164" i="28"/>
  <c r="O164" i="28" s="1"/>
  <c r="R164" i="28" s="1"/>
  <c r="X164" i="28" s="1"/>
  <c r="L166" i="28"/>
  <c r="O166" i="28" s="1"/>
  <c r="R166" i="28" s="1"/>
  <c r="X166" i="28" s="1"/>
  <c r="L168" i="28"/>
  <c r="O168" i="28" s="1"/>
  <c r="R168" i="28" s="1"/>
  <c r="X168" i="28" s="1"/>
  <c r="L170" i="28"/>
  <c r="O170" i="28" s="1"/>
  <c r="R170" i="28" s="1"/>
  <c r="X170" i="28" s="1"/>
  <c r="L172" i="28"/>
  <c r="O172" i="28" s="1"/>
  <c r="R172" i="28" s="1"/>
  <c r="X172" i="28" s="1"/>
  <c r="L174" i="28"/>
  <c r="O174" i="28" s="1"/>
  <c r="R174" i="28" s="1"/>
  <c r="X174" i="28" s="1"/>
  <c r="L161" i="28"/>
  <c r="O161" i="28" s="1"/>
  <c r="L113" i="28"/>
  <c r="O113" i="28" s="1"/>
  <c r="R113" i="28" s="1"/>
  <c r="X113" i="28" s="1"/>
  <c r="L115" i="28"/>
  <c r="O115" i="28" s="1"/>
  <c r="R115" i="28" s="1"/>
  <c r="X115" i="28" s="1"/>
  <c r="L117" i="28"/>
  <c r="O117" i="28" s="1"/>
  <c r="R117" i="28" s="1"/>
  <c r="X117" i="28" s="1"/>
  <c r="L119" i="28"/>
  <c r="O119" i="28" s="1"/>
  <c r="R119" i="28" s="1"/>
  <c r="X119" i="28" s="1"/>
  <c r="L121" i="28"/>
  <c r="O121" i="28" s="1"/>
  <c r="R121" i="28" s="1"/>
  <c r="X121" i="28" s="1"/>
  <c r="L123" i="28"/>
  <c r="O123" i="28" s="1"/>
  <c r="R123" i="28" s="1"/>
  <c r="X123" i="28" s="1"/>
  <c r="L125" i="28"/>
  <c r="O125" i="28" s="1"/>
  <c r="R125" i="28" s="1"/>
  <c r="X125" i="28" s="1"/>
  <c r="L128" i="28"/>
  <c r="O128" i="28" s="1"/>
  <c r="R128" i="28" s="1"/>
  <c r="X128" i="28" s="1"/>
  <c r="L130" i="28"/>
  <c r="O130" i="28" s="1"/>
  <c r="R130" i="28" s="1"/>
  <c r="X130" i="28" s="1"/>
  <c r="L132" i="28"/>
  <c r="O132" i="28" s="1"/>
  <c r="R132" i="28" s="1"/>
  <c r="X132" i="28" s="1"/>
  <c r="L134" i="28"/>
  <c r="O134" i="28" s="1"/>
  <c r="R134" i="28" s="1"/>
  <c r="X134" i="28" s="1"/>
  <c r="L136" i="28"/>
  <c r="O136" i="28" s="1"/>
  <c r="R136" i="28" s="1"/>
  <c r="X136" i="28" s="1"/>
  <c r="L139" i="28"/>
  <c r="O139" i="28" s="1"/>
  <c r="R139" i="28" s="1"/>
  <c r="X139" i="28" s="1"/>
  <c r="L141" i="28"/>
  <c r="O141" i="28" s="1"/>
  <c r="R141" i="28" s="1"/>
  <c r="X141" i="28" s="1"/>
  <c r="L143" i="28"/>
  <c r="O143" i="28" s="1"/>
  <c r="R143" i="28" s="1"/>
  <c r="X143" i="28" s="1"/>
  <c r="L145" i="28"/>
  <c r="O145" i="28" s="1"/>
  <c r="R145" i="28" s="1"/>
  <c r="X145" i="28" s="1"/>
  <c r="L147" i="28"/>
  <c r="O147" i="28" s="1"/>
  <c r="R147" i="28" s="1"/>
  <c r="X147" i="28" s="1"/>
  <c r="L149" i="28"/>
  <c r="O149" i="28" s="1"/>
  <c r="R149" i="28" s="1"/>
  <c r="X149" i="28" s="1"/>
  <c r="L151" i="28"/>
  <c r="O151" i="28" s="1"/>
  <c r="R151" i="28" s="1"/>
  <c r="X151" i="28" s="1"/>
  <c r="L153" i="28"/>
  <c r="O153" i="28" s="1"/>
  <c r="R153" i="28" s="1"/>
  <c r="X153" i="28" s="1"/>
  <c r="L111" i="28"/>
  <c r="O111" i="28" s="1"/>
  <c r="L152" i="28"/>
  <c r="O152" i="28" s="1"/>
  <c r="R152" i="28" s="1"/>
  <c r="X152" i="28" s="1"/>
  <c r="L142" i="28"/>
  <c r="O142" i="28" s="1"/>
  <c r="R142" i="28" s="1"/>
  <c r="X142" i="28" s="1"/>
  <c r="L144" i="28"/>
  <c r="O144" i="28" s="1"/>
  <c r="R144" i="28" s="1"/>
  <c r="X144" i="28" s="1"/>
  <c r="L146" i="28"/>
  <c r="O146" i="28" s="1"/>
  <c r="R146" i="28" s="1"/>
  <c r="X146" i="28" s="1"/>
  <c r="L148" i="28"/>
  <c r="O148" i="28" s="1"/>
  <c r="R148" i="28" s="1"/>
  <c r="X148" i="28" s="1"/>
  <c r="L150" i="28"/>
  <c r="O150" i="28" s="1"/>
  <c r="R150" i="28" s="1"/>
  <c r="X150" i="28" s="1"/>
  <c r="L154" i="28"/>
  <c r="O154" i="28" s="1"/>
  <c r="R154" i="28" s="1"/>
  <c r="X154" i="28" s="1"/>
  <c r="L91" i="28"/>
  <c r="O91" i="28" s="1"/>
  <c r="R91" i="28" s="1"/>
  <c r="X91" i="28" s="1"/>
  <c r="L97" i="28"/>
  <c r="O97" i="28" s="1"/>
  <c r="R97" i="28" s="1"/>
  <c r="X97" i="28" s="1"/>
  <c r="L99" i="28"/>
  <c r="O99" i="28" s="1"/>
  <c r="R99" i="28" s="1"/>
  <c r="X99" i="28" s="1"/>
  <c r="L101" i="28"/>
  <c r="O101" i="28" s="1"/>
  <c r="R101" i="28" s="1"/>
  <c r="X101" i="28" s="1"/>
  <c r="L80" i="28"/>
  <c r="O80" i="28" s="1"/>
  <c r="R80" i="28" s="1"/>
  <c r="X80" i="28" s="1"/>
  <c r="L82" i="28"/>
  <c r="O82" i="28" s="1"/>
  <c r="R82" i="28" s="1"/>
  <c r="X82" i="28" s="1"/>
  <c r="L84" i="28"/>
  <c r="O84" i="28" s="1"/>
  <c r="R84" i="28" s="1"/>
  <c r="X84" i="28" s="1"/>
  <c r="L86" i="28"/>
  <c r="O86" i="28" s="1"/>
  <c r="R86" i="28" s="1"/>
  <c r="X86" i="28" s="1"/>
  <c r="L88" i="28"/>
  <c r="O88" i="28" s="1"/>
  <c r="R88" i="28" s="1"/>
  <c r="X88" i="28" s="1"/>
  <c r="L90" i="28"/>
  <c r="O90" i="28" s="1"/>
  <c r="R90" i="28" s="1"/>
  <c r="X90" i="28" s="1"/>
  <c r="L93" i="28"/>
  <c r="O93" i="28" s="1"/>
  <c r="R93" i="28" s="1"/>
  <c r="X93" i="28" s="1"/>
  <c r="L96" i="28"/>
  <c r="O96" i="28" s="1"/>
  <c r="R96" i="28" s="1"/>
  <c r="X96" i="28" s="1"/>
  <c r="L98" i="28"/>
  <c r="O98" i="28" s="1"/>
  <c r="R98" i="28" s="1"/>
  <c r="X98" i="28" s="1"/>
  <c r="L100" i="28"/>
  <c r="O100" i="28" s="1"/>
  <c r="R100" i="28" s="1"/>
  <c r="X100" i="28" s="1"/>
  <c r="L102" i="28"/>
  <c r="O102" i="28" s="1"/>
  <c r="R102" i="28" s="1"/>
  <c r="X102" i="28" s="1"/>
  <c r="L95" i="28"/>
  <c r="O95" i="28" s="1"/>
  <c r="R95" i="28" s="1"/>
  <c r="X95" i="28" s="1"/>
  <c r="L81" i="28"/>
  <c r="O81" i="28" s="1"/>
  <c r="R81" i="28" s="1"/>
  <c r="X81" i="28" s="1"/>
  <c r="L83" i="28"/>
  <c r="O83" i="28" s="1"/>
  <c r="R83" i="28" s="1"/>
  <c r="X83" i="28" s="1"/>
  <c r="L85" i="28"/>
  <c r="O85" i="28" s="1"/>
  <c r="R85" i="28" s="1"/>
  <c r="X85" i="28" s="1"/>
  <c r="L87" i="28"/>
  <c r="O87" i="28" s="1"/>
  <c r="R87" i="28" s="1"/>
  <c r="X87" i="28" s="1"/>
  <c r="L89" i="28"/>
  <c r="O89" i="28" s="1"/>
  <c r="R89" i="28" s="1"/>
  <c r="X89" i="28" s="1"/>
  <c r="L92" i="28"/>
  <c r="O92" i="28" s="1"/>
  <c r="R92" i="28" s="1"/>
  <c r="X92" i="28" s="1"/>
  <c r="E16" i="16"/>
  <c r="D71" i="2" s="1"/>
  <c r="N24" i="1"/>
  <c r="M41" i="18"/>
  <c r="D75" i="1"/>
  <c r="B75" i="1"/>
  <c r="I75" i="1" s="1"/>
  <c r="L20" i="1"/>
  <c r="G11" i="18"/>
  <c r="Q24" i="1"/>
  <c r="B24" i="1"/>
  <c r="D63" i="2"/>
  <c r="E29" i="22"/>
  <c r="H13" i="20"/>
  <c r="H16" i="16"/>
  <c r="AH16" i="16"/>
  <c r="AF16" i="16"/>
  <c r="D76" i="2" s="1"/>
  <c r="I14" i="43" s="1"/>
  <c r="H14" i="43" s="1"/>
  <c r="AI16" i="16"/>
  <c r="D77" i="2" s="1"/>
  <c r="E48" i="20" s="1"/>
  <c r="H48" i="20" s="1"/>
  <c r="AD16" i="16"/>
  <c r="J10" i="20"/>
  <c r="K59" i="1"/>
  <c r="L59" i="1" s="1"/>
  <c r="C33" i="22"/>
  <c r="D33" i="22"/>
  <c r="E33" i="22"/>
  <c r="E4" i="20"/>
  <c r="H4" i="20" s="1"/>
  <c r="L13" i="1"/>
  <c r="L26" i="1"/>
  <c r="B76" i="1"/>
  <c r="D76" i="1"/>
  <c r="B71" i="1"/>
  <c r="D71" i="1"/>
  <c r="B73" i="1"/>
  <c r="D73" i="1"/>
  <c r="D27" i="22"/>
  <c r="C27" i="22"/>
  <c r="E27" i="22"/>
  <c r="D72" i="1"/>
  <c r="B72" i="1"/>
  <c r="Q28" i="1"/>
  <c r="B74" i="1"/>
  <c r="D74" i="1"/>
  <c r="L22" i="1"/>
  <c r="L62" i="1"/>
  <c r="E47" i="18"/>
  <c r="E53" i="20" l="1"/>
  <c r="H53" i="20" s="1"/>
  <c r="E54" i="20"/>
  <c r="H54" i="20" s="1"/>
  <c r="F63" i="20"/>
  <c r="F99" i="20" s="1"/>
  <c r="F59" i="20"/>
  <c r="F96" i="20" s="1"/>
  <c r="F64" i="20"/>
  <c r="F100" i="20" s="1"/>
  <c r="F66" i="20"/>
  <c r="F123" i="20" s="1"/>
  <c r="F60" i="20"/>
  <c r="F69" i="20"/>
  <c r="F70" i="20"/>
  <c r="F61" i="20"/>
  <c r="L32" i="1"/>
  <c r="G64" i="20"/>
  <c r="G100" i="20" s="1"/>
  <c r="G66" i="20"/>
  <c r="G60" i="20"/>
  <c r="G69" i="20"/>
  <c r="G61" i="20"/>
  <c r="G121" i="20" s="1"/>
  <c r="G70" i="20"/>
  <c r="E49" i="20"/>
  <c r="H49" i="20" s="1"/>
  <c r="G63" i="20"/>
  <c r="G59" i="20"/>
  <c r="G96" i="20" s="1"/>
  <c r="O240" i="28"/>
  <c r="L12" i="1"/>
  <c r="O232" i="28"/>
  <c r="G99" i="20"/>
  <c r="P46" i="31"/>
  <c r="S46" i="31"/>
  <c r="S28" i="1"/>
  <c r="L30" i="1"/>
  <c r="P45" i="31"/>
  <c r="S45" i="31"/>
  <c r="P47" i="31"/>
  <c r="S47" i="31"/>
  <c r="K57" i="1"/>
  <c r="L57" i="1" s="1"/>
  <c r="K67" i="1"/>
  <c r="L67" i="1" s="1"/>
  <c r="L41" i="1"/>
  <c r="O260" i="28"/>
  <c r="R260" i="28" s="1"/>
  <c r="L23" i="1"/>
  <c r="L21" i="1"/>
  <c r="O218" i="28"/>
  <c r="P218" i="28" s="1"/>
  <c r="L14" i="1"/>
  <c r="L43" i="1"/>
  <c r="Z40" i="6"/>
  <c r="D82" i="2"/>
  <c r="G82" i="2" s="1"/>
  <c r="D23" i="43"/>
  <c r="J14" i="43"/>
  <c r="J15" i="43" s="1"/>
  <c r="H15" i="43"/>
  <c r="E6" i="20"/>
  <c r="L61" i="1"/>
  <c r="P24" i="1"/>
  <c r="S24" i="1" s="1"/>
  <c r="L10" i="1"/>
  <c r="F64" i="6"/>
  <c r="F72" i="6" s="1"/>
  <c r="AI36" i="6" s="1"/>
  <c r="AM41" i="6" s="1"/>
  <c r="E2" i="20"/>
  <c r="H2" i="20" s="1"/>
  <c r="D16" i="42"/>
  <c r="E51" i="20" s="1"/>
  <c r="H51" i="20" s="1"/>
  <c r="F97" i="20"/>
  <c r="G64" i="2"/>
  <c r="D17" i="42"/>
  <c r="E52" i="20" s="1"/>
  <c r="H52" i="20" s="1"/>
  <c r="L37" i="1"/>
  <c r="G123" i="20"/>
  <c r="G97" i="20"/>
  <c r="L40" i="1"/>
  <c r="I15" i="43"/>
  <c r="D22" i="43" s="1"/>
  <c r="E56" i="20" s="1"/>
  <c r="H56" i="20" s="1"/>
  <c r="E136" i="6"/>
  <c r="H80" i="6"/>
  <c r="H90" i="6" s="1"/>
  <c r="D79" i="2"/>
  <c r="G79" i="2" s="1"/>
  <c r="D80" i="2"/>
  <c r="E7" i="20"/>
  <c r="L42" i="1"/>
  <c r="L16" i="1"/>
  <c r="E18" i="16"/>
  <c r="L25" i="1"/>
  <c r="L19" i="1"/>
  <c r="F64" i="28"/>
  <c r="L47" i="1"/>
  <c r="G65" i="2"/>
  <c r="L17" i="1"/>
  <c r="G76" i="2"/>
  <c r="P28" i="31"/>
  <c r="P29" i="31" s="1"/>
  <c r="O29" i="31"/>
  <c r="L54" i="1"/>
  <c r="G71" i="2"/>
  <c r="F68" i="6"/>
  <c r="F79" i="6" s="1"/>
  <c r="F31" i="22"/>
  <c r="P38" i="31"/>
  <c r="P39" i="31" s="1"/>
  <c r="O39" i="31"/>
  <c r="P27" i="30"/>
  <c r="P28" i="30" s="1"/>
  <c r="P29" i="30" s="1"/>
  <c r="O28" i="30"/>
  <c r="O29" i="30" s="1"/>
  <c r="D128" i="18"/>
  <c r="K212" i="28"/>
  <c r="N212" i="28" s="1"/>
  <c r="O212" i="28" s="1"/>
  <c r="L33" i="1"/>
  <c r="L53" i="1"/>
  <c r="P37" i="30"/>
  <c r="P38" i="30" s="1"/>
  <c r="P39" i="30" s="1"/>
  <c r="O38" i="30"/>
  <c r="O39" i="30" s="1"/>
  <c r="L34" i="1"/>
  <c r="L7" i="1"/>
  <c r="L35" i="1"/>
  <c r="E3" i="20"/>
  <c r="H3" i="20" s="1"/>
  <c r="L38" i="1"/>
  <c r="G77" i="2"/>
  <c r="P48" i="31"/>
  <c r="P49" i="31" s="1"/>
  <c r="O49" i="31"/>
  <c r="O30" i="31"/>
  <c r="P30" i="31" s="1"/>
  <c r="O40" i="31"/>
  <c r="P40" i="31" s="1"/>
  <c r="AJ5" i="16"/>
  <c r="AJ16" i="16" s="1"/>
  <c r="D73" i="2" s="1"/>
  <c r="O50" i="31"/>
  <c r="P50" i="31" s="1"/>
  <c r="F54" i="28"/>
  <c r="F59" i="28"/>
  <c r="F49" i="28"/>
  <c r="L39" i="1"/>
  <c r="F32" i="22"/>
  <c r="F29" i="22"/>
  <c r="L27" i="1"/>
  <c r="M17" i="1"/>
  <c r="D68" i="2"/>
  <c r="L63" i="1"/>
  <c r="L11" i="1"/>
  <c r="L66" i="1"/>
  <c r="E10" i="20"/>
  <c r="L8" i="1"/>
  <c r="K58" i="1"/>
  <c r="L58" i="1" s="1"/>
  <c r="L15" i="1"/>
  <c r="I77" i="6"/>
  <c r="L18" i="1"/>
  <c r="O16" i="16"/>
  <c r="D67" i="2" s="1"/>
  <c r="J75" i="1"/>
  <c r="M75" i="1" s="1"/>
  <c r="F126" i="20"/>
  <c r="F5" i="20"/>
  <c r="F14" i="20" s="1"/>
  <c r="F121" i="20"/>
  <c r="G5" i="20"/>
  <c r="G14" i="20" s="1"/>
  <c r="G126" i="20"/>
  <c r="AI50" i="6"/>
  <c r="Y51" i="6" s="1"/>
  <c r="P47" i="30"/>
  <c r="P48" i="30" s="1"/>
  <c r="P49" i="30" s="1"/>
  <c r="O48" i="30"/>
  <c r="O49" i="30" s="1"/>
  <c r="R24" i="1"/>
  <c r="R175" i="28"/>
  <c r="X175" i="28" s="1"/>
  <c r="C37" i="28"/>
  <c r="R232" i="28"/>
  <c r="Q232" i="28"/>
  <c r="P232" i="28"/>
  <c r="R240" i="28"/>
  <c r="Q240" i="28"/>
  <c r="P240" i="28"/>
  <c r="N217" i="28"/>
  <c r="K219" i="28"/>
  <c r="N219" i="28" s="1"/>
  <c r="R226" i="28"/>
  <c r="Q226" i="28"/>
  <c r="P226" i="28"/>
  <c r="N239" i="28"/>
  <c r="K241" i="28"/>
  <c r="K255" i="28"/>
  <c r="N253" i="28"/>
  <c r="R246" i="28"/>
  <c r="Q246" i="28"/>
  <c r="P246" i="28"/>
  <c r="R254" i="28"/>
  <c r="Q254" i="28"/>
  <c r="P254" i="28"/>
  <c r="N211" i="28"/>
  <c r="K227" i="28"/>
  <c r="N225" i="28"/>
  <c r="O225" i="28" s="1"/>
  <c r="K233" i="28"/>
  <c r="N233" i="28" s="1"/>
  <c r="N231" i="28"/>
  <c r="K247" i="28"/>
  <c r="N247" i="28" s="1"/>
  <c r="N245" i="28"/>
  <c r="O245" i="28" s="1"/>
  <c r="K261" i="28"/>
  <c r="N261" i="28" s="1"/>
  <c r="N259" i="28"/>
  <c r="O135" i="28"/>
  <c r="R135" i="28" s="1"/>
  <c r="X135" i="28" s="1"/>
  <c r="R161" i="28"/>
  <c r="O176" i="28"/>
  <c r="C14" i="28" s="1"/>
  <c r="R182" i="28"/>
  <c r="O197" i="28"/>
  <c r="R111" i="28"/>
  <c r="R79" i="28"/>
  <c r="X79" i="28" s="1"/>
  <c r="X105" i="28" s="1"/>
  <c r="O105" i="28"/>
  <c r="K75" i="1"/>
  <c r="O24" i="1"/>
  <c r="N41" i="18"/>
  <c r="G69" i="6"/>
  <c r="K24" i="1"/>
  <c r="J24" i="1"/>
  <c r="I24" i="1"/>
  <c r="S41" i="18" s="1"/>
  <c r="E34" i="22"/>
  <c r="G63" i="2"/>
  <c r="F67" i="6"/>
  <c r="F75" i="6" s="1"/>
  <c r="E8" i="20"/>
  <c r="E9" i="20"/>
  <c r="H9" i="20"/>
  <c r="D34" i="22"/>
  <c r="G10" i="20"/>
  <c r="F10" i="20"/>
  <c r="F33" i="22"/>
  <c r="C34" i="22"/>
  <c r="F27" i="22"/>
  <c r="I71" i="1"/>
  <c r="J71" i="1"/>
  <c r="M71" i="1" s="1"/>
  <c r="K71" i="1"/>
  <c r="J72" i="1"/>
  <c r="M72" i="1" s="1"/>
  <c r="K72" i="1"/>
  <c r="I72" i="1"/>
  <c r="K76" i="1"/>
  <c r="J76" i="1"/>
  <c r="M76" i="1" s="1"/>
  <c r="I76" i="1"/>
  <c r="I73" i="1"/>
  <c r="J73" i="1"/>
  <c r="M73" i="1" s="1"/>
  <c r="K73" i="1"/>
  <c r="I74" i="1"/>
  <c r="K74" i="1"/>
  <c r="J74" i="1"/>
  <c r="M74" i="1" s="1"/>
  <c r="E113" i="20" l="1"/>
  <c r="E136" i="20" s="1"/>
  <c r="E64" i="20"/>
  <c r="H64" i="20" s="1"/>
  <c r="E66" i="20"/>
  <c r="H66" i="20" s="1"/>
  <c r="E60" i="20"/>
  <c r="H60" i="20" s="1"/>
  <c r="E61" i="20"/>
  <c r="H61" i="20" s="1"/>
  <c r="E63" i="20"/>
  <c r="H63" i="20" s="1"/>
  <c r="E59" i="20"/>
  <c r="H59" i="20" s="1"/>
  <c r="G23" i="43"/>
  <c r="E57" i="20"/>
  <c r="E99" i="20"/>
  <c r="H113" i="20"/>
  <c r="H136" i="20" s="1"/>
  <c r="E45" i="19"/>
  <c r="H45" i="19" s="1"/>
  <c r="R218" i="28"/>
  <c r="K213" i="28"/>
  <c r="K220" i="28" s="1"/>
  <c r="C28" i="28" s="1"/>
  <c r="F28" i="28" s="1"/>
  <c r="G136" i="6"/>
  <c r="H136" i="6"/>
  <c r="Q218" i="28"/>
  <c r="P260" i="28"/>
  <c r="Q260" i="28"/>
  <c r="D132" i="6"/>
  <c r="E92" i="20"/>
  <c r="H92" i="20"/>
  <c r="E116" i="20"/>
  <c r="H116" i="20"/>
  <c r="G17" i="42"/>
  <c r="E115" i="20"/>
  <c r="G16" i="42"/>
  <c r="E91" i="20"/>
  <c r="G22" i="43"/>
  <c r="E89" i="20"/>
  <c r="AP51" i="6"/>
  <c r="AP52" i="6" s="1"/>
  <c r="F89" i="6"/>
  <c r="D139" i="6"/>
  <c r="G80" i="6"/>
  <c r="G90" i="6" s="1"/>
  <c r="G80" i="2"/>
  <c r="F66" i="6"/>
  <c r="Q212" i="28"/>
  <c r="P212" i="28"/>
  <c r="R212" i="28"/>
  <c r="G104" i="20"/>
  <c r="F104" i="20"/>
  <c r="E139" i="6"/>
  <c r="G67" i="2"/>
  <c r="E121" i="20"/>
  <c r="G73" i="2"/>
  <c r="E5" i="20"/>
  <c r="H5" i="20" s="1"/>
  <c r="L75" i="1"/>
  <c r="AI51" i="6"/>
  <c r="Z51" i="6" s="1"/>
  <c r="H14" i="20"/>
  <c r="O155" i="28"/>
  <c r="C32" i="28" s="1"/>
  <c r="S240" i="28"/>
  <c r="T240" i="28" s="1"/>
  <c r="S232" i="28"/>
  <c r="T232" i="28" s="1"/>
  <c r="O259" i="28"/>
  <c r="R245" i="28"/>
  <c r="R247" i="28" s="1"/>
  <c r="P245" i="28"/>
  <c r="O247" i="28"/>
  <c r="Q245" i="28"/>
  <c r="Q247" i="28" s="1"/>
  <c r="O231" i="28"/>
  <c r="R225" i="28"/>
  <c r="R227" i="28" s="1"/>
  <c r="O227" i="28"/>
  <c r="P225" i="28"/>
  <c r="Q225" i="28"/>
  <c r="Q227" i="28" s="1"/>
  <c r="S254" i="28"/>
  <c r="T254" i="28" s="1"/>
  <c r="S246" i="28"/>
  <c r="T246" i="28" s="1"/>
  <c r="O253" i="28"/>
  <c r="N241" i="28"/>
  <c r="N248" i="28" s="1"/>
  <c r="K248" i="28"/>
  <c r="C38" i="28" s="1"/>
  <c r="F38" i="28" s="1"/>
  <c r="S226" i="28"/>
  <c r="T226" i="28" s="1"/>
  <c r="O217" i="28"/>
  <c r="F37" i="28"/>
  <c r="C19" i="28"/>
  <c r="F19" i="28" s="1"/>
  <c r="C42" i="28"/>
  <c r="N227" i="28"/>
  <c r="N234" i="28" s="1"/>
  <c r="K234" i="28"/>
  <c r="C33" i="28" s="1"/>
  <c r="F33" i="28" s="1"/>
  <c r="O211" i="28"/>
  <c r="N213" i="28"/>
  <c r="N220" i="28" s="1"/>
  <c r="N255" i="28"/>
  <c r="N262" i="28" s="1"/>
  <c r="K262" i="28"/>
  <c r="C43" i="28" s="1"/>
  <c r="F43" i="28" s="1"/>
  <c r="O239" i="28"/>
  <c r="C4" i="28"/>
  <c r="C27" i="28"/>
  <c r="R105" i="28"/>
  <c r="F14" i="28"/>
  <c r="R155" i="28"/>
  <c r="X111" i="28"/>
  <c r="X155" i="28" s="1"/>
  <c r="R197" i="28"/>
  <c r="X182" i="28"/>
  <c r="X197" i="28" s="1"/>
  <c r="R176" i="28"/>
  <c r="X161" i="28"/>
  <c r="X176" i="28" s="1"/>
  <c r="M24" i="1"/>
  <c r="T41" i="18"/>
  <c r="L24" i="1"/>
  <c r="I67" i="6"/>
  <c r="Y53" i="6"/>
  <c r="Y54" i="6" s="1"/>
  <c r="I64" i="6"/>
  <c r="I68" i="6"/>
  <c r="F34" i="22"/>
  <c r="H10" i="20"/>
  <c r="L73" i="1"/>
  <c r="L71" i="1"/>
  <c r="L76" i="1"/>
  <c r="L74" i="1"/>
  <c r="L72" i="1"/>
  <c r="E97" i="20" l="1"/>
  <c r="H57" i="20"/>
  <c r="H118" i="20" s="1"/>
  <c r="E118" i="20"/>
  <c r="S218" i="28"/>
  <c r="T218" i="28" s="1"/>
  <c r="E27" i="19"/>
  <c r="H27" i="19" s="1"/>
  <c r="F45" i="19"/>
  <c r="H89" i="20"/>
  <c r="E22" i="19"/>
  <c r="H22" i="19" s="1"/>
  <c r="H139" i="6"/>
  <c r="G132" i="6"/>
  <c r="I138" i="6" s="1"/>
  <c r="I141" i="6" s="1"/>
  <c r="H132" i="6"/>
  <c r="E77" i="19"/>
  <c r="S260" i="28"/>
  <c r="T260" i="28" s="1"/>
  <c r="AI38" i="6"/>
  <c r="AU34" i="6"/>
  <c r="W43" i="6" s="1"/>
  <c r="G139" i="6"/>
  <c r="I66" i="6"/>
  <c r="C9" i="28"/>
  <c r="F9" i="28" s="1"/>
  <c r="E94" i="20"/>
  <c r="E123" i="20"/>
  <c r="E49" i="19"/>
  <c r="H49" i="19" s="1"/>
  <c r="E100" i="20"/>
  <c r="E28" i="19"/>
  <c r="E96" i="20"/>
  <c r="I79" i="6"/>
  <c r="I89" i="6" s="1"/>
  <c r="I72" i="6"/>
  <c r="S212" i="28"/>
  <c r="T212" i="28" s="1"/>
  <c r="E23" i="19"/>
  <c r="H23" i="19" s="1"/>
  <c r="E26" i="19"/>
  <c r="C40" i="28"/>
  <c r="R211" i="28"/>
  <c r="R213" i="28" s="1"/>
  <c r="O213" i="28"/>
  <c r="P211" i="28"/>
  <c r="Q211" i="28"/>
  <c r="Q213" i="28" s="1"/>
  <c r="F42" i="28"/>
  <c r="F45" i="28" s="1"/>
  <c r="C45" i="28"/>
  <c r="R217" i="28"/>
  <c r="R219" i="28" s="1"/>
  <c r="P217" i="28"/>
  <c r="Q217" i="28"/>
  <c r="Q219" i="28" s="1"/>
  <c r="O219" i="28"/>
  <c r="F40" i="28"/>
  <c r="S245" i="28"/>
  <c r="P247" i="28"/>
  <c r="R239" i="28"/>
  <c r="R241" i="28" s="1"/>
  <c r="R248" i="28" s="1"/>
  <c r="O241" i="28"/>
  <c r="O248" i="28" s="1"/>
  <c r="P239" i="28"/>
  <c r="Q239" i="28"/>
  <c r="Q241" i="28" s="1"/>
  <c r="Q248" i="28" s="1"/>
  <c r="R253" i="28"/>
  <c r="R255" i="28" s="1"/>
  <c r="O255" i="28"/>
  <c r="Q253" i="28"/>
  <c r="Q255" i="28" s="1"/>
  <c r="P253" i="28"/>
  <c r="P227" i="28"/>
  <c r="S225" i="28"/>
  <c r="R231" i="28"/>
  <c r="R233" i="28" s="1"/>
  <c r="R234" i="28" s="1"/>
  <c r="O233" i="28"/>
  <c r="O234" i="28" s="1"/>
  <c r="Q231" i="28"/>
  <c r="Q233" i="28" s="1"/>
  <c r="Q234" i="28" s="1"/>
  <c r="P231" i="28"/>
  <c r="R259" i="28"/>
  <c r="R261" i="28" s="1"/>
  <c r="P259" i="28"/>
  <c r="O261" i="28"/>
  <c r="Q259" i="28"/>
  <c r="Q261" i="28" s="1"/>
  <c r="F9" i="19"/>
  <c r="C35" i="28"/>
  <c r="F32" i="28"/>
  <c r="F35" i="28" s="1"/>
  <c r="C30" i="28"/>
  <c r="F27" i="28"/>
  <c r="F30" i="28" s="1"/>
  <c r="F4" i="28"/>
  <c r="I75" i="6"/>
  <c r="D137" i="6"/>
  <c r="E47" i="19" l="1"/>
  <c r="H47" i="19" s="1"/>
  <c r="AI37" i="6"/>
  <c r="F27" i="19"/>
  <c r="H99" i="20"/>
  <c r="K77" i="19"/>
  <c r="O64" i="19"/>
  <c r="F26" i="19"/>
  <c r="E65" i="19"/>
  <c r="F23" i="19"/>
  <c r="H121" i="20"/>
  <c r="E48" i="19"/>
  <c r="F47" i="19"/>
  <c r="E64" i="19"/>
  <c r="F22" i="19"/>
  <c r="H96" i="20"/>
  <c r="E25" i="19"/>
  <c r="H25" i="19" s="1"/>
  <c r="H94" i="20"/>
  <c r="E24" i="19"/>
  <c r="H24" i="19" s="1"/>
  <c r="F28" i="19"/>
  <c r="F49" i="19"/>
  <c r="H115" i="20"/>
  <c r="E46" i="19"/>
  <c r="H46" i="19" s="1"/>
  <c r="G137" i="6"/>
  <c r="H137" i="6"/>
  <c r="E69" i="19"/>
  <c r="N69" i="19" s="1"/>
  <c r="E79" i="19"/>
  <c r="F76" i="6"/>
  <c r="D133" i="6" s="1"/>
  <c r="F74" i="6"/>
  <c r="C144" i="6"/>
  <c r="C145" i="6" s="1"/>
  <c r="H91" i="20"/>
  <c r="H97" i="20"/>
  <c r="H100" i="20"/>
  <c r="H123" i="20"/>
  <c r="Z47" i="6"/>
  <c r="E19" i="19"/>
  <c r="AI29" i="6"/>
  <c r="AI30" i="6" s="1"/>
  <c r="C46" i="28"/>
  <c r="F46" i="28"/>
  <c r="D10" i="28"/>
  <c r="D12" i="28" s="1"/>
  <c r="D55" i="28"/>
  <c r="D57" i="28" s="1"/>
  <c r="E10" i="28"/>
  <c r="E12" i="28" s="1"/>
  <c r="E55" i="28"/>
  <c r="Q262" i="28"/>
  <c r="R262" i="28"/>
  <c r="P241" i="28"/>
  <c r="P248" i="28" s="1"/>
  <c r="S239" i="28"/>
  <c r="E15" i="28"/>
  <c r="E17" i="28" s="1"/>
  <c r="E60" i="28"/>
  <c r="E62" i="28" s="1"/>
  <c r="T245" i="28"/>
  <c r="T247" i="28" s="1"/>
  <c r="S247" i="28"/>
  <c r="S217" i="28"/>
  <c r="P219" i="28"/>
  <c r="Q220" i="28"/>
  <c r="O220" i="28"/>
  <c r="P261" i="28"/>
  <c r="S259" i="28"/>
  <c r="P233" i="28"/>
  <c r="P234" i="28" s="1"/>
  <c r="S231" i="28"/>
  <c r="T225" i="28"/>
  <c r="T227" i="28" s="1"/>
  <c r="S227" i="28"/>
  <c r="P255" i="28"/>
  <c r="S253" i="28"/>
  <c r="O262" i="28"/>
  <c r="D15" i="28"/>
  <c r="D17" i="28" s="1"/>
  <c r="D60" i="28"/>
  <c r="D62" i="28" s="1"/>
  <c r="P213" i="28"/>
  <c r="S211" i="28"/>
  <c r="R220" i="28"/>
  <c r="E9" i="19"/>
  <c r="X47" i="6"/>
  <c r="E9" i="9"/>
  <c r="E10" i="9" s="1"/>
  <c r="E11" i="9" s="1"/>
  <c r="K65" i="19" l="1"/>
  <c r="N65" i="19"/>
  <c r="K69" i="19"/>
  <c r="K79" i="19"/>
  <c r="O66" i="19"/>
  <c r="K64" i="19"/>
  <c r="N64" i="19"/>
  <c r="H48" i="19"/>
  <c r="F46" i="19"/>
  <c r="F24" i="19"/>
  <c r="E66" i="19"/>
  <c r="F25" i="19"/>
  <c r="F48" i="19"/>
  <c r="G133" i="6"/>
  <c r="H133" i="6"/>
  <c r="E81" i="19"/>
  <c r="E67" i="19"/>
  <c r="E80" i="19"/>
  <c r="E78" i="19"/>
  <c r="E70" i="19"/>
  <c r="N70" i="19" s="1"/>
  <c r="E68" i="19"/>
  <c r="F6" i="19"/>
  <c r="E6" i="19" s="1"/>
  <c r="Z52" i="6"/>
  <c r="X52" i="6"/>
  <c r="P220" i="28"/>
  <c r="C5" i="28" s="1"/>
  <c r="P262" i="28"/>
  <c r="C20" i="28" s="1"/>
  <c r="E5" i="28"/>
  <c r="E7" i="28" s="1"/>
  <c r="E50" i="28"/>
  <c r="E52" i="28" s="1"/>
  <c r="C10" i="28"/>
  <c r="C55" i="28"/>
  <c r="C57" i="28" s="1"/>
  <c r="S241" i="28"/>
  <c r="S248" i="28" s="1"/>
  <c r="T239" i="28"/>
  <c r="T241" i="28" s="1"/>
  <c r="T248" i="28" s="1"/>
  <c r="E20" i="28"/>
  <c r="E22" i="28" s="1"/>
  <c r="E65" i="28"/>
  <c r="E67" i="28" s="1"/>
  <c r="E57" i="28"/>
  <c r="S213" i="28"/>
  <c r="T211" i="28"/>
  <c r="T213" i="28" s="1"/>
  <c r="C15" i="28"/>
  <c r="C60" i="28"/>
  <c r="S255" i="28"/>
  <c r="T253" i="28"/>
  <c r="T255" i="28" s="1"/>
  <c r="S233" i="28"/>
  <c r="S234" i="28" s="1"/>
  <c r="T231" i="28"/>
  <c r="T233" i="28" s="1"/>
  <c r="T234" i="28" s="1"/>
  <c r="S261" i="28"/>
  <c r="T259" i="28"/>
  <c r="T261" i="28" s="1"/>
  <c r="D5" i="28"/>
  <c r="D7" i="28" s="1"/>
  <c r="D50" i="28"/>
  <c r="D52" i="28" s="1"/>
  <c r="S219" i="28"/>
  <c r="T217" i="28"/>
  <c r="T219" i="28" s="1"/>
  <c r="D20" i="28"/>
  <c r="D22" i="28" s="1"/>
  <c r="D65" i="28"/>
  <c r="D67" i="28" s="1"/>
  <c r="F19" i="19"/>
  <c r="T262" i="28" l="1"/>
  <c r="K78" i="19"/>
  <c r="O65" i="19"/>
  <c r="K66" i="19"/>
  <c r="N66" i="19"/>
  <c r="K80" i="19"/>
  <c r="O67" i="19"/>
  <c r="K67" i="19"/>
  <c r="N67" i="19"/>
  <c r="K81" i="19"/>
  <c r="O69" i="19"/>
  <c r="C65" i="28"/>
  <c r="F65" i="28" s="1"/>
  <c r="F67" i="28" s="1"/>
  <c r="C50" i="28"/>
  <c r="F50" i="28" s="1"/>
  <c r="F52" i="28" s="1"/>
  <c r="F55" i="28"/>
  <c r="F57" i="28" s="1"/>
  <c r="D23" i="28"/>
  <c r="S262" i="28"/>
  <c r="F15" i="28"/>
  <c r="F17" i="28" s="1"/>
  <c r="C17" i="28"/>
  <c r="S220" i="28"/>
  <c r="F5" i="28"/>
  <c r="F7" i="28" s="1"/>
  <c r="C7" i="28"/>
  <c r="E68" i="28"/>
  <c r="D68" i="28"/>
  <c r="C62" i="28"/>
  <c r="F60" i="28"/>
  <c r="F62" i="28" s="1"/>
  <c r="T220" i="28"/>
  <c r="F10" i="28"/>
  <c r="F12" i="28" s="1"/>
  <c r="C12" i="28"/>
  <c r="F20" i="28"/>
  <c r="F22" i="28" s="1"/>
  <c r="C22" i="28"/>
  <c r="E23" i="28"/>
  <c r="C67" i="28" l="1"/>
  <c r="C52" i="28"/>
  <c r="F68" i="28"/>
  <c r="C23" i="28"/>
  <c r="F23" i="28"/>
  <c r="F7" i="19" l="1"/>
  <c r="C68" i="28"/>
  <c r="E7" i="19" l="1"/>
  <c r="E39" i="20" l="1"/>
  <c r="F39" i="20" s="1"/>
  <c r="M10" i="25"/>
  <c r="E68" i="20" l="1"/>
  <c r="G68" i="20"/>
  <c r="F68" i="20"/>
  <c r="F103" i="20" s="1"/>
  <c r="G103" i="20"/>
  <c r="E42" i="20"/>
  <c r="D81" i="20"/>
  <c r="H15" i="25"/>
  <c r="H14" i="25"/>
  <c r="H13" i="25"/>
  <c r="H12" i="25"/>
  <c r="H11" i="25"/>
  <c r="K10" i="25"/>
  <c r="J10" i="25"/>
  <c r="L10" i="25" s="1"/>
  <c r="L16" i="25"/>
  <c r="H16" i="25"/>
  <c r="C29" i="19"/>
  <c r="D124" i="6"/>
  <c r="C21" i="19" l="1"/>
  <c r="H68" i="20"/>
  <c r="J124" i="6"/>
  <c r="D97" i="6" s="1"/>
  <c r="D99" i="6" s="1"/>
  <c r="F124" i="6"/>
  <c r="G124" i="6" s="1"/>
  <c r="H124" i="6" s="1"/>
  <c r="I83" i="6" s="1"/>
  <c r="C71" i="19"/>
  <c r="D29" i="19"/>
  <c r="D71" i="19" s="1"/>
  <c r="G105" i="20"/>
  <c r="G9" i="41"/>
  <c r="F40" i="20"/>
  <c r="E69" i="20" s="1"/>
  <c r="H69" i="20" s="1"/>
  <c r="F42" i="20"/>
  <c r="D126" i="6"/>
  <c r="F98" i="6" s="1"/>
  <c r="H10" i="25"/>
  <c r="E81" i="20"/>
  <c r="D82" i="20"/>
  <c r="C111" i="18"/>
  <c r="G129" i="18" s="1"/>
  <c r="E97" i="6" l="1"/>
  <c r="D21" i="19"/>
  <c r="G41" i="19"/>
  <c r="G39" i="19"/>
  <c r="G40" i="19"/>
  <c r="G27" i="19"/>
  <c r="G45" i="19"/>
  <c r="G23" i="19"/>
  <c r="G22" i="19"/>
  <c r="G28" i="19"/>
  <c r="G49" i="19"/>
  <c r="G26" i="19"/>
  <c r="G47" i="19"/>
  <c r="G46" i="19"/>
  <c r="G24" i="19"/>
  <c r="G25" i="19"/>
  <c r="G48" i="19"/>
  <c r="E82" i="20"/>
  <c r="C63" i="19"/>
  <c r="C73" i="19" s="1"/>
  <c r="G7" i="19"/>
  <c r="G6" i="19"/>
  <c r="E103" i="20"/>
  <c r="G16" i="19"/>
  <c r="G9" i="19"/>
  <c r="G19" i="19"/>
  <c r="E30" i="19"/>
  <c r="E40" i="20"/>
  <c r="F41" i="20"/>
  <c r="E70" i="20" s="1"/>
  <c r="H70" i="20" s="1"/>
  <c r="F96" i="6"/>
  <c r="F97" i="6"/>
  <c r="E126" i="6"/>
  <c r="G126" i="6"/>
  <c r="E140" i="6" s="1"/>
  <c r="G83" i="6"/>
  <c r="D3" i="6"/>
  <c r="D5" i="6"/>
  <c r="AU43" i="6" s="1"/>
  <c r="E111" i="18"/>
  <c r="F111" i="18"/>
  <c r="D111" i="18"/>
  <c r="D63" i="19" l="1"/>
  <c r="D73" i="19" s="1"/>
  <c r="D105" i="6"/>
  <c r="G16" i="18"/>
  <c r="E21" i="18" s="1"/>
  <c r="H21" i="18" s="1"/>
  <c r="H22" i="18" s="1"/>
  <c r="H23" i="18" s="1"/>
  <c r="D50" i="19"/>
  <c r="G30" i="19"/>
  <c r="F30" i="19"/>
  <c r="H104" i="20"/>
  <c r="E99" i="6"/>
  <c r="E104" i="20"/>
  <c r="E105" i="20" s="1"/>
  <c r="E41" i="20"/>
  <c r="AU41" i="6"/>
  <c r="C142" i="18"/>
  <c r="H140" i="6"/>
  <c r="F126" i="6"/>
  <c r="H126" i="6"/>
  <c r="AU53" i="6"/>
  <c r="C129" i="18"/>
  <c r="G111" i="18"/>
  <c r="G112" i="18" s="1"/>
  <c r="G14" i="19" s="1"/>
  <c r="D112" i="18"/>
  <c r="E129" i="18"/>
  <c r="F112" i="18"/>
  <c r="E112" i="18"/>
  <c r="D129" i="18"/>
  <c r="AU42" i="6" l="1"/>
  <c r="D82" i="19"/>
  <c r="J48" i="19"/>
  <c r="J51" i="19" s="1"/>
  <c r="E126" i="20"/>
  <c r="D21" i="18"/>
  <c r="G127" i="18"/>
  <c r="D127" i="18"/>
  <c r="D131" i="18" s="1"/>
  <c r="F21" i="18"/>
  <c r="E127" i="18" s="1"/>
  <c r="E131" i="18" s="1"/>
  <c r="D42" i="19"/>
  <c r="D44" i="19"/>
  <c r="D76" i="19" s="1"/>
  <c r="D83" i="19" s="1"/>
  <c r="H126" i="20"/>
  <c r="E50" i="19"/>
  <c r="E29" i="19"/>
  <c r="H29" i="19" s="1"/>
  <c r="J68" i="20"/>
  <c r="C50" i="19"/>
  <c r="C82" i="19" s="1"/>
  <c r="E72" i="19"/>
  <c r="N72" i="19" s="1"/>
  <c r="G140" i="6"/>
  <c r="E20" i="19" s="1"/>
  <c r="G142" i="18"/>
  <c r="G125" i="20" s="1"/>
  <c r="G127" i="20" s="1"/>
  <c r="F142" i="18"/>
  <c r="F125" i="20" s="1"/>
  <c r="F127" i="20" s="1"/>
  <c r="E142" i="18"/>
  <c r="E125" i="20" s="1"/>
  <c r="AU51" i="6"/>
  <c r="M76" i="6"/>
  <c r="N77" i="6"/>
  <c r="L77" i="6"/>
  <c r="N76" i="6"/>
  <c r="N72" i="6"/>
  <c r="M72" i="6"/>
  <c r="M75" i="6"/>
  <c r="N75" i="6"/>
  <c r="L72" i="6"/>
  <c r="M77" i="6"/>
  <c r="L75" i="6"/>
  <c r="O77" i="6"/>
  <c r="O75" i="6"/>
  <c r="O72" i="6"/>
  <c r="F105" i="20"/>
  <c r="E14" i="19"/>
  <c r="F129" i="18"/>
  <c r="H103" i="20"/>
  <c r="H105" i="20" s="1"/>
  <c r="BA43" i="6" l="1"/>
  <c r="H50" i="19"/>
  <c r="E127" i="20"/>
  <c r="G21" i="18"/>
  <c r="G12" i="19" s="1"/>
  <c r="C127" i="18"/>
  <c r="F29" i="19"/>
  <c r="G29" i="19"/>
  <c r="E21" i="19"/>
  <c r="F50" i="19"/>
  <c r="F44" i="19" s="1"/>
  <c r="F76" i="19" s="1"/>
  <c r="G50" i="19"/>
  <c r="E44" i="19"/>
  <c r="G44" i="19" s="1"/>
  <c r="C44" i="19"/>
  <c r="C76" i="19" s="1"/>
  <c r="C83" i="19" s="1"/>
  <c r="F9" i="41"/>
  <c r="E71" i="19"/>
  <c r="E82" i="19"/>
  <c r="F20" i="19"/>
  <c r="G20" i="19"/>
  <c r="G133" i="25"/>
  <c r="W44" i="6"/>
  <c r="W45" i="6" s="1"/>
  <c r="AZ34" i="6"/>
  <c r="AY41" i="6" s="1"/>
  <c r="AU52" i="6"/>
  <c r="D135" i="6"/>
  <c r="L74" i="6"/>
  <c r="H74" i="6"/>
  <c r="AU36" i="6"/>
  <c r="AU35" i="6"/>
  <c r="G74" i="6"/>
  <c r="H142" i="18"/>
  <c r="E42" i="19" s="1"/>
  <c r="AU33" i="6"/>
  <c r="X50" i="6" s="1"/>
  <c r="F14" i="19"/>
  <c r="Z44" i="6" l="1"/>
  <c r="AY47" i="6"/>
  <c r="AY42" i="6"/>
  <c r="K82" i="19"/>
  <c r="O71" i="19"/>
  <c r="K71" i="19"/>
  <c r="N71" i="19"/>
  <c r="H21" i="19"/>
  <c r="F127" i="18"/>
  <c r="E12" i="19"/>
  <c r="C20" i="9"/>
  <c r="G42" i="19"/>
  <c r="F42" i="19"/>
  <c r="H42" i="19"/>
  <c r="E63" i="19"/>
  <c r="G21" i="19"/>
  <c r="G63" i="19" s="1"/>
  <c r="F21" i="19"/>
  <c r="F63" i="19" s="1"/>
  <c r="Z43" i="6"/>
  <c r="Z45" i="6" s="1"/>
  <c r="V43" i="6"/>
  <c r="AY38" i="6"/>
  <c r="I76" i="6"/>
  <c r="AL36" i="6"/>
  <c r="L76" i="6"/>
  <c r="V44" i="6"/>
  <c r="F133" i="25"/>
  <c r="D133" i="25"/>
  <c r="E133" i="25"/>
  <c r="C133" i="25"/>
  <c r="AY52" i="6"/>
  <c r="G76" i="19"/>
  <c r="E76" i="19"/>
  <c r="I74" i="6"/>
  <c r="E135" i="6"/>
  <c r="H135" i="6" s="1"/>
  <c r="M74" i="6"/>
  <c r="F135" i="6"/>
  <c r="N74" i="6"/>
  <c r="H125" i="20"/>
  <c r="H127" i="20" s="1"/>
  <c r="Z50" i="6"/>
  <c r="D8" i="9"/>
  <c r="Z41" i="6"/>
  <c r="C8" i="9"/>
  <c r="D20" i="9"/>
  <c r="F12" i="19" l="1"/>
  <c r="K76" i="19"/>
  <c r="G135" i="6"/>
  <c r="O76" i="6"/>
  <c r="AL37" i="6"/>
  <c r="AP35" i="6" s="1"/>
  <c r="V45" i="6"/>
  <c r="X48" i="6"/>
  <c r="O74" i="6"/>
  <c r="K68" i="6" l="1"/>
  <c r="AP34" i="6"/>
  <c r="F73" i="6" s="1"/>
  <c r="L73" i="6" s="1"/>
  <c r="Z48" i="6"/>
  <c r="AM43" i="6"/>
  <c r="AQ42" i="6" s="1"/>
  <c r="Z49" i="6"/>
  <c r="H73" i="6"/>
  <c r="G73" i="6"/>
  <c r="F39" i="25" l="1"/>
  <c r="D134" i="6"/>
  <c r="F78" i="6"/>
  <c r="L78" i="6" s="1"/>
  <c r="E137" i="18" s="1"/>
  <c r="E134" i="6"/>
  <c r="E138" i="6" s="1"/>
  <c r="E141" i="6" s="1"/>
  <c r="M73" i="6"/>
  <c r="F134" i="6"/>
  <c r="F138" i="6" s="1"/>
  <c r="F141" i="6" s="1"/>
  <c r="N73" i="6"/>
  <c r="I73" i="6"/>
  <c r="G78" i="6"/>
  <c r="H78" i="6"/>
  <c r="Z53" i="6"/>
  <c r="Z54" i="6" s="1"/>
  <c r="Z55" i="6" s="1"/>
  <c r="H134" i="6" l="1"/>
  <c r="H138" i="6" s="1"/>
  <c r="H141" i="6" s="1"/>
  <c r="D138" i="6"/>
  <c r="G138" i="6" s="1"/>
  <c r="G134" i="6"/>
  <c r="O73" i="6"/>
  <c r="E143" i="18"/>
  <c r="H85" i="6"/>
  <c r="N85" i="6" s="1"/>
  <c r="N78" i="6"/>
  <c r="G137" i="18" s="1"/>
  <c r="G85" i="6"/>
  <c r="M85" i="6" s="1"/>
  <c r="M78" i="6"/>
  <c r="F137" i="18" s="1"/>
  <c r="I78" i="6"/>
  <c r="AP28" i="6"/>
  <c r="AP29" i="6" s="1"/>
  <c r="X49" i="6"/>
  <c r="D141" i="6" l="1"/>
  <c r="G141" i="6" s="1"/>
  <c r="E18" i="19"/>
  <c r="O78" i="6"/>
  <c r="F143" i="18"/>
  <c r="X53" i="6"/>
  <c r="E17" i="19" l="1"/>
  <c r="G18" i="19"/>
  <c r="G17" i="19" s="1"/>
  <c r="X54" i="6"/>
  <c r="G143" i="18"/>
  <c r="F18" i="19"/>
  <c r="F17" i="19" s="1"/>
  <c r="F62" i="19" l="1"/>
  <c r="G62" i="19"/>
  <c r="E62" i="19"/>
  <c r="H137" i="18"/>
  <c r="E38" i="19" s="1"/>
  <c r="C7" i="9"/>
  <c r="D19" i="9"/>
  <c r="N62" i="19" l="1"/>
  <c r="H38" i="19"/>
  <c r="G38" i="19"/>
  <c r="F38" i="19"/>
  <c r="H143" i="18"/>
  <c r="E163" i="25" l="1"/>
  <c r="G163" i="25" s="1"/>
  <c r="F163" i="25"/>
  <c r="C12" i="25" l="1"/>
  <c r="C13" i="25"/>
  <c r="C14" i="25"/>
  <c r="F10" i="25"/>
  <c r="C16" i="25"/>
  <c r="C15" i="25"/>
  <c r="E17" i="20"/>
  <c r="E10" i="25"/>
  <c r="G10" i="25" s="1"/>
  <c r="C11" i="25"/>
  <c r="C10" i="25" l="1"/>
  <c r="E29" i="18" l="1"/>
  <c r="E27" i="18"/>
  <c r="H27" i="18" s="1"/>
  <c r="I28" i="18" s="1"/>
  <c r="J28" i="18" s="1"/>
  <c r="E36" i="18"/>
  <c r="D52" i="18" s="1"/>
  <c r="H29" i="18" l="1"/>
  <c r="I30" i="18" s="1"/>
  <c r="J30" i="18" s="1"/>
  <c r="G52" i="18"/>
  <c r="G15" i="19" s="1"/>
  <c r="E15" i="19" s="1"/>
  <c r="C130" i="18"/>
  <c r="F130" i="18" s="1"/>
  <c r="H36" i="18"/>
  <c r="D57" i="18"/>
  <c r="D42" i="18"/>
  <c r="G42" i="18" s="1"/>
  <c r="F8" i="19" s="1"/>
  <c r="D47" i="18"/>
  <c r="D64" i="18"/>
  <c r="D65" i="18" s="1"/>
  <c r="E112" i="20" s="1"/>
  <c r="C128" i="18" l="1"/>
  <c r="G47" i="18"/>
  <c r="F69" i="6"/>
  <c r="F80" i="6" s="1"/>
  <c r="F5" i="19"/>
  <c r="E8" i="19"/>
  <c r="F15" i="19"/>
  <c r="L11" i="19"/>
  <c r="G57" i="18"/>
  <c r="G58" i="18" s="1"/>
  <c r="D58" i="18"/>
  <c r="H112" i="20"/>
  <c r="H135" i="20" s="1"/>
  <c r="H137" i="20" s="1"/>
  <c r="E135" i="20"/>
  <c r="E137" i="20" s="1"/>
  <c r="F60" i="19" l="1"/>
  <c r="F90" i="6"/>
  <c r="F85" i="6"/>
  <c r="L85" i="6" s="1"/>
  <c r="G64" i="18"/>
  <c r="G65" i="18" s="1"/>
  <c r="E37" i="19" s="1"/>
  <c r="G13" i="19"/>
  <c r="I69" i="6"/>
  <c r="I80" i="6" s="1"/>
  <c r="E5" i="19"/>
  <c r="N5" i="19" s="1"/>
  <c r="N6" i="19" s="1"/>
  <c r="G8" i="19"/>
  <c r="G5" i="19" s="1"/>
  <c r="C131" i="18"/>
  <c r="F128" i="18"/>
  <c r="F131" i="18" s="1"/>
  <c r="D17" i="9" l="1"/>
  <c r="E60" i="19"/>
  <c r="C5" i="9"/>
  <c r="I90" i="6"/>
  <c r="I85" i="6"/>
  <c r="O85" i="6" s="1"/>
  <c r="G11" i="19"/>
  <c r="G61" i="19" s="1"/>
  <c r="E13" i="19"/>
  <c r="N7" i="19" s="1"/>
  <c r="N8" i="19" s="1"/>
  <c r="G60" i="19"/>
  <c r="L14" i="19"/>
  <c r="E36" i="19"/>
  <c r="G37" i="19"/>
  <c r="G36" i="19" s="1"/>
  <c r="H37" i="19"/>
  <c r="F37" i="19"/>
  <c r="F36" i="19" s="1"/>
  <c r="G73" i="19" l="1"/>
  <c r="G31" i="19"/>
  <c r="G51" i="19"/>
  <c r="G75" i="19"/>
  <c r="G83" i="19" s="1"/>
  <c r="E51" i="19"/>
  <c r="H51" i="19" s="1"/>
  <c r="E75" i="19"/>
  <c r="C18" i="9"/>
  <c r="C21" i="9" s="1"/>
  <c r="D6" i="9"/>
  <c r="D9" i="9" s="1"/>
  <c r="H144" i="18"/>
  <c r="F51" i="19"/>
  <c r="F75" i="19"/>
  <c r="F83" i="19" s="1"/>
  <c r="L13" i="19"/>
  <c r="E11" i="19"/>
  <c r="F13" i="19"/>
  <c r="F11" i="19" s="1"/>
  <c r="N60" i="19"/>
  <c r="G84" i="19" l="1"/>
  <c r="G53" i="19"/>
  <c r="G85" i="19"/>
  <c r="G52" i="19"/>
  <c r="D18" i="9"/>
  <c r="D21" i="9" s="1"/>
  <c r="E21" i="9" s="1"/>
  <c r="C6" i="9"/>
  <c r="C9" i="9" s="1"/>
  <c r="C10" i="9" s="1"/>
  <c r="C11" i="9" s="1"/>
  <c r="E61" i="19"/>
  <c r="E31" i="19"/>
  <c r="F61" i="19"/>
  <c r="F73" i="19" s="1"/>
  <c r="F31" i="19"/>
  <c r="E83" i="19"/>
  <c r="K75" i="19"/>
  <c r="O61" i="19"/>
  <c r="O73" i="19" s="1"/>
  <c r="F85" i="19" l="1"/>
  <c r="F84" i="19"/>
  <c r="E52" i="19"/>
  <c r="E53" i="19"/>
  <c r="F3" i="2" s="1"/>
  <c r="H31" i="19"/>
  <c r="N61" i="19"/>
  <c r="N73" i="19" s="1"/>
  <c r="E73" i="19"/>
  <c r="F52" i="19"/>
  <c r="F53" i="19"/>
  <c r="G18" i="25" s="1"/>
  <c r="E84" i="19" l="1"/>
  <c r="D84" i="19"/>
  <c r="H18" i="25"/>
</calcChain>
</file>

<file path=xl/comments1.xml><?xml version="1.0" encoding="utf-8"?>
<comments xmlns="http://schemas.openxmlformats.org/spreadsheetml/2006/main">
  <authors>
    <author>Stefan</author>
  </authors>
  <commentList>
    <comment ref="D5" authorId="0">
      <text>
        <r>
          <rPr>
            <b/>
            <sz val="9"/>
            <color indexed="81"/>
            <rFont val="Tahoma"/>
            <family val="2"/>
          </rPr>
          <t>Stefan:</t>
        </r>
        <r>
          <rPr>
            <sz val="9"/>
            <color indexed="81"/>
            <rFont val="Tahoma"/>
            <family val="2"/>
          </rPr>
          <t>for error checking single pathway. Type 1 using Scenario A</t>
        </r>
      </text>
    </comment>
  </commentList>
</comments>
</file>

<file path=xl/comments2.xml><?xml version="1.0" encoding="utf-8"?>
<comments xmlns="http://schemas.openxmlformats.org/spreadsheetml/2006/main">
  <authors>
    <author>Stefan</author>
  </authors>
  <commentList>
    <comment ref="AP35" authorId="0">
      <text>
        <r>
          <rPr>
            <b/>
            <sz val="9"/>
            <color indexed="81"/>
            <rFont val="Tahoma"/>
            <family val="2"/>
          </rPr>
          <t>Stefan:</t>
        </r>
        <r>
          <rPr>
            <sz val="9"/>
            <color indexed="81"/>
            <rFont val="Tahoma"/>
            <family val="2"/>
          </rPr>
          <t xml:space="preserve">
Carbon balance closes</t>
        </r>
      </text>
    </comment>
  </commentList>
</comments>
</file>

<file path=xl/sharedStrings.xml><?xml version="1.0" encoding="utf-8"?>
<sst xmlns="http://schemas.openxmlformats.org/spreadsheetml/2006/main" count="3493" uniqueCount="1555">
  <si>
    <t>Specifications of Fuels, Global Warming Potentials of Greenhouse Gases, and Carbon and Sulfur Ratios of Pollutants</t>
  </si>
  <si>
    <t>1) Specifications of Fuels</t>
  </si>
  <si>
    <t>Fuel</t>
  </si>
  <si>
    <t>Heating Value</t>
  </si>
  <si>
    <t>Density</t>
  </si>
  <si>
    <t>C ratio</t>
  </si>
  <si>
    <t>S ratio</t>
  </si>
  <si>
    <t>Carbon Factor</t>
  </si>
  <si>
    <t>Other Properties</t>
  </si>
  <si>
    <t>Calculation: LHV</t>
  </si>
  <si>
    <t>LHV</t>
  </si>
  <si>
    <t>HHV</t>
  </si>
  <si>
    <t>(% by wt)</t>
  </si>
  <si>
    <t>(ppm by wt)</t>
  </si>
  <si>
    <t>Total C
in Fuel</t>
  </si>
  <si>
    <t>Fossil C 
in Fuel</t>
  </si>
  <si>
    <t>Biogenic C
in Fuel</t>
  </si>
  <si>
    <t>Use LHV or HHV in calculations?</t>
  </si>
  <si>
    <t>1 -- LHV; 2 -- HHV</t>
  </si>
  <si>
    <t xml:space="preserve">                  Density</t>
  </si>
  <si>
    <t>Source</t>
  </si>
  <si>
    <t>Citation</t>
  </si>
  <si>
    <t>Liquid Fuels:</t>
  </si>
  <si>
    <t>Btu/gal</t>
  </si>
  <si>
    <t>g/gal</t>
  </si>
  <si>
    <t>Ratio by Wt.</t>
  </si>
  <si>
    <t>MJ/kg</t>
  </si>
  <si>
    <t>Btu/lb</t>
  </si>
  <si>
    <t>MJ/unit</t>
  </si>
  <si>
    <t>lb/gal</t>
  </si>
  <si>
    <t>kg/L</t>
  </si>
  <si>
    <t>Crude oil</t>
  </si>
  <si>
    <t>CA_GREET</t>
  </si>
  <si>
    <t>Conventional gasoline</t>
  </si>
  <si>
    <t>GREET1_2012</t>
  </si>
  <si>
    <t>Wang (2012)</t>
  </si>
  <si>
    <t>Reformulated or low-sulfur gasoline</t>
  </si>
  <si>
    <t>Calculation</t>
  </si>
  <si>
    <t>CARBOB for CARFG</t>
  </si>
  <si>
    <t>Unnasch (2009)</t>
  </si>
  <si>
    <t>CA reformulated gasoline</t>
  </si>
  <si>
    <t>Diesel for non-road engines</t>
  </si>
  <si>
    <t>Low-sulfur diesel</t>
  </si>
  <si>
    <t>Petroleum naphtha</t>
  </si>
  <si>
    <t>GTL naphtha</t>
  </si>
  <si>
    <t>Residual oil</t>
  </si>
  <si>
    <t>Bunker fuel for ocean tanker</t>
  </si>
  <si>
    <t>Methanol</t>
  </si>
  <si>
    <t>Ethanol</t>
  </si>
  <si>
    <t>Butanol</t>
  </si>
  <si>
    <t>Acetone</t>
  </si>
  <si>
    <t>E-Diesel Additives</t>
  </si>
  <si>
    <t>LPG</t>
  </si>
  <si>
    <t>Liquefied natural gas (LNG)</t>
  </si>
  <si>
    <t>Dimethyl ether</t>
  </si>
  <si>
    <t>Dimethoxy methane (DMM)</t>
  </si>
  <si>
    <t>Algae Oil, TAG</t>
  </si>
  <si>
    <t>Vegetable Oil (PVO)</t>
  </si>
  <si>
    <t xml:space="preserve">Look something up.  </t>
  </si>
  <si>
    <t>Methyl ester (biodiesel, BD)</t>
  </si>
  <si>
    <t>Ethyl ester (biodiesel, BD)</t>
  </si>
  <si>
    <t>GTL Diesel</t>
  </si>
  <si>
    <t>Renewable Diesel I (SuperCetane)</t>
  </si>
  <si>
    <t>Renewable Diesel II (UOP-HDO)</t>
  </si>
  <si>
    <t>Renewable Gasoline</t>
  </si>
  <si>
    <t>Liquid hydrogen</t>
  </si>
  <si>
    <t>Methyl tertiary butyl ether (MTBE)</t>
  </si>
  <si>
    <t>Ethyl tertiary butyl ether (ETBE)</t>
  </si>
  <si>
    <t>Tertiary amyl methyl ether (TAME)</t>
  </si>
  <si>
    <t>Butane</t>
  </si>
  <si>
    <t>Isobutane</t>
  </si>
  <si>
    <t>Isobutylene</t>
  </si>
  <si>
    <t>Propane</t>
  </si>
  <si>
    <t>Natural gas liquids</t>
  </si>
  <si>
    <t>Still gas (in refineries)</t>
  </si>
  <si>
    <t>Gaseous Fuels (at 32F and 1atm):</t>
  </si>
  <si>
    <t>Btu/ft3</t>
  </si>
  <si>
    <t>g/ft3</t>
  </si>
  <si>
    <t>Natural gas</t>
  </si>
  <si>
    <t>Hydrogen</t>
  </si>
  <si>
    <t>Carbon Dioxide</t>
  </si>
  <si>
    <t>Landfill Gas</t>
  </si>
  <si>
    <t>Fuel Gas (RD I)</t>
  </si>
  <si>
    <t>Shale Gas</t>
  </si>
  <si>
    <t>Flared Gas</t>
  </si>
  <si>
    <t>Propane Fuel Mix (RD II)</t>
  </si>
  <si>
    <t>Solid Fuels:</t>
  </si>
  <si>
    <t>Btu/ton</t>
  </si>
  <si>
    <t>Coal</t>
  </si>
  <si>
    <t>Coking coal</t>
  </si>
  <si>
    <t>Lignite</t>
  </si>
  <si>
    <t>Farmed trees</t>
  </si>
  <si>
    <t>Herbaceous biomass</t>
  </si>
  <si>
    <t>Corn stover</t>
  </si>
  <si>
    <t>Forest residue</t>
  </si>
  <si>
    <t>Sugarcane straw</t>
  </si>
  <si>
    <t>?</t>
  </si>
  <si>
    <t>Sugarcane bagasse</t>
  </si>
  <si>
    <t>Pet Coke</t>
  </si>
  <si>
    <t>Stillage solids</t>
  </si>
  <si>
    <t>Lignin</t>
  </si>
  <si>
    <t xml:space="preserve">Jenny has something.  </t>
  </si>
  <si>
    <t>Jet Fuel Properties</t>
  </si>
  <si>
    <t>Conventional Petroleum Jet Fuel</t>
  </si>
  <si>
    <t>Ultra Low Sulfur Petroleum Jet Fuel (ULSJ)</t>
  </si>
  <si>
    <t>GTL Aviation Fuel</t>
  </si>
  <si>
    <t>GTL Lubricant Base Oil</t>
  </si>
  <si>
    <t>Sasol</t>
  </si>
  <si>
    <t>GTL Wax</t>
  </si>
  <si>
    <t>Orxy</t>
  </si>
  <si>
    <t>Life Cycle Associates, LLC</t>
  </si>
  <si>
    <t>Fuel Life Cycle Factors Sheet</t>
  </si>
  <si>
    <t>Global Warming Potential, Molecular Weight</t>
  </si>
  <si>
    <t>Variable Name</t>
  </si>
  <si>
    <t>Species</t>
  </si>
  <si>
    <t>GWP</t>
  </si>
  <si>
    <t>Mol Wt</t>
  </si>
  <si>
    <t>MW</t>
  </si>
  <si>
    <t>CO2</t>
  </si>
  <si>
    <t>CO2_GWP</t>
  </si>
  <si>
    <t>CO2_MW</t>
  </si>
  <si>
    <t>CH4</t>
  </si>
  <si>
    <t>CH4_GWP</t>
  </si>
  <si>
    <t>CH4_MW</t>
  </si>
  <si>
    <t>N2O</t>
  </si>
  <si>
    <t>N2O_GWP</t>
  </si>
  <si>
    <t>N2O_MW</t>
  </si>
  <si>
    <t>VOC</t>
  </si>
  <si>
    <t>VOC_GWP</t>
  </si>
  <si>
    <t>VOC_MW</t>
  </si>
  <si>
    <t>CO</t>
  </si>
  <si>
    <t>CO_GWP</t>
  </si>
  <si>
    <t>CO_MW</t>
  </si>
  <si>
    <t>NO2</t>
  </si>
  <si>
    <t>NO2_GWP</t>
  </si>
  <si>
    <t>NO2_MW</t>
  </si>
  <si>
    <t>C</t>
  </si>
  <si>
    <t>C_MW</t>
  </si>
  <si>
    <t>H</t>
  </si>
  <si>
    <t>H_MW</t>
  </si>
  <si>
    <t>O</t>
  </si>
  <si>
    <t>O_MW</t>
  </si>
  <si>
    <t>N</t>
  </si>
  <si>
    <t>N_MW</t>
  </si>
  <si>
    <t>Ca</t>
  </si>
  <si>
    <t>Ca_MW</t>
  </si>
  <si>
    <t>Cl</t>
  </si>
  <si>
    <t>Cl_MW</t>
  </si>
  <si>
    <t>Na</t>
  </si>
  <si>
    <t>Na_MW</t>
  </si>
  <si>
    <t>S</t>
  </si>
  <si>
    <t>S_MW</t>
  </si>
  <si>
    <t>P</t>
  </si>
  <si>
    <t>P_MW</t>
  </si>
  <si>
    <t>K</t>
  </si>
  <si>
    <t>K_MW</t>
  </si>
  <si>
    <t>Carbon and Sulfur Ratios of Pollutants</t>
  </si>
  <si>
    <t>Ratio</t>
  </si>
  <si>
    <t>Carbon ratio of VOC</t>
  </si>
  <si>
    <t>VOC_C_Ratio</t>
  </si>
  <si>
    <t>Carbon ratio of CO</t>
  </si>
  <si>
    <t>CO_C_Ratio</t>
  </si>
  <si>
    <t>Carbon ratio of CH4</t>
  </si>
  <si>
    <t>CH4_C_Ratio</t>
  </si>
  <si>
    <t>Carbon ratio of CO2</t>
  </si>
  <si>
    <t>CO2_C_Ratio</t>
  </si>
  <si>
    <t>Sulfur ratio of SO2</t>
  </si>
  <si>
    <t>SO2_S_Ratio</t>
  </si>
  <si>
    <t>Conversion Factors</t>
  </si>
  <si>
    <t>Energy</t>
  </si>
  <si>
    <t>J/Btu</t>
  </si>
  <si>
    <t>JperBtu</t>
  </si>
  <si>
    <t>Btu/MJ</t>
  </si>
  <si>
    <t>BtuperMJ</t>
  </si>
  <si>
    <t>Btu/kWh</t>
  </si>
  <si>
    <t>BtuperkWh</t>
  </si>
  <si>
    <t>Mass</t>
  </si>
  <si>
    <t>g/lb</t>
  </si>
  <si>
    <t>gperlb</t>
  </si>
  <si>
    <t>metric tonne/ton</t>
  </si>
  <si>
    <t>tonneperton</t>
  </si>
  <si>
    <t>lb/kg</t>
  </si>
  <si>
    <t>lbperkg</t>
  </si>
  <si>
    <t>Volume</t>
  </si>
  <si>
    <t>L/gal</t>
  </si>
  <si>
    <t>Lpergal</t>
  </si>
  <si>
    <t>Area</t>
  </si>
  <si>
    <t>acre/hectare</t>
  </si>
  <si>
    <t>acreperhectare</t>
  </si>
  <si>
    <t>Distance</t>
  </si>
  <si>
    <t>cm/inch</t>
  </si>
  <si>
    <t>cmperinch</t>
  </si>
  <si>
    <t>mi/naut mi</t>
  </si>
  <si>
    <t>mipernaut</t>
  </si>
  <si>
    <r>
      <t>SO</t>
    </r>
    <r>
      <rPr>
        <b/>
        <vertAlign val="subscript"/>
        <sz val="8"/>
        <rFont val="Arial"/>
        <family val="2"/>
      </rPr>
      <t>x</t>
    </r>
  </si>
  <si>
    <r>
      <t>g CO</t>
    </r>
    <r>
      <rPr>
        <b/>
        <vertAlign val="subscript"/>
        <sz val="8"/>
        <rFont val="Arial"/>
        <family val="2"/>
      </rPr>
      <t>2</t>
    </r>
    <r>
      <rPr>
        <b/>
        <sz val="8"/>
        <rFont val="Arial"/>
        <family val="2"/>
      </rPr>
      <t>/MJ</t>
    </r>
  </si>
  <si>
    <r>
      <t>U</t>
    </r>
    <r>
      <rPr>
        <sz val="8"/>
        <rFont val="Arial"/>
        <family val="2"/>
      </rPr>
      <t>.S. conventional diesel</t>
    </r>
  </si>
  <si>
    <r>
      <t>lb/ft</t>
    </r>
    <r>
      <rPr>
        <b/>
        <vertAlign val="superscript"/>
        <sz val="8"/>
        <rFont val="Arial"/>
        <family val="2"/>
      </rPr>
      <t>3</t>
    </r>
  </si>
  <si>
    <r>
      <t>B</t>
    </r>
    <r>
      <rPr>
        <sz val="8"/>
        <rFont val="Arial"/>
        <family val="2"/>
      </rPr>
      <t>ituminous coal</t>
    </r>
  </si>
  <si>
    <t>ft/mi</t>
  </si>
  <si>
    <t>km/mi</t>
  </si>
  <si>
    <t>kmpermi</t>
  </si>
  <si>
    <t>Units</t>
  </si>
  <si>
    <t>Input</t>
  </si>
  <si>
    <t>Natural Gas</t>
  </si>
  <si>
    <t>Natural Gas Extraction</t>
  </si>
  <si>
    <t>Mix</t>
  </si>
  <si>
    <t>Capacity</t>
  </si>
  <si>
    <t>scf/lb mol</t>
  </si>
  <si>
    <t>scfperlbmol</t>
  </si>
  <si>
    <t>Transport</t>
  </si>
  <si>
    <t>Total</t>
  </si>
  <si>
    <t>Washington</t>
  </si>
  <si>
    <t>tonne C</t>
  </si>
  <si>
    <t>AR Edition</t>
  </si>
  <si>
    <t>Time Horizon</t>
  </si>
  <si>
    <t>AR5</t>
  </si>
  <si>
    <t>AR4</t>
  </si>
  <si>
    <r>
      <t>CO</t>
    </r>
    <r>
      <rPr>
        <vertAlign val="subscript"/>
        <sz val="9"/>
        <rFont val="Arial"/>
        <family val="2"/>
      </rPr>
      <t>2</t>
    </r>
  </si>
  <si>
    <r>
      <t>CH</t>
    </r>
    <r>
      <rPr>
        <vertAlign val="subscript"/>
        <sz val="9"/>
        <rFont val="Arial"/>
        <family val="2"/>
      </rPr>
      <t>4</t>
    </r>
  </si>
  <si>
    <r>
      <t>N</t>
    </r>
    <r>
      <rPr>
        <vertAlign val="subscript"/>
        <sz val="9"/>
        <rFont val="Arial"/>
        <family val="2"/>
      </rPr>
      <t>2</t>
    </r>
    <r>
      <rPr>
        <sz val="9"/>
        <rFont val="Arial"/>
        <family val="2"/>
      </rPr>
      <t>O</t>
    </r>
  </si>
  <si>
    <t>Ethylene</t>
  </si>
  <si>
    <t>SG</t>
  </si>
  <si>
    <t>Component</t>
  </si>
  <si>
    <t>Methane</t>
  </si>
  <si>
    <r>
      <t>C</t>
    </r>
    <r>
      <rPr>
        <vertAlign val="subscript"/>
        <sz val="9"/>
        <rFont val="Arial"/>
        <family val="2"/>
      </rPr>
      <t>2</t>
    </r>
    <r>
      <rPr>
        <sz val="9"/>
        <rFont val="Arial"/>
        <family val="2"/>
      </rPr>
      <t>H</t>
    </r>
    <r>
      <rPr>
        <vertAlign val="subscript"/>
        <sz val="9"/>
        <rFont val="Arial"/>
        <family val="2"/>
      </rPr>
      <t>6</t>
    </r>
  </si>
  <si>
    <r>
      <t>C</t>
    </r>
    <r>
      <rPr>
        <vertAlign val="subscript"/>
        <sz val="9"/>
        <rFont val="Arial"/>
        <family val="2"/>
      </rPr>
      <t>3</t>
    </r>
    <r>
      <rPr>
        <sz val="9"/>
        <rFont val="Arial"/>
        <family val="2"/>
      </rPr>
      <t>H</t>
    </r>
    <r>
      <rPr>
        <vertAlign val="subscript"/>
        <sz val="9"/>
        <rFont val="Arial"/>
        <family val="2"/>
      </rPr>
      <t>8</t>
    </r>
  </si>
  <si>
    <r>
      <t>i-C</t>
    </r>
    <r>
      <rPr>
        <vertAlign val="subscript"/>
        <sz val="9"/>
        <rFont val="Arial"/>
        <family val="2"/>
      </rPr>
      <t>4</t>
    </r>
    <r>
      <rPr>
        <sz val="9"/>
        <rFont val="Arial"/>
        <family val="2"/>
      </rPr>
      <t>H</t>
    </r>
    <r>
      <rPr>
        <vertAlign val="subscript"/>
        <sz val="9"/>
        <rFont val="Arial"/>
        <family val="2"/>
      </rPr>
      <t>10</t>
    </r>
  </si>
  <si>
    <r>
      <t>n-C</t>
    </r>
    <r>
      <rPr>
        <vertAlign val="subscript"/>
        <sz val="9"/>
        <rFont val="Arial"/>
        <family val="2"/>
      </rPr>
      <t>4</t>
    </r>
    <r>
      <rPr>
        <sz val="9"/>
        <rFont val="Arial"/>
        <family val="2"/>
      </rPr>
      <t>H</t>
    </r>
    <r>
      <rPr>
        <vertAlign val="subscript"/>
        <sz val="9"/>
        <rFont val="Arial"/>
        <family val="2"/>
      </rPr>
      <t>10</t>
    </r>
  </si>
  <si>
    <r>
      <t>i-C</t>
    </r>
    <r>
      <rPr>
        <vertAlign val="subscript"/>
        <sz val="9"/>
        <rFont val="Arial"/>
        <family val="2"/>
      </rPr>
      <t>5</t>
    </r>
    <r>
      <rPr>
        <sz val="9"/>
        <rFont val="Arial"/>
        <family val="2"/>
      </rPr>
      <t>H</t>
    </r>
    <r>
      <rPr>
        <vertAlign val="subscript"/>
        <sz val="9"/>
        <rFont val="Arial"/>
        <family val="2"/>
      </rPr>
      <t>12</t>
    </r>
  </si>
  <si>
    <r>
      <t>n-C</t>
    </r>
    <r>
      <rPr>
        <vertAlign val="subscript"/>
        <sz val="9"/>
        <rFont val="Arial"/>
        <family val="2"/>
      </rPr>
      <t>5</t>
    </r>
    <r>
      <rPr>
        <sz val="9"/>
        <rFont val="Arial"/>
        <family val="2"/>
      </rPr>
      <t>H</t>
    </r>
    <r>
      <rPr>
        <vertAlign val="subscript"/>
        <sz val="9"/>
        <rFont val="Arial"/>
        <family val="2"/>
      </rPr>
      <t>12</t>
    </r>
  </si>
  <si>
    <t>Gasoline</t>
  </si>
  <si>
    <t>Benzene</t>
  </si>
  <si>
    <t>Diesel</t>
  </si>
  <si>
    <r>
      <t>H</t>
    </r>
    <r>
      <rPr>
        <vertAlign val="subscript"/>
        <sz val="9"/>
        <rFont val="Arial"/>
        <family val="2"/>
      </rPr>
      <t>2</t>
    </r>
  </si>
  <si>
    <r>
      <t>H</t>
    </r>
    <r>
      <rPr>
        <vertAlign val="subscript"/>
        <sz val="9"/>
        <rFont val="Arial"/>
        <family val="2"/>
      </rPr>
      <t>2</t>
    </r>
    <r>
      <rPr>
        <sz val="9"/>
        <rFont val="Arial"/>
        <family val="2"/>
      </rPr>
      <t>S</t>
    </r>
  </si>
  <si>
    <r>
      <t>N</t>
    </r>
    <r>
      <rPr>
        <vertAlign val="subscript"/>
        <sz val="9"/>
        <rFont val="Arial"/>
        <family val="2"/>
      </rPr>
      <t>2</t>
    </r>
  </si>
  <si>
    <r>
      <t>O</t>
    </r>
    <r>
      <rPr>
        <vertAlign val="subscript"/>
        <sz val="9"/>
        <rFont val="Arial"/>
        <family val="2"/>
      </rPr>
      <t>2</t>
    </r>
  </si>
  <si>
    <t>NL/g mol</t>
  </si>
  <si>
    <t>Lpergmol</t>
  </si>
  <si>
    <t>Boiler</t>
  </si>
  <si>
    <t>Marginal</t>
  </si>
  <si>
    <t>Upstream</t>
  </si>
  <si>
    <t>Coal Boiler</t>
  </si>
  <si>
    <t>Fuel Gas</t>
  </si>
  <si>
    <t>Residual Oil</t>
  </si>
  <si>
    <t>Paraffin/Olefin</t>
  </si>
  <si>
    <t>Diesel Fuel</t>
  </si>
  <si>
    <t>Crude</t>
  </si>
  <si>
    <t>Utility/ Industrial Boiler (&gt;100 mmBtu/hr input)</t>
  </si>
  <si>
    <t>Small Industrial Boiler (10-100 mmBtu/hr input)</t>
  </si>
  <si>
    <t>Large Gas Turbine</t>
  </si>
  <si>
    <t>CC Gas Turbine</t>
  </si>
  <si>
    <t>Small Turbine</t>
  </si>
  <si>
    <t>Stationary Reciprocating Engine</t>
  </si>
  <si>
    <t xml:space="preserve">    NG Flaring in Oil Field</t>
  </si>
  <si>
    <t>Utility Boiler</t>
  </si>
  <si>
    <t>Industrial Boiler</t>
  </si>
  <si>
    <t>Commercial Boiler</t>
  </si>
  <si>
    <t>Turbine</t>
  </si>
  <si>
    <t>Farming Tractor</t>
  </si>
  <si>
    <t>IGCC Turbine</t>
  </si>
  <si>
    <t>NOx</t>
  </si>
  <si>
    <t>PM10</t>
  </si>
  <si>
    <t>PM2.5</t>
  </si>
  <si>
    <t>SOx</t>
  </si>
  <si>
    <t>BC</t>
  </si>
  <si>
    <t>OC</t>
  </si>
  <si>
    <t>Biogenic CO2</t>
  </si>
  <si>
    <t>1) Emission Factors of Fuel Combustion for Stationary Applications (grams per mmBtu of fuel burned), GREET EF Tab</t>
  </si>
  <si>
    <t>Scenario</t>
  </si>
  <si>
    <t>Extraction Fugitive</t>
  </si>
  <si>
    <t>Natural Gas Processing</t>
  </si>
  <si>
    <t>Processing Fugtive</t>
  </si>
  <si>
    <t>Transmisison Fugitive</t>
  </si>
  <si>
    <t>Processing Step</t>
  </si>
  <si>
    <r>
      <t>CO</t>
    </r>
    <r>
      <rPr>
        <b/>
        <vertAlign val="subscript"/>
        <sz val="11"/>
        <color indexed="8"/>
        <rFont val="Calibri"/>
        <family val="2"/>
      </rPr>
      <t>2</t>
    </r>
    <r>
      <rPr>
        <b/>
        <sz val="11"/>
        <color indexed="8"/>
        <rFont val="Calibri"/>
        <family val="2"/>
      </rPr>
      <t>e</t>
    </r>
  </si>
  <si>
    <r>
      <t>CO</t>
    </r>
    <r>
      <rPr>
        <b/>
        <vertAlign val="subscript"/>
        <sz val="11"/>
        <color indexed="8"/>
        <rFont val="Calibri"/>
        <family val="2"/>
      </rPr>
      <t>2</t>
    </r>
  </si>
  <si>
    <r>
      <t>CH</t>
    </r>
    <r>
      <rPr>
        <b/>
        <vertAlign val="subscript"/>
        <sz val="11"/>
        <color indexed="8"/>
        <rFont val="Calibri"/>
        <family val="2"/>
      </rPr>
      <t>4</t>
    </r>
  </si>
  <si>
    <r>
      <t>N</t>
    </r>
    <r>
      <rPr>
        <b/>
        <vertAlign val="subscript"/>
        <sz val="11"/>
        <color indexed="8"/>
        <rFont val="Calibri"/>
        <family val="2"/>
      </rPr>
      <t>2</t>
    </r>
    <r>
      <rPr>
        <b/>
        <sz val="11"/>
        <color indexed="8"/>
        <rFont val="Calibri"/>
        <family val="2"/>
      </rPr>
      <t>O</t>
    </r>
  </si>
  <si>
    <t>GREET1_2017</t>
  </si>
  <si>
    <t>Emissions (g/mmBtu), LHV</t>
  </si>
  <si>
    <t>Transmission &amp; Storage</t>
  </si>
  <si>
    <r>
      <t>CO</t>
    </r>
    <r>
      <rPr>
        <b/>
        <vertAlign val="subscript"/>
        <sz val="11"/>
        <color indexed="8"/>
        <rFont val="Calibri"/>
        <family val="2"/>
      </rPr>
      <t>2</t>
    </r>
    <r>
      <rPr>
        <b/>
        <sz val="11"/>
        <color indexed="8"/>
        <rFont val="Calibri"/>
        <family val="2"/>
      </rPr>
      <t>c</t>
    </r>
  </si>
  <si>
    <t>Equipment Type</t>
  </si>
  <si>
    <t>Diesel Engine</t>
  </si>
  <si>
    <t>Gasoline Engine</t>
  </si>
  <si>
    <t>Marine Engine</t>
  </si>
  <si>
    <t>GREET WTT Emissions (g/mmBtu), LHV</t>
  </si>
  <si>
    <t>Gasoline, E10</t>
  </si>
  <si>
    <t>Bunker Fuel</t>
  </si>
  <si>
    <t>gal</t>
  </si>
  <si>
    <t>mmBtu, HHV</t>
  </si>
  <si>
    <t>GREET Emission Factors</t>
  </si>
  <si>
    <t>CO2c</t>
  </si>
  <si>
    <t>IC Engine</t>
  </si>
  <si>
    <t>Turbine, CC</t>
  </si>
  <si>
    <t>Heavy Duty Truck</t>
  </si>
  <si>
    <t>Locomotive</t>
  </si>
  <si>
    <t>HD Truck</t>
  </si>
  <si>
    <t>Diesel Truck</t>
  </si>
  <si>
    <t>Natural Gas ICE</t>
  </si>
  <si>
    <t>Natural Gas CC Turbine</t>
  </si>
  <si>
    <t>Natural Gas Boiler</t>
  </si>
  <si>
    <t>Fuel gas bioler</t>
  </si>
  <si>
    <t>Fuel/ Application</t>
  </si>
  <si>
    <t>Btu/tonne</t>
  </si>
  <si>
    <t>tonne</t>
  </si>
  <si>
    <t>g/mmBtu</t>
  </si>
  <si>
    <t>EIS Emission Factors</t>
  </si>
  <si>
    <t>U.S. Average</t>
  </si>
  <si>
    <t>Power Plants</t>
  </si>
  <si>
    <t>Emissions (g/kWh)</t>
  </si>
  <si>
    <t>WA</t>
  </si>
  <si>
    <t>Operational Emissions</t>
  </si>
  <si>
    <t>Construction Emissions</t>
  </si>
  <si>
    <t>Upstream Natural Gas</t>
  </si>
  <si>
    <t>Pollutant</t>
  </si>
  <si>
    <t>Emissions (tonne)</t>
  </si>
  <si>
    <t>Structural Steel</t>
  </si>
  <si>
    <t>Stainless Steel</t>
  </si>
  <si>
    <t xml:space="preserve">Copper </t>
  </si>
  <si>
    <t>Aggregate</t>
  </si>
  <si>
    <t>Cement</t>
  </si>
  <si>
    <t>Asphalt</t>
  </si>
  <si>
    <t>tonnes</t>
  </si>
  <si>
    <t>Paint</t>
  </si>
  <si>
    <t>Rebar</t>
  </si>
  <si>
    <t>Steel</t>
  </si>
  <si>
    <t>Life Cycle Emission Factor (g/kg)</t>
  </si>
  <si>
    <t>Crude Oil Production</t>
  </si>
  <si>
    <t>Crude Oil Refining</t>
  </si>
  <si>
    <t>Transport Fugitive</t>
  </si>
  <si>
    <t>Refinery Efficiency</t>
  </si>
  <si>
    <t>Crude Oil Resource Mix</t>
  </si>
  <si>
    <t>API Gravity</t>
  </si>
  <si>
    <t>Canadian Oil Sands</t>
  </si>
  <si>
    <t>U.S. Bunker Fuel</t>
  </si>
  <si>
    <t>Processing Fugitive</t>
  </si>
  <si>
    <t>Total U.S. Bunker Fuel</t>
  </si>
  <si>
    <t>U.S. Diesel Fuel</t>
  </si>
  <si>
    <t>Total U.S. Diesel Fuel</t>
  </si>
  <si>
    <t>Imported Oil</t>
  </si>
  <si>
    <t>Product Transport</t>
  </si>
  <si>
    <t>% Marine Vessel</t>
  </si>
  <si>
    <t>Average Distance</t>
  </si>
  <si>
    <t>GHG Emissions (kg/1000 gal LNG)</t>
  </si>
  <si>
    <t>LNG</t>
  </si>
  <si>
    <t>Truck</t>
  </si>
  <si>
    <t>NG Peak Shaving</t>
  </si>
  <si>
    <t xml:space="preserve">LNG </t>
  </si>
  <si>
    <t>LPG from Tacoma LNG</t>
  </si>
  <si>
    <t>LPG, conventional</t>
  </si>
  <si>
    <t xml:space="preserve">Diesel </t>
  </si>
  <si>
    <t>Truck Engine</t>
  </si>
  <si>
    <t>GHG Emissions</t>
  </si>
  <si>
    <t>tonne/year</t>
  </si>
  <si>
    <t>NG Peak shaving</t>
  </si>
  <si>
    <t>Energy Input/Output: Based on 250,000 gal/day</t>
  </si>
  <si>
    <t>GBtu, LHV</t>
  </si>
  <si>
    <t>Natural Gas upstream</t>
  </si>
  <si>
    <t>Power (kWh/1000 gal)</t>
  </si>
  <si>
    <t xml:space="preserve">Baseline </t>
  </si>
  <si>
    <t>eGRID NWPP</t>
  </si>
  <si>
    <t>GHG Emissions
tonne/year</t>
  </si>
  <si>
    <t>LNG Production</t>
  </si>
  <si>
    <t>gal/day</t>
  </si>
  <si>
    <t>Enduse share</t>
  </si>
  <si>
    <t xml:space="preserve">TOTE Marine </t>
  </si>
  <si>
    <t>On-site Peak Shaving</t>
  </si>
  <si>
    <t>Gig Harbor Peak Shaving</t>
  </si>
  <si>
    <t>On-road Trucking</t>
  </si>
  <si>
    <t>Truck-to-Ship Bunkering</t>
  </si>
  <si>
    <t>Other Marine (by Bunker Barge)</t>
  </si>
  <si>
    <t>Scenario A</t>
  </si>
  <si>
    <t>Scenario B</t>
  </si>
  <si>
    <t>A</t>
  </si>
  <si>
    <t>LNG Enduse</t>
  </si>
  <si>
    <t>Upstream Gig  harbor Peak Shaving</t>
  </si>
  <si>
    <t>Upstream Truck-to-Ship Bunkering</t>
  </si>
  <si>
    <t>Total LNG</t>
  </si>
  <si>
    <t>End Use Emissions</t>
  </si>
  <si>
    <t>Total Natural Gas</t>
  </si>
  <si>
    <t>Natural Gas upstream  LNG</t>
  </si>
  <si>
    <t>Flare</t>
  </si>
  <si>
    <t>Vaporizer</t>
  </si>
  <si>
    <t>Fugitives</t>
  </si>
  <si>
    <t>Pumping Diesel fuel from tank to boiler</t>
  </si>
  <si>
    <t>Loss of LNG Peak Shaving - Boiler operation with Diesel</t>
  </si>
  <si>
    <t>No Peak Shaving - Diesel Boiler operation</t>
  </si>
  <si>
    <t xml:space="preserve"> Diesel fuel storage pumping</t>
  </si>
  <si>
    <t>Pumping Diesel fuel from tank to vehicle</t>
  </si>
  <si>
    <t>Liquefaction</t>
  </si>
  <si>
    <t>kWh/gal</t>
  </si>
  <si>
    <t>hr/yr</t>
  </si>
  <si>
    <t>Total Consumption</t>
  </si>
  <si>
    <t>Large Boiler</t>
  </si>
  <si>
    <t>Small Boiler</t>
  </si>
  <si>
    <t>Regasification
Vaporizer</t>
  </si>
  <si>
    <t>LNG Storage</t>
  </si>
  <si>
    <t>LNG Preatreatment</t>
  </si>
  <si>
    <t>tonne NG</t>
  </si>
  <si>
    <t>tonne LPG</t>
  </si>
  <si>
    <t>Tacoma LNG Plant</t>
  </si>
  <si>
    <t>GBtu, LHV/year</t>
  </si>
  <si>
    <t>Operational hours Liqu.</t>
  </si>
  <si>
    <t>hr/year</t>
  </si>
  <si>
    <t>NG WPG heater</t>
  </si>
  <si>
    <t>NG Regenerator heater</t>
  </si>
  <si>
    <t>Tacoma
LNG</t>
  </si>
  <si>
    <t>mol%</t>
  </si>
  <si>
    <t>mol/d</t>
  </si>
  <si>
    <t>t/d</t>
  </si>
  <si>
    <t>C2H6</t>
  </si>
  <si>
    <t>C3H8</t>
  </si>
  <si>
    <t>i-C4H10</t>
  </si>
  <si>
    <t>n-C4H10</t>
  </si>
  <si>
    <t>i-C5H12</t>
  </si>
  <si>
    <t>n-C5H12</t>
  </si>
  <si>
    <t>C6+</t>
  </si>
  <si>
    <t>N2</t>
  </si>
  <si>
    <t>H2</t>
  </si>
  <si>
    <t>H2S</t>
  </si>
  <si>
    <t>O2</t>
  </si>
  <si>
    <t>He</t>
  </si>
  <si>
    <t>C factor (lb CO2/scf)</t>
  </si>
  <si>
    <t>LHV (MJ/kg)</t>
  </si>
  <si>
    <t>average molar weight</t>
  </si>
  <si>
    <t>mol "C" per mol gas</t>
  </si>
  <si>
    <t>carbon weight %</t>
  </si>
  <si>
    <t>Carbon factor, gCO2/MJ</t>
  </si>
  <si>
    <t xml:space="preserve">                 g CO2/mmBtu, LHV</t>
  </si>
  <si>
    <t>Btu/scf (LHV)</t>
  </si>
  <si>
    <t>Btu/scf (HHV)</t>
  </si>
  <si>
    <t>MJ/m3</t>
  </si>
  <si>
    <t>Density (g/ft3)</t>
  </si>
  <si>
    <t>Density (g/m3)</t>
  </si>
  <si>
    <t>kWhel/mmBtu</t>
  </si>
  <si>
    <t>mmBtu/hr</t>
  </si>
  <si>
    <t>mmBtu Fuel gas</t>
  </si>
  <si>
    <t>NG Feed
lb / Day</t>
  </si>
  <si>
    <t>LNG Output
lb / Day</t>
  </si>
  <si>
    <t>Pretreatment</t>
  </si>
  <si>
    <t xml:space="preserve">LNG Output </t>
  </si>
  <si>
    <t xml:space="preserve">Total NG end use </t>
  </si>
  <si>
    <t>tonne LNG</t>
  </si>
  <si>
    <t>mmBtu/year</t>
  </si>
  <si>
    <r>
      <t>C</t>
    </r>
    <r>
      <rPr>
        <vertAlign val="subscript"/>
        <sz val="9"/>
        <rFont val="Arial"/>
        <family val="2"/>
      </rPr>
      <t>6</t>
    </r>
    <r>
      <rPr>
        <sz val="9"/>
        <rFont val="Arial"/>
        <family val="2"/>
      </rPr>
      <t>+</t>
    </r>
  </si>
  <si>
    <t>NG Feed</t>
  </si>
  <si>
    <t>GBtu,LHV</t>
  </si>
  <si>
    <t xml:space="preserve">Operational hours </t>
  </si>
  <si>
    <t>Waste Gas Flow</t>
  </si>
  <si>
    <t>scf/hr</t>
  </si>
  <si>
    <t>Waste Gas Heat Input</t>
  </si>
  <si>
    <t>Total Heat Input</t>
  </si>
  <si>
    <t>scf/m3</t>
  </si>
  <si>
    <t>scfperm3</t>
  </si>
  <si>
    <t>kW</t>
  </si>
  <si>
    <t>Emergency
Diesel genset</t>
  </si>
  <si>
    <t>tonne Diesel</t>
  </si>
  <si>
    <t xml:space="preserve">kWh/galLNG </t>
  </si>
  <si>
    <t>Emergency equipment</t>
  </si>
  <si>
    <t>Power require. (Grid)</t>
  </si>
  <si>
    <t>Power requir. (Grid)</t>
  </si>
  <si>
    <t xml:space="preserve">Methane </t>
  </si>
  <si>
    <t>Fugitives -  Refrigerant losses through Compressor Seals</t>
  </si>
  <si>
    <t>LNGg Heater Capacity</t>
  </si>
  <si>
    <t>Emissions (tonne/year), LHV</t>
  </si>
  <si>
    <t>Total Annual Consumption</t>
  </si>
  <si>
    <t>Waste gas  Flare</t>
  </si>
  <si>
    <t>Waste gas flaring</t>
  </si>
  <si>
    <t>Waste Flare gas - LNG plant</t>
  </si>
  <si>
    <t>mmBtu/yr</t>
  </si>
  <si>
    <t>Seperated CO2</t>
  </si>
  <si>
    <t>Non-combustion C02 from pretreatment</t>
  </si>
  <si>
    <t>CO2 seperation efficiency</t>
  </si>
  <si>
    <t>tonne Methane</t>
  </si>
  <si>
    <t>Electricity generation</t>
  </si>
  <si>
    <t>kWh/yr</t>
  </si>
  <si>
    <t>Upstream Power LNG production</t>
  </si>
  <si>
    <t>GHG Emissions
kg/1000 gal</t>
  </si>
  <si>
    <t>Total Upstream</t>
  </si>
  <si>
    <t>NO ACTION</t>
  </si>
  <si>
    <t>Total Construction</t>
  </si>
  <si>
    <t>Upstream Displaced Emissions</t>
  </si>
  <si>
    <t>Total Emission (No Action)</t>
  </si>
  <si>
    <t>Net Emission reduction</t>
  </si>
  <si>
    <t>in percentage</t>
  </si>
  <si>
    <t>Products</t>
  </si>
  <si>
    <t>tonne/yr</t>
  </si>
  <si>
    <t>C content</t>
  </si>
  <si>
    <t>Emissions</t>
  </si>
  <si>
    <t>Total Emissions</t>
  </si>
  <si>
    <t>Comments</t>
  </si>
  <si>
    <t>Input NG</t>
  </si>
  <si>
    <t xml:space="preserve">Natural gas </t>
  </si>
  <si>
    <t>lb/day</t>
  </si>
  <si>
    <t>non-combustion</t>
  </si>
  <si>
    <t>LPG, estimated</t>
  </si>
  <si>
    <t>Total Products</t>
  </si>
  <si>
    <t>Total NG Input</t>
  </si>
  <si>
    <t>Total Product + Emissions</t>
  </si>
  <si>
    <t>Total NG Input - Product + Emissions</t>
  </si>
  <si>
    <t>Input,ouput</t>
  </si>
  <si>
    <t>Comments:</t>
  </si>
  <si>
    <t>B: In the FEIS report page 103 the value is 10,703tonne/year. Could you clarify this?</t>
  </si>
  <si>
    <t>B</t>
  </si>
  <si>
    <t>A: How much LPG is produced as product? LPG production is not mentioned in the Response.</t>
  </si>
  <si>
    <t xml:space="preserve">Calculated specs for Feed Gas, Emissions and Products </t>
  </si>
  <si>
    <t xml:space="preserve">Mass </t>
  </si>
  <si>
    <t>Mass ratio, base LNG</t>
  </si>
  <si>
    <t>Overall Mass Balance</t>
  </si>
  <si>
    <t>Mass ratio NG/LNG</t>
  </si>
  <si>
    <t>Power generation</t>
  </si>
  <si>
    <t>Consumption, Estimate</t>
  </si>
  <si>
    <t>Emission Factors</t>
  </si>
  <si>
    <t>hours/year</t>
  </si>
  <si>
    <t>days/year</t>
  </si>
  <si>
    <t>Overall Operational Hours</t>
  </si>
  <si>
    <t>LNG Flaring</t>
  </si>
  <si>
    <t>LNG Liquefaction Plant</t>
  </si>
  <si>
    <t>LNG Vaporizer</t>
  </si>
  <si>
    <t>Emergency Diesel Generator</t>
  </si>
  <si>
    <t>LNG Pretreatment</t>
  </si>
  <si>
    <t>Comment</t>
  </si>
  <si>
    <t>Mgal/
year</t>
  </si>
  <si>
    <t>tonne/
year</t>
  </si>
  <si>
    <t xml:space="preserve">Density LNG g/gal </t>
  </si>
  <si>
    <t xml:space="preserve">Density LNG lb/gal </t>
  </si>
  <si>
    <t>GENERAL INPUTS</t>
  </si>
  <si>
    <t>Version:</t>
  </si>
  <si>
    <t>Date:</t>
  </si>
  <si>
    <r>
      <t>CO</t>
    </r>
    <r>
      <rPr>
        <b/>
        <vertAlign val="subscript"/>
        <sz val="11"/>
        <rFont val="Calibri"/>
        <family val="2"/>
        <scheme val="minor"/>
      </rPr>
      <t>2</t>
    </r>
    <r>
      <rPr>
        <b/>
        <sz val="11"/>
        <rFont val="Calibri"/>
        <family val="2"/>
        <scheme val="minor"/>
      </rPr>
      <t>/pollutant</t>
    </r>
  </si>
  <si>
    <t>NO PROJECT</t>
  </si>
  <si>
    <t>Power Consumption LNG Production</t>
  </si>
  <si>
    <t>LCA</t>
  </si>
  <si>
    <t>Natural Gas Production &amp; Processing</t>
  </si>
  <si>
    <t>Natural Gas Distribution</t>
  </si>
  <si>
    <t xml:space="preserve">Total </t>
  </si>
  <si>
    <t>Total Ex-Distribution</t>
  </si>
  <si>
    <t>GHG Emissions
tonne/40 year</t>
  </si>
  <si>
    <t>Upstream TOTE Marine Diesel</t>
  </si>
  <si>
    <t>PROJECT</t>
  </si>
  <si>
    <t xml:space="preserve"> Diesel fuel for emergency genset</t>
  </si>
  <si>
    <t>Consumption</t>
  </si>
  <si>
    <t>Emissions (kg/1000 gal), LHV</t>
  </si>
  <si>
    <t>Diesel consumption</t>
  </si>
  <si>
    <t>gal/h</t>
  </si>
  <si>
    <t>gal/year</t>
  </si>
  <si>
    <t>Diesel geneartor ULSD</t>
  </si>
  <si>
    <t>--</t>
  </si>
  <si>
    <t>WPG</t>
  </si>
  <si>
    <t>Regen</t>
  </si>
  <si>
    <t>Emissions  (tonne CO2e/year)</t>
  </si>
  <si>
    <t>LNG plant</t>
  </si>
  <si>
    <t>Source: BID REPORT, ATTACHMENT F (1 page)</t>
  </si>
  <si>
    <r>
      <t>Diesel Generator</t>
    </r>
    <r>
      <rPr>
        <sz val="5.5"/>
        <color indexed="8"/>
        <rFont val="Calibri"/>
        <family val="2"/>
      </rPr>
      <t xml:space="preserve"> </t>
    </r>
  </si>
  <si>
    <t>Mgal/yr</t>
  </si>
  <si>
    <t>GBtu, LHV/yr</t>
  </si>
  <si>
    <t>Mgal/ year</t>
  </si>
  <si>
    <t>GBtu/ year</t>
  </si>
  <si>
    <t>Upstream Diesel production</t>
  </si>
  <si>
    <t>Emissions (tonne/yr), LHV</t>
  </si>
  <si>
    <t>mmBtu/
1000 gal LNG</t>
  </si>
  <si>
    <t>GBtu/year</t>
  </si>
  <si>
    <t>g CO2/mmBtu</t>
  </si>
  <si>
    <t>(estimate need of 1830 Btu/gal LNG)</t>
  </si>
  <si>
    <t>C factor (lb CO2/mmBtu)HHV</t>
  </si>
  <si>
    <t>Table 9.  Tacoma Power Generating Mix  (2016)</t>
  </si>
  <si>
    <t>Fuel Type</t>
  </si>
  <si>
    <t>Percentage Used</t>
  </si>
  <si>
    <t>Hydro Power</t>
  </si>
  <si>
    <t>Nuclear*</t>
  </si>
  <si>
    <t>Upstream Emissions from Tacoma Power Supply</t>
  </si>
  <si>
    <t>g/mmBTU LNG</t>
  </si>
  <si>
    <t>g/kWhel</t>
  </si>
  <si>
    <t>grams/mmBTUel</t>
  </si>
  <si>
    <t>kg/ 1000 gal</t>
  </si>
  <si>
    <t>Source: Provided Report BID page 14</t>
  </si>
  <si>
    <t>Combusted Gas Characteristics</t>
  </si>
  <si>
    <t>Parameters</t>
  </si>
  <si>
    <r>
      <t>Natural Gas</t>
    </r>
    <r>
      <rPr>
        <b/>
        <vertAlign val="superscript"/>
        <sz val="11"/>
        <rFont val="Calibri"/>
        <family val="2"/>
        <scheme val="minor"/>
      </rPr>
      <t>a</t>
    </r>
  </si>
  <si>
    <r>
      <t>Flared Waste Gas</t>
    </r>
    <r>
      <rPr>
        <b/>
        <vertAlign val="superscript"/>
        <sz val="11"/>
        <color theme="1"/>
        <rFont val="Calibri"/>
        <family val="2"/>
        <scheme val="minor"/>
      </rPr>
      <t>a</t>
    </r>
  </si>
  <si>
    <t>Liquefying Case 1</t>
  </si>
  <si>
    <t>Liquefying Case 2</t>
  </si>
  <si>
    <t>Liquefying Case 3</t>
  </si>
  <si>
    <t>Liquefying Case 4</t>
  </si>
  <si>
    <t>Liquefying Case 5</t>
  </si>
  <si>
    <t>Holding</t>
  </si>
  <si>
    <t>LNG Transfer A1</t>
  </si>
  <si>
    <t>LNG Transfer A2/A3</t>
  </si>
  <si>
    <t>LNG Transfer B</t>
  </si>
  <si>
    <t>Heat Content (Btu/scf)</t>
  </si>
  <si>
    <t>Density (lb/scf)</t>
  </si>
  <si>
    <r>
      <t>Sulfur Content (ppmw)</t>
    </r>
    <r>
      <rPr>
        <vertAlign val="superscript"/>
        <sz val="11"/>
        <rFont val="Calibri"/>
        <family val="2"/>
        <scheme val="minor"/>
      </rPr>
      <t>c</t>
    </r>
  </si>
  <si>
    <t>VOC Content (wt%)</t>
  </si>
  <si>
    <t>NA</t>
  </si>
  <si>
    <r>
      <t>Benzene Concentration (</t>
    </r>
    <r>
      <rPr>
        <sz val="11"/>
        <color indexed="8"/>
        <rFont val="Calibri"/>
        <family val="2"/>
      </rPr>
      <t>mg/m</t>
    </r>
    <r>
      <rPr>
        <vertAlign val="superscript"/>
        <sz val="11"/>
        <color theme="1"/>
        <rFont val="Calibri"/>
        <family val="2"/>
        <scheme val="minor"/>
      </rPr>
      <t>3</t>
    </r>
    <r>
      <rPr>
        <sz val="11"/>
        <color indexed="8"/>
        <rFont val="Calibri"/>
        <family val="2"/>
      </rPr>
      <t>)</t>
    </r>
    <r>
      <rPr>
        <vertAlign val="superscript"/>
        <sz val="11"/>
        <color theme="1"/>
        <rFont val="Calibri"/>
        <family val="2"/>
        <scheme val="minor"/>
      </rPr>
      <t>b</t>
    </r>
  </si>
  <si>
    <r>
      <t>Ethylbenzene Concentration (</t>
    </r>
    <r>
      <rPr>
        <sz val="11"/>
        <color indexed="8"/>
        <rFont val="Calibri"/>
        <family val="2"/>
      </rPr>
      <t>mg/m</t>
    </r>
    <r>
      <rPr>
        <vertAlign val="superscript"/>
        <sz val="11"/>
        <color theme="1"/>
        <rFont val="Calibri"/>
        <family val="2"/>
        <scheme val="minor"/>
      </rPr>
      <t>3</t>
    </r>
    <r>
      <rPr>
        <sz val="11"/>
        <color indexed="8"/>
        <rFont val="Calibri"/>
        <family val="2"/>
      </rPr>
      <t>)</t>
    </r>
    <r>
      <rPr>
        <vertAlign val="superscript"/>
        <sz val="11"/>
        <color theme="1"/>
        <rFont val="Calibri"/>
        <family val="2"/>
        <scheme val="minor"/>
      </rPr>
      <t>b</t>
    </r>
  </si>
  <si>
    <r>
      <t>m,p-Xylene Concentration (</t>
    </r>
    <r>
      <rPr>
        <sz val="11"/>
        <color indexed="8"/>
        <rFont val="Calibri"/>
        <family val="2"/>
      </rPr>
      <t>mg/m</t>
    </r>
    <r>
      <rPr>
        <vertAlign val="superscript"/>
        <sz val="11"/>
        <color theme="1"/>
        <rFont val="Calibri"/>
        <family val="2"/>
        <scheme val="minor"/>
      </rPr>
      <t>3</t>
    </r>
    <r>
      <rPr>
        <sz val="11"/>
        <color indexed="8"/>
        <rFont val="Calibri"/>
        <family val="2"/>
      </rPr>
      <t>)</t>
    </r>
    <r>
      <rPr>
        <vertAlign val="superscript"/>
        <sz val="11"/>
        <color theme="1"/>
        <rFont val="Calibri"/>
        <family val="2"/>
        <scheme val="minor"/>
      </rPr>
      <t>b</t>
    </r>
  </si>
  <si>
    <r>
      <t>o-Xylene Concentration (</t>
    </r>
    <r>
      <rPr>
        <sz val="11"/>
        <color indexed="8"/>
        <rFont val="Calibri"/>
        <family val="2"/>
      </rPr>
      <t>mg/m</t>
    </r>
    <r>
      <rPr>
        <vertAlign val="superscript"/>
        <sz val="11"/>
        <color theme="1"/>
        <rFont val="Calibri"/>
        <family val="2"/>
        <scheme val="minor"/>
      </rPr>
      <t>3</t>
    </r>
    <r>
      <rPr>
        <sz val="11"/>
        <color indexed="8"/>
        <rFont val="Calibri"/>
        <family val="2"/>
      </rPr>
      <t>)</t>
    </r>
    <r>
      <rPr>
        <vertAlign val="superscript"/>
        <sz val="11"/>
        <color theme="1"/>
        <rFont val="Calibri"/>
        <family val="2"/>
        <scheme val="minor"/>
      </rPr>
      <t>b</t>
    </r>
  </si>
  <si>
    <r>
      <t>Toluene Concentration (</t>
    </r>
    <r>
      <rPr>
        <sz val="11"/>
        <color indexed="8"/>
        <rFont val="Calibri"/>
        <family val="2"/>
      </rPr>
      <t>mg/m</t>
    </r>
    <r>
      <rPr>
        <vertAlign val="superscript"/>
        <sz val="11"/>
        <color theme="1"/>
        <rFont val="Calibri"/>
        <family val="2"/>
        <scheme val="minor"/>
      </rPr>
      <t>3</t>
    </r>
    <r>
      <rPr>
        <sz val="11"/>
        <color indexed="8"/>
        <rFont val="Calibri"/>
        <family val="2"/>
      </rPr>
      <t>)</t>
    </r>
    <r>
      <rPr>
        <vertAlign val="superscript"/>
        <sz val="11"/>
        <color theme="1"/>
        <rFont val="Calibri"/>
        <family val="2"/>
        <scheme val="minor"/>
      </rPr>
      <t>b</t>
    </r>
  </si>
  <si>
    <t>Notes:</t>
  </si>
  <si>
    <r>
      <rPr>
        <vertAlign val="superscript"/>
        <sz val="11"/>
        <color theme="1"/>
        <rFont val="Calibri"/>
        <family val="2"/>
        <scheme val="minor"/>
      </rPr>
      <t>a</t>
    </r>
    <r>
      <rPr>
        <sz val="11"/>
        <color indexed="8"/>
        <rFont val="Calibri"/>
        <family val="2"/>
      </rPr>
      <t xml:space="preserve"> Provided by CB&amp;I.</t>
    </r>
  </si>
  <si>
    <r>
      <rPr>
        <vertAlign val="superscript"/>
        <sz val="11"/>
        <color theme="1"/>
        <rFont val="Calibri"/>
        <family val="2"/>
        <scheme val="minor"/>
      </rPr>
      <t>c</t>
    </r>
    <r>
      <rPr>
        <sz val="11"/>
        <color indexed="8"/>
        <rFont val="Calibri"/>
        <family val="2"/>
      </rPr>
      <t xml:space="preserve"> Based on the Williams Gas Pipeline tariff of 0.25 grains per 100 cubic feet for H2S, the past 12-month maximum total sulfur (reported as H2S by Williams Gas Pipeline) of 0.603 grains per 100 cubic feet, and sulfur from odorant of 0.23 grains per 100 cubic feet (odorant injection rates provided by PSE).</t>
    </r>
  </si>
  <si>
    <r>
      <t>b</t>
    </r>
    <r>
      <rPr>
        <sz val="11"/>
        <color indexed="8"/>
        <rFont val="Calibri"/>
        <family val="2"/>
      </rPr>
      <t xml:space="preserve"> From "Natural Gas Analysis"; Environmental Partners, Inc.; February 3, 2014. Most hazardous air pollutants (HAPs) will go through with the heavy hydrocarbons, but the fraction is unknown. Therefore, we conservatively assume the waste gas has the full concentration of HAP.</t>
    </r>
  </si>
  <si>
    <t>Fugitive Emissions from Equipment Leaks</t>
  </si>
  <si>
    <t xml:space="preserve">EQUIPMENT INFORMATION </t>
  </si>
  <si>
    <t>Phase</t>
  </si>
  <si>
    <r>
      <t>Emission Factors</t>
    </r>
    <r>
      <rPr>
        <b/>
        <vertAlign val="superscript"/>
        <sz val="11"/>
        <rFont val="Calibri"/>
        <family val="2"/>
        <scheme val="minor"/>
      </rPr>
      <t>3</t>
    </r>
    <r>
      <rPr>
        <b/>
        <sz val="11"/>
        <rFont val="Calibri"/>
        <family val="2"/>
        <scheme val="minor"/>
      </rPr>
      <t xml:space="preserve">
(lb/hr per component)</t>
    </r>
  </si>
  <si>
    <r>
      <t>LDAR Control Efficiency</t>
    </r>
    <r>
      <rPr>
        <b/>
        <vertAlign val="superscript"/>
        <sz val="11"/>
        <rFont val="Calibri"/>
        <family val="2"/>
        <scheme val="minor"/>
      </rPr>
      <t>4</t>
    </r>
  </si>
  <si>
    <t>Fluid Serviced</t>
  </si>
  <si>
    <t>Amine Gas</t>
  </si>
  <si>
    <t>Boil-Off Gas</t>
  </si>
  <si>
    <t>Hydrocarbon Liquid</t>
  </si>
  <si>
    <t>Liquefied Natural Gas</t>
  </si>
  <si>
    <t>Mixed Refrigerant</t>
  </si>
  <si>
    <t xml:space="preserve">Untreated Natural Gas </t>
  </si>
  <si>
    <t>LDAR</t>
  </si>
  <si>
    <t>Valves</t>
  </si>
  <si>
    <t>Gas/Vapor</t>
  </si>
  <si>
    <t>Light Liquid</t>
  </si>
  <si>
    <t>Heavy Liquid</t>
  </si>
  <si>
    <t>Pump Seals</t>
  </si>
  <si>
    <t>Flanges/Connectors</t>
  </si>
  <si>
    <t>Compressor Seals</t>
  </si>
  <si>
    <t>Relief Valves</t>
  </si>
  <si>
    <t>Swivel Joints</t>
  </si>
  <si>
    <t>FLUID HAP/TAP CONTENT</t>
  </si>
  <si>
    <t>CAS / ID</t>
  </si>
  <si>
    <t>Fluid</t>
  </si>
  <si>
    <r>
      <t>Methane Content (%wt)</t>
    </r>
    <r>
      <rPr>
        <vertAlign val="superscript"/>
        <sz val="11"/>
        <rFont val="Calibri"/>
        <family val="2"/>
        <scheme val="minor"/>
      </rPr>
      <t>1</t>
    </r>
  </si>
  <si>
    <t>74-82-8</t>
  </si>
  <si>
    <r>
      <t>n-Hexane (ppmw)</t>
    </r>
    <r>
      <rPr>
        <vertAlign val="superscript"/>
        <sz val="11"/>
        <rFont val="Calibri"/>
        <family val="2"/>
        <scheme val="minor"/>
      </rPr>
      <t>1</t>
    </r>
  </si>
  <si>
    <t>110-54-3</t>
  </si>
  <si>
    <r>
      <t>Hydrogen sulfide (ppmw)</t>
    </r>
    <r>
      <rPr>
        <vertAlign val="superscript"/>
        <sz val="11"/>
        <rFont val="Calibri"/>
        <family val="2"/>
        <scheme val="minor"/>
      </rPr>
      <t>1</t>
    </r>
  </si>
  <si>
    <r>
      <t>Benzene (ppmw)</t>
    </r>
    <r>
      <rPr>
        <vertAlign val="superscript"/>
        <sz val="11"/>
        <rFont val="Calibri"/>
        <family val="2"/>
        <scheme val="minor"/>
      </rPr>
      <t>b, 2</t>
    </r>
  </si>
  <si>
    <t>71-43-2</t>
  </si>
  <si>
    <r>
      <t>Ethylbenzene (ppmw)</t>
    </r>
    <r>
      <rPr>
        <vertAlign val="superscript"/>
        <sz val="11"/>
        <rFont val="Calibri"/>
        <family val="2"/>
        <scheme val="minor"/>
      </rPr>
      <t>b, 2</t>
    </r>
  </si>
  <si>
    <t>100-41-4</t>
  </si>
  <si>
    <r>
      <t>m,p-Xylene (ppmw)</t>
    </r>
    <r>
      <rPr>
        <vertAlign val="superscript"/>
        <sz val="11"/>
        <rFont val="Calibri"/>
        <family val="2"/>
        <scheme val="minor"/>
      </rPr>
      <t>b, 2</t>
    </r>
  </si>
  <si>
    <t>106-42-3</t>
  </si>
  <si>
    <r>
      <t>o-Xylene (ppmw)</t>
    </r>
    <r>
      <rPr>
        <vertAlign val="superscript"/>
        <sz val="11"/>
        <rFont val="Calibri"/>
        <family val="2"/>
        <scheme val="minor"/>
      </rPr>
      <t>b, 2</t>
    </r>
  </si>
  <si>
    <t>95-47-6</t>
  </si>
  <si>
    <r>
      <t>Toluene (ppmw)</t>
    </r>
    <r>
      <rPr>
        <vertAlign val="superscript"/>
        <sz val="11"/>
        <rFont val="Calibri"/>
        <family val="2"/>
        <scheme val="minor"/>
      </rPr>
      <t>b, 2</t>
    </r>
  </si>
  <si>
    <t xml:space="preserve">108-88-3 </t>
  </si>
  <si>
    <t>POTENTIAL EMISSIONS</t>
  </si>
  <si>
    <r>
      <t>Hourly Emissions</t>
    </r>
    <r>
      <rPr>
        <b/>
        <vertAlign val="superscript"/>
        <sz val="11"/>
        <rFont val="Calibri"/>
        <family val="2"/>
        <scheme val="minor"/>
      </rPr>
      <t>a</t>
    </r>
  </si>
  <si>
    <t>(lb/hr)</t>
  </si>
  <si>
    <r>
      <t>Methane</t>
    </r>
    <r>
      <rPr>
        <vertAlign val="superscript"/>
        <sz val="11"/>
        <rFont val="Calibri"/>
        <family val="2"/>
        <scheme val="minor"/>
      </rPr>
      <t>6</t>
    </r>
  </si>
  <si>
    <t>n-Hexane</t>
  </si>
  <si>
    <t>Hydrogen sulfide</t>
  </si>
  <si>
    <t>Ethylbenzene</t>
  </si>
  <si>
    <t>m,p-Xylene</t>
  </si>
  <si>
    <t>o-Xylene</t>
  </si>
  <si>
    <t>Toluene</t>
  </si>
  <si>
    <t>Total HAPs</t>
  </si>
  <si>
    <t>HAP</t>
  </si>
  <si>
    <r>
      <t>Daily Emissions</t>
    </r>
    <r>
      <rPr>
        <b/>
        <vertAlign val="superscript"/>
        <sz val="11"/>
        <rFont val="Calibri"/>
        <family val="2"/>
        <scheme val="minor"/>
      </rPr>
      <t>a</t>
    </r>
  </si>
  <si>
    <t>(kg / day)</t>
  </si>
  <si>
    <r>
      <t>Annual Emissions</t>
    </r>
    <r>
      <rPr>
        <b/>
        <vertAlign val="superscript"/>
        <sz val="11"/>
        <rFont val="Calibri"/>
        <family val="2"/>
        <scheme val="minor"/>
      </rPr>
      <t>a</t>
    </r>
  </si>
  <si>
    <t>(short ton per year)</t>
  </si>
  <si>
    <t>Calculations:</t>
  </si>
  <si>
    <r>
      <rPr>
        <vertAlign val="superscript"/>
        <sz val="11"/>
        <rFont val="Calibri"/>
        <family val="2"/>
        <scheme val="minor"/>
      </rPr>
      <t>a</t>
    </r>
    <r>
      <rPr>
        <sz val="11"/>
        <rFont val="Calibri"/>
        <family val="2"/>
        <scheme val="minor"/>
      </rPr>
      <t xml:space="preserve">  Hourly Emissions (lb/hr) = [Emission Factor (lb/hr per component)] x [Component Count] x [Pollutant Content (%wt)] x [1 - LDAR Control Efficiency (%)]</t>
    </r>
  </si>
  <si>
    <t xml:space="preserve">       Annual Emissions (tpy) = [Emission Factor (lb/hr per component)] x [Component Count] x [Pollutant Content (%wt)] x [1 - LDAR Control Efficiency (%)] x [Hours of Operation (hrs/yr)] / [2,000 lb/ton]</t>
  </si>
  <si>
    <t>Hours of Operation (hrs/yr) =</t>
  </si>
  <si>
    <r>
      <rPr>
        <vertAlign val="superscript"/>
        <sz val="11"/>
        <rFont val="Calibri"/>
        <family val="2"/>
        <scheme val="minor"/>
      </rPr>
      <t>b</t>
    </r>
    <r>
      <rPr>
        <sz val="11"/>
        <rFont val="Calibri"/>
        <family val="2"/>
        <scheme val="minor"/>
      </rPr>
      <t xml:space="preserve">  Pollutant Concentration (ppmw) = [Pollutant Concentration (</t>
    </r>
    <r>
      <rPr>
        <sz val="11"/>
        <rFont val="Symbol"/>
        <family val="1"/>
        <charset val="2"/>
      </rPr>
      <t>m</t>
    </r>
    <r>
      <rPr>
        <sz val="11"/>
        <rFont val="Calibri"/>
        <family val="2"/>
        <scheme val="minor"/>
      </rPr>
      <t>g/m</t>
    </r>
    <r>
      <rPr>
        <vertAlign val="superscript"/>
        <sz val="11"/>
        <rFont val="Calibri"/>
        <family val="2"/>
        <scheme val="minor"/>
      </rPr>
      <t>3</t>
    </r>
    <r>
      <rPr>
        <sz val="11"/>
        <rFont val="Calibri"/>
        <family val="2"/>
        <scheme val="minor"/>
      </rPr>
      <t>)] / [453.6 g/lb] / [10</t>
    </r>
    <r>
      <rPr>
        <vertAlign val="superscript"/>
        <sz val="11"/>
        <rFont val="Calibri"/>
        <family val="2"/>
        <scheme val="minor"/>
      </rPr>
      <t>6</t>
    </r>
    <r>
      <rPr>
        <sz val="11"/>
        <rFont val="Calibri"/>
        <family val="2"/>
        <scheme val="minor"/>
      </rPr>
      <t xml:space="preserve"> </t>
    </r>
    <r>
      <rPr>
        <sz val="11"/>
        <rFont val="Symbol"/>
        <family val="1"/>
        <charset val="2"/>
      </rPr>
      <t>m</t>
    </r>
    <r>
      <rPr>
        <sz val="11"/>
        <rFont val="Calibri"/>
        <family val="2"/>
        <scheme val="minor"/>
      </rPr>
      <t>g/g] / [35.31 ft</t>
    </r>
    <r>
      <rPr>
        <vertAlign val="superscript"/>
        <sz val="11"/>
        <rFont val="Calibri"/>
        <family val="2"/>
        <scheme val="minor"/>
      </rPr>
      <t>3</t>
    </r>
    <r>
      <rPr>
        <sz val="11"/>
        <rFont val="Calibri"/>
        <family val="2"/>
        <scheme val="minor"/>
      </rPr>
      <t>/m</t>
    </r>
    <r>
      <rPr>
        <vertAlign val="superscript"/>
        <sz val="11"/>
        <rFont val="Calibri"/>
        <family val="2"/>
        <scheme val="minor"/>
      </rPr>
      <t>3</t>
    </r>
    <r>
      <rPr>
        <sz val="11"/>
        <rFont val="Calibri"/>
        <family val="2"/>
        <scheme val="minor"/>
      </rPr>
      <t>] / [Gas Density (lb/cf)] x 10</t>
    </r>
    <r>
      <rPr>
        <vertAlign val="superscript"/>
        <sz val="11"/>
        <rFont val="Calibri"/>
        <family val="2"/>
        <scheme val="minor"/>
      </rPr>
      <t>6</t>
    </r>
  </si>
  <si>
    <r>
      <t>Benzene Concentration (</t>
    </r>
    <r>
      <rPr>
        <sz val="11"/>
        <rFont val="Symbol"/>
        <family val="1"/>
        <charset val="2"/>
      </rPr>
      <t>m</t>
    </r>
    <r>
      <rPr>
        <sz val="11"/>
        <rFont val="Calibri"/>
        <family val="2"/>
        <scheme val="minor"/>
      </rPr>
      <t>g/m</t>
    </r>
    <r>
      <rPr>
        <vertAlign val="superscript"/>
        <sz val="11"/>
        <rFont val="Calibri"/>
        <family val="2"/>
        <scheme val="minor"/>
      </rPr>
      <t>3</t>
    </r>
    <r>
      <rPr>
        <sz val="11"/>
        <rFont val="Calibri"/>
        <family val="2"/>
        <scheme val="minor"/>
      </rPr>
      <t>) =</t>
    </r>
  </si>
  <si>
    <t>5</t>
  </si>
  <si>
    <r>
      <t>Ethylbenzene Concentration (</t>
    </r>
    <r>
      <rPr>
        <sz val="11"/>
        <rFont val="Symbol"/>
        <family val="1"/>
        <charset val="2"/>
      </rPr>
      <t>m</t>
    </r>
    <r>
      <rPr>
        <sz val="11"/>
        <rFont val="Calibri"/>
        <family val="2"/>
        <scheme val="minor"/>
      </rPr>
      <t>g/m</t>
    </r>
    <r>
      <rPr>
        <vertAlign val="superscript"/>
        <sz val="11"/>
        <rFont val="Calibri"/>
        <family val="2"/>
        <scheme val="minor"/>
      </rPr>
      <t>3</t>
    </r>
    <r>
      <rPr>
        <sz val="11"/>
        <rFont val="Calibri"/>
        <family val="2"/>
        <scheme val="minor"/>
      </rPr>
      <t>) =</t>
    </r>
  </si>
  <si>
    <r>
      <t>m,p-Xylene Concentration (</t>
    </r>
    <r>
      <rPr>
        <sz val="11"/>
        <rFont val="Symbol"/>
        <family val="1"/>
        <charset val="2"/>
      </rPr>
      <t>m</t>
    </r>
    <r>
      <rPr>
        <sz val="11"/>
        <rFont val="Calibri"/>
        <family val="2"/>
        <scheme val="minor"/>
      </rPr>
      <t>g/m</t>
    </r>
    <r>
      <rPr>
        <vertAlign val="superscript"/>
        <sz val="11"/>
        <rFont val="Calibri"/>
        <family val="2"/>
        <scheme val="minor"/>
      </rPr>
      <t>3</t>
    </r>
    <r>
      <rPr>
        <sz val="11"/>
        <rFont val="Calibri"/>
        <family val="2"/>
        <scheme val="minor"/>
      </rPr>
      <t>) =</t>
    </r>
  </si>
  <si>
    <r>
      <t>o-Xylene Concentration (</t>
    </r>
    <r>
      <rPr>
        <sz val="11"/>
        <rFont val="Symbol"/>
        <family val="1"/>
        <charset val="2"/>
      </rPr>
      <t>m</t>
    </r>
    <r>
      <rPr>
        <sz val="11"/>
        <rFont val="Calibri"/>
        <family val="2"/>
        <scheme val="minor"/>
      </rPr>
      <t>g/m</t>
    </r>
    <r>
      <rPr>
        <vertAlign val="superscript"/>
        <sz val="11"/>
        <rFont val="Calibri"/>
        <family val="2"/>
        <scheme val="minor"/>
      </rPr>
      <t>3</t>
    </r>
    <r>
      <rPr>
        <sz val="11"/>
        <rFont val="Calibri"/>
        <family val="2"/>
        <scheme val="minor"/>
      </rPr>
      <t>) =</t>
    </r>
  </si>
  <si>
    <r>
      <t>Toluene Concentration (</t>
    </r>
    <r>
      <rPr>
        <sz val="11"/>
        <rFont val="Symbol"/>
        <family val="1"/>
        <charset val="2"/>
      </rPr>
      <t>m</t>
    </r>
    <r>
      <rPr>
        <sz val="11"/>
        <rFont val="Calibri"/>
        <family val="2"/>
        <scheme val="minor"/>
      </rPr>
      <t>g/m</t>
    </r>
    <r>
      <rPr>
        <vertAlign val="superscript"/>
        <sz val="11"/>
        <rFont val="Calibri"/>
        <family val="2"/>
        <scheme val="minor"/>
      </rPr>
      <t>3</t>
    </r>
    <r>
      <rPr>
        <sz val="11"/>
        <rFont val="Calibri"/>
        <family val="2"/>
        <scheme val="minor"/>
      </rPr>
      <t>) =</t>
    </r>
  </si>
  <si>
    <t>Natural Gas Density (lb/scf) =</t>
  </si>
  <si>
    <r>
      <rPr>
        <vertAlign val="superscript"/>
        <sz val="11"/>
        <rFont val="Calibri"/>
        <family val="2"/>
        <scheme val="minor"/>
      </rPr>
      <t>1</t>
    </r>
    <r>
      <rPr>
        <sz val="11"/>
        <rFont val="Calibri"/>
        <family val="2"/>
        <scheme val="minor"/>
      </rPr>
      <t xml:space="preserve"> Provided by CB&amp;I.</t>
    </r>
  </si>
  <si>
    <r>
      <rPr>
        <vertAlign val="superscript"/>
        <sz val="11"/>
        <rFont val="Calibri"/>
        <family val="2"/>
        <scheme val="minor"/>
      </rPr>
      <t>2</t>
    </r>
    <r>
      <rPr>
        <sz val="11"/>
        <rFont val="Calibri"/>
        <family val="2"/>
        <scheme val="minor"/>
      </rPr>
      <t xml:space="preserve"> From "Natural Gas Analysis"; Environmental Partners, Inc.; February 3, 2014. Most HAPs will go through with the heavy hydrocarbons, but the fraction is unknown. Therefore, we assume each fluid has the full concentration of HAP to provide a conservative emissions estimate.</t>
    </r>
  </si>
  <si>
    <r>
      <rPr>
        <vertAlign val="superscript"/>
        <sz val="11"/>
        <rFont val="Calibri"/>
        <family val="2"/>
        <scheme val="minor"/>
      </rPr>
      <t>3</t>
    </r>
    <r>
      <rPr>
        <sz val="11"/>
        <rFont val="Calibri"/>
        <family val="2"/>
        <scheme val="minor"/>
      </rPr>
      <t xml:space="preserve"> Terminal/Depot factors from South Coast Air Quality Management District's "Guidelines for Fugitive Emissions Calculations" (June 2003). In this guidance, the District updated emissions factors that were identified in the EPA's "Protocol for Equipment Leak Emission Estimates (November 1995).</t>
    </r>
  </si>
  <si>
    <r>
      <rPr>
        <vertAlign val="superscript"/>
        <sz val="11"/>
        <rFont val="Calibri"/>
        <family val="2"/>
        <scheme val="minor"/>
      </rPr>
      <t>4</t>
    </r>
    <r>
      <rPr>
        <sz val="11"/>
        <rFont val="Calibri"/>
        <family val="2"/>
        <scheme val="minor"/>
      </rPr>
      <t xml:space="preserve"> Control effectiveness from Texas Commission for Environmental Quality (TCEQ) "Control Efficiencies for TCEQ Leak Detection and Repair Programs" (July 2011) for its 28M fugitive leak detection program. </t>
    </r>
  </si>
  <si>
    <r>
      <rPr>
        <vertAlign val="superscript"/>
        <sz val="11"/>
        <rFont val="Calibri"/>
        <family val="2"/>
        <scheme val="minor"/>
      </rPr>
      <t>5</t>
    </r>
    <r>
      <rPr>
        <sz val="11"/>
        <rFont val="Calibri"/>
        <family val="2"/>
        <scheme val="minor"/>
      </rPr>
      <t xml:space="preserve"> See fuel characteristics in Table B-2.</t>
    </r>
  </si>
  <si>
    <r>
      <rPr>
        <vertAlign val="superscript"/>
        <sz val="11"/>
        <rFont val="Calibri"/>
        <family val="2"/>
        <scheme val="minor"/>
      </rPr>
      <t>6</t>
    </r>
    <r>
      <rPr>
        <sz val="11"/>
        <rFont val="Calibri"/>
        <family val="2"/>
        <scheme val="minor"/>
      </rPr>
      <t xml:space="preserve"> Assume all VOC is CH</t>
    </r>
    <r>
      <rPr>
        <vertAlign val="subscript"/>
        <sz val="11"/>
        <rFont val="Calibri"/>
        <family val="2"/>
        <scheme val="minor"/>
      </rPr>
      <t>4</t>
    </r>
    <r>
      <rPr>
        <sz val="11"/>
        <rFont val="Calibri"/>
        <family val="2"/>
        <scheme val="minor"/>
      </rPr>
      <t>.</t>
    </r>
  </si>
  <si>
    <t>metric tonne&amp;year</t>
  </si>
  <si>
    <t>shorttonpertonne</t>
  </si>
  <si>
    <t>ton/metric tonne</t>
  </si>
  <si>
    <t>Note: Commute round-trip distance was assumed</t>
  </si>
  <si>
    <t>Dec-4. Year</t>
  </si>
  <si>
    <t>Nov-4. Year</t>
  </si>
  <si>
    <t>Winter 4. Year</t>
  </si>
  <si>
    <t>Oct-4. Year</t>
  </si>
  <si>
    <t>Sep-4. Year</t>
  </si>
  <si>
    <t>Aug-4. Year</t>
  </si>
  <si>
    <t>Jul-4. Year</t>
  </si>
  <si>
    <t>Jun-4. Year</t>
  </si>
  <si>
    <t>May-4. Year</t>
  </si>
  <si>
    <t>Summer 4. Year</t>
  </si>
  <si>
    <t>Apr-4. Year</t>
  </si>
  <si>
    <t>Mar-4. Year</t>
  </si>
  <si>
    <t>Feb-4. Year</t>
  </si>
  <si>
    <t>Jan-4. Year</t>
  </si>
  <si>
    <t>Dec-3. Year</t>
  </si>
  <si>
    <t>Nov-3. Year</t>
  </si>
  <si>
    <t>Winter 3. Year</t>
  </si>
  <si>
    <t>Oct-3. Year</t>
  </si>
  <si>
    <t>Sep-3. Year</t>
  </si>
  <si>
    <t>Aug-3. Year</t>
  </si>
  <si>
    <t>Jul-3. Year</t>
  </si>
  <si>
    <t>Jun-3. Year</t>
  </si>
  <si>
    <t>May-3. Year</t>
  </si>
  <si>
    <t>Summer 3. Year</t>
  </si>
  <si>
    <t>Apr-3. Year</t>
  </si>
  <si>
    <t>Mar-3. Year</t>
  </si>
  <si>
    <t>Feb-3. Year</t>
  </si>
  <si>
    <t>Jan-3. Year</t>
  </si>
  <si>
    <t>Dec-2. Year</t>
  </si>
  <si>
    <t>Nov-2. Year</t>
  </si>
  <si>
    <t>Winter 2. Year</t>
  </si>
  <si>
    <t>Oct-2. Year</t>
  </si>
  <si>
    <t>Sep-2. Year</t>
  </si>
  <si>
    <t>Aug-2. Year</t>
  </si>
  <si>
    <t>Jul-2. Year</t>
  </si>
  <si>
    <t>Jun-2. Year</t>
  </si>
  <si>
    <t>May-2. Year</t>
  </si>
  <si>
    <t>Summer 2. Year</t>
  </si>
  <si>
    <t>Apr-2. Year</t>
  </si>
  <si>
    <t>Mar-2. Year</t>
  </si>
  <si>
    <t>Feb-2. Year</t>
  </si>
  <si>
    <t>Jan-2. Year</t>
  </si>
  <si>
    <t>Dec-1. Year</t>
  </si>
  <si>
    <t>Nov-1. Year</t>
  </si>
  <si>
    <t>Winter 1. Year</t>
  </si>
  <si>
    <t>Oct-1. Year</t>
  </si>
  <si>
    <t>Sep-1. Year</t>
  </si>
  <si>
    <t>Aug-1. Year</t>
  </si>
  <si>
    <t>Jul-1. Year</t>
  </si>
  <si>
    <t>Jun-1. Year</t>
  </si>
  <si>
    <t>May-1. Year</t>
  </si>
  <si>
    <t>Summer 1. Year</t>
  </si>
  <si>
    <t>Apr-1. Year</t>
  </si>
  <si>
    <t>Mar-1. Year</t>
  </si>
  <si>
    <t>Feb-1. Year</t>
  </si>
  <si>
    <t>Jan-1. Year</t>
  </si>
  <si>
    <t># of Cars/day</t>
  </si>
  <si>
    <t>Season</t>
  </si>
  <si>
    <t>Month/Year</t>
  </si>
  <si>
    <t>Assume 48 hours per week; 4.28 weeks per month</t>
  </si>
  <si>
    <t>Construction Worker vehicles assumed to be ID 21 - Passenger Car. Heavy-Duty Delivery trucks assumed to be 61 - Combination Short-haul truck.</t>
  </si>
  <si>
    <t>EFs from EPA MOVES model.</t>
  </si>
  <si>
    <t>Annual Total</t>
  </si>
  <si>
    <t>Heavy Duty Delivery Trucks</t>
  </si>
  <si>
    <t>Seattle-Tacoma</t>
  </si>
  <si>
    <r>
      <rPr>
        <sz val="10"/>
        <rFont val="Arial"/>
        <family val="2"/>
      </rPr>
      <t>Construction
Workers</t>
    </r>
  </si>
  <si>
    <t>VMT</t>
  </si>
  <si>
    <t xml:space="preserve"> Area From Which Workers Commute</t>
  </si>
  <si>
    <t xml:space="preserve">Vehicle Class </t>
  </si>
  <si>
    <t>Construction Vehicle Emissions - Summer 4. Year</t>
  </si>
  <si>
    <t>Construction Vehicle Emissions - Winter 4. Year</t>
  </si>
  <si>
    <t>Construction Vehicle Emissions - Summer 3. Year</t>
  </si>
  <si>
    <t>Construction Vehicle Emissions - Winter 3. Year</t>
  </si>
  <si>
    <t>Construction Vehicle Emissions - Summer 2. Year</t>
  </si>
  <si>
    <t>Construction Vehicle Emissions - Winter 2. Year</t>
  </si>
  <si>
    <t>Construction Vehicle Emissions - Summer 1. Year</t>
  </si>
  <si>
    <t>Construction Vehicle Emissions - Winter 1. Year</t>
  </si>
  <si>
    <t>PSE LNG</t>
  </si>
  <si>
    <t>Road Vehicle Terminal Construction Criteria Pollutant Emissions</t>
  </si>
  <si>
    <t>- Tugboat, Workboat, and Personnel Boat Emissions factors from U.S. Environmental Protection Agency Current Methodologies in Preparing Mobile Source Port-Related Emission Inventories Final Report April 2009, Table 3-8: Harbor Craft Emission Factors (g/kWh)</t>
  </si>
  <si>
    <t>- Emission factors for CH4 and N2O are from the Climate Registry 2014 Default Emission Factors, Table 13.7.</t>
  </si>
  <si>
    <t>- Assume 48 hours per week; 4.28 weeks per month  205  hrs/month</t>
  </si>
  <si>
    <t>Manlifts</t>
  </si>
  <si>
    <t>Loader, Cat 966, 4 cy</t>
  </si>
  <si>
    <t>Fuel Truck</t>
  </si>
  <si>
    <t>Forklift, 8,000 lbs</t>
  </si>
  <si>
    <t>Flatbed Truck (Matl. Handling)</t>
  </si>
  <si>
    <t>Crew Truck, 3/4 ton</t>
  </si>
  <si>
    <t>Crane, 60 ton</t>
  </si>
  <si>
    <t>Concrete Pump</t>
  </si>
  <si>
    <t>Cat D6 Dozer</t>
  </si>
  <si>
    <t>Cat Compactor</t>
  </si>
  <si>
    <t>Air Compressor</t>
  </si>
  <si>
    <t>30 Ton Hydrocrane</t>
  </si>
  <si>
    <t>22 Ton Hydrocrane</t>
  </si>
  <si>
    <t>200 Ton Crawler Crane</t>
  </si>
  <si>
    <t>100 Ton Crawler Crane</t>
  </si>
  <si>
    <t>LNG Facility Construction (no Storage Tank Construction)</t>
  </si>
  <si>
    <t>N2O
(tonne/ year)</t>
  </si>
  <si>
    <t>CH4
(tonne/ year)</t>
  </si>
  <si>
    <t>Fuel Use Rate (gal/hr)</t>
  </si>
  <si>
    <t>Load Factor</t>
  </si>
  <si>
    <t>Utilization</t>
  </si>
  <si>
    <t>Horsepower</t>
  </si>
  <si>
    <r>
      <rPr>
        <sz val="9"/>
        <rFont val="Arial"/>
        <family val="2"/>
      </rPr>
      <t>Equipment
Use Duration (months)</t>
    </r>
  </si>
  <si>
    <t>No.</t>
  </si>
  <si>
    <t>Equipment List</t>
  </si>
  <si>
    <t>Construction Emission during 4. Year</t>
  </si>
  <si>
    <t>Construction Emission during 3. Year</t>
  </si>
  <si>
    <t>Dump Trucks 15 cy</t>
  </si>
  <si>
    <t>Cat 345 Backhoe 4 cy</t>
  </si>
  <si>
    <t>LNG Facility Construction (including Storage Tank)</t>
  </si>
  <si>
    <t>Tug/Work Barge w/crane</t>
  </si>
  <si>
    <t>Personnel Work Boat</t>
  </si>
  <si>
    <t>Diesel Pile Driver Hammer</t>
  </si>
  <si>
    <t>In-water Construction</t>
  </si>
  <si>
    <t>Upland Construction (demo, soil, utilities)</t>
  </si>
  <si>
    <r>
      <rPr>
        <sz val="9"/>
        <rFont val="Arial"/>
        <family val="2"/>
      </rPr>
      <t>CH</t>
    </r>
    <r>
      <rPr>
        <vertAlign val="subscript"/>
        <sz val="9"/>
        <rFont val="Arial"/>
        <family val="2"/>
      </rPr>
      <t xml:space="preserve">4
</t>
    </r>
    <r>
      <rPr>
        <sz val="9"/>
        <rFont val="Arial"/>
        <family val="2"/>
      </rPr>
      <t>Emission
Factor (g/gal)</t>
    </r>
  </si>
  <si>
    <r>
      <rPr>
        <sz val="9"/>
        <rFont val="Arial"/>
        <family val="2"/>
      </rPr>
      <t>CO</t>
    </r>
    <r>
      <rPr>
        <vertAlign val="subscript"/>
        <sz val="9"/>
        <rFont val="Arial"/>
        <family val="2"/>
      </rPr>
      <t xml:space="preserve">2
</t>
    </r>
    <r>
      <rPr>
        <sz val="9"/>
        <rFont val="Arial"/>
        <family val="2"/>
      </rPr>
      <t>Emission
Factor (g/hp-hr)</t>
    </r>
  </si>
  <si>
    <r>
      <rPr>
        <sz val="9"/>
        <rFont val="Arial"/>
        <family val="2"/>
      </rPr>
      <t>Equipment Use Duration
(months)</t>
    </r>
  </si>
  <si>
    <t>Construction Emission during 2. Year</t>
  </si>
  <si>
    <r>
      <rPr>
        <sz val="9"/>
        <rFont val="Arial"/>
        <family val="2"/>
      </rPr>
      <t>N</t>
    </r>
    <r>
      <rPr>
        <vertAlign val="subscript"/>
        <sz val="9"/>
        <rFont val="Arial"/>
        <family val="2"/>
      </rPr>
      <t>2</t>
    </r>
    <r>
      <rPr>
        <sz val="9"/>
        <rFont val="Arial"/>
        <family val="2"/>
      </rPr>
      <t>O
Emission
Factor (g/gal)</t>
    </r>
  </si>
  <si>
    <t>Construction Emission during 1. Year</t>
  </si>
  <si>
    <t>Project TOTAL:</t>
  </si>
  <si>
    <t>4. Year - Total Emissions</t>
  </si>
  <si>
    <t>4. Year - Fugitive Dust</t>
  </si>
  <si>
    <t>4. Year - Road Vehicles/Commuting</t>
  </si>
  <si>
    <t>4. Year - Construction Equipment</t>
  </si>
  <si>
    <t>3. Year - Total Emissions</t>
  </si>
  <si>
    <t>3. Year - Fugitive Dust</t>
  </si>
  <si>
    <t>3. Year - Road Vehicles/Commuting</t>
  </si>
  <si>
    <t>3. Year - Construction Equipment</t>
  </si>
  <si>
    <t>2. Year - Total Emissions</t>
  </si>
  <si>
    <t>2. Year - Fugitive Dust</t>
  </si>
  <si>
    <t>2. Year - Road Vehicles/Commuting</t>
  </si>
  <si>
    <t>2. Year - Construction Equipment</t>
  </si>
  <si>
    <t>1. Year - Total Emissions</t>
  </si>
  <si>
    <t>1. Year - Fugitive Dust</t>
  </si>
  <si>
    <t>1. Year - Road Vehicles/Commuting</t>
  </si>
  <si>
    <t>1. Year - Construction Equipment</t>
  </si>
  <si>
    <r>
      <t>CH</t>
    </r>
    <r>
      <rPr>
        <vertAlign val="subscript"/>
        <sz val="9.5"/>
        <rFont val="Arial"/>
        <family val="2"/>
      </rPr>
      <t xml:space="preserve">4
</t>
    </r>
    <r>
      <rPr>
        <sz val="9.5"/>
        <rFont val="Arial"/>
        <family val="2"/>
      </rPr>
      <t>(tonne/ year)</t>
    </r>
  </si>
  <si>
    <r>
      <t>CO</t>
    </r>
    <r>
      <rPr>
        <vertAlign val="subscript"/>
        <sz val="9.5"/>
        <rFont val="Arial"/>
        <family val="2"/>
      </rPr>
      <t xml:space="preserve">2
</t>
    </r>
    <r>
      <rPr>
        <sz val="9.5"/>
        <rFont val="Arial"/>
        <family val="2"/>
      </rPr>
      <t>(tonne/ year)</t>
    </r>
  </si>
  <si>
    <t>Summary of Terminal Construction Emissions - GHG   PSE LNG</t>
  </si>
  <si>
    <t>Truck VMT/ month</t>
  </si>
  <si>
    <t># of Trucks/ month</t>
  </si>
  <si>
    <t>Total On-Site VMT/ month (Car and Truck)</t>
  </si>
  <si>
    <t># of cars/ month</t>
  </si>
  <si>
    <t>Car   VMT/ month</t>
  </si>
  <si>
    <t># of work days/ month</t>
  </si>
  <si>
    <t>Winter</t>
  </si>
  <si>
    <t>Summer</t>
  </si>
  <si>
    <t>1.Year</t>
  </si>
  <si>
    <t>2.Year</t>
  </si>
  <si>
    <t>3.Year</t>
  </si>
  <si>
    <t>4.Year</t>
  </si>
  <si>
    <t>Operation hours per month</t>
  </si>
  <si>
    <t>CO
Emission Factor (g/hp-hr)</t>
  </si>
  <si>
    <t>VOC
Emission Factor (g/hp-hr)</t>
  </si>
  <si>
    <r>
      <t>CO</t>
    </r>
    <r>
      <rPr>
        <vertAlign val="subscript"/>
        <sz val="9"/>
        <rFont val="Arial"/>
        <family val="2"/>
      </rPr>
      <t>2</t>
    </r>
    <r>
      <rPr>
        <sz val="9"/>
        <rFont val="Arial"/>
        <family val="2"/>
      </rPr>
      <t>c</t>
    </r>
    <r>
      <rPr>
        <vertAlign val="subscript"/>
        <sz val="9"/>
        <rFont val="Arial"/>
        <family val="2"/>
      </rPr>
      <t xml:space="preserve">
</t>
    </r>
    <r>
      <rPr>
        <sz val="9"/>
        <rFont val="Arial"/>
        <family val="2"/>
      </rPr>
      <t>Emission
Factor (g/hp-hr)</t>
    </r>
  </si>
  <si>
    <t>CO2c
Emission
Factor (g/hp-hr)</t>
  </si>
  <si>
    <t>CO2
Emission
Factor (g/hp-hr)</t>
  </si>
  <si>
    <t>CO2c
(tonne/ year)</t>
  </si>
  <si>
    <t>- Emission factors for CO, VOC, and CO2 are average NONROAD emission rates for the State of Washington.</t>
  </si>
  <si>
    <t>Upstream CO2
(tonne/ year)</t>
  </si>
  <si>
    <t>Upstream CH4
(tonne/ year)</t>
  </si>
  <si>
    <t>Upstream N2O
(tonne/ year)</t>
  </si>
  <si>
    <t>Upstream Emission Diesel production</t>
  </si>
  <si>
    <t>Fuel consumption  (mmBtu/year)</t>
  </si>
  <si>
    <r>
      <t>N</t>
    </r>
    <r>
      <rPr>
        <vertAlign val="subscript"/>
        <sz val="9"/>
        <rFont val="Arial"/>
        <family val="2"/>
      </rPr>
      <t>2</t>
    </r>
    <r>
      <rPr>
        <sz val="9"/>
        <rFont val="Arial"/>
        <family val="2"/>
      </rPr>
      <t>O
Emission
Factor (g/gal)</t>
    </r>
  </si>
  <si>
    <r>
      <t>N</t>
    </r>
    <r>
      <rPr>
        <vertAlign val="subscript"/>
        <sz val="9"/>
        <rFont val="Arial"/>
        <family val="2"/>
      </rPr>
      <t>2</t>
    </r>
    <r>
      <rPr>
        <sz val="9"/>
        <rFont val="Arial"/>
        <family val="2"/>
      </rPr>
      <t>O
Emission Factor
(g/gal)</t>
    </r>
  </si>
  <si>
    <r>
      <t>CH</t>
    </r>
    <r>
      <rPr>
        <vertAlign val="subscript"/>
        <sz val="9"/>
        <rFont val="Arial"/>
        <family val="2"/>
      </rPr>
      <t xml:space="preserve">4
</t>
    </r>
    <r>
      <rPr>
        <sz val="9"/>
        <rFont val="Arial"/>
        <family val="2"/>
      </rPr>
      <t>Emission
Factor (g/gal)</t>
    </r>
  </si>
  <si>
    <r>
      <t>CH</t>
    </r>
    <r>
      <rPr>
        <vertAlign val="subscript"/>
        <sz val="9"/>
        <rFont val="Arial"/>
        <family val="2"/>
      </rPr>
      <t xml:space="preserve">4
</t>
    </r>
    <r>
      <rPr>
        <sz val="9"/>
        <rFont val="Arial"/>
        <family val="2"/>
      </rPr>
      <t>Emission Factor
(g/gal)</t>
    </r>
  </si>
  <si>
    <t>CO2e use
(tonne/ year)</t>
  </si>
  <si>
    <t>Total CO2e
(tonne/ year)</t>
  </si>
  <si>
    <t>Upstream CO2e
(tonne/ year)</t>
  </si>
  <si>
    <t>kW/hr</t>
  </si>
  <si>
    <t>kwperhp</t>
  </si>
  <si>
    <t>Cars VMT round trip</t>
  </si>
  <si>
    <t>mi/day</t>
  </si>
  <si>
    <t>Truck VMT round trip</t>
  </si>
  <si>
    <t>U.S.Gasoline Fuel</t>
  </si>
  <si>
    <t>CO
(g/VMT)</t>
  </si>
  <si>
    <t>VOCs (g/VMT)</t>
  </si>
  <si>
    <t>Fuel consumption (mmBtu/ year)</t>
  </si>
  <si>
    <t>Equipment (Direct)</t>
  </si>
  <si>
    <t>Equipment (Direct + Upstream)</t>
  </si>
  <si>
    <t>Equipment (Upstream)</t>
  </si>
  <si>
    <t>Direct (Equipment)</t>
  </si>
  <si>
    <t>LNG Liquefaction</t>
  </si>
  <si>
    <t>Factor LNG:  tonne/year devided by lb/day</t>
  </si>
  <si>
    <t>Dual Fuel Boiler</t>
  </si>
  <si>
    <t>Emissions Factors and Activity Assumptions</t>
  </si>
  <si>
    <t>Engine</t>
  </si>
  <si>
    <t>Model Year</t>
  </si>
  <si>
    <t>Key</t>
  </si>
  <si>
    <t xml:space="preserve"> NOx</t>
  </si>
  <si>
    <t xml:space="preserve"> CO</t>
  </si>
  <si>
    <t xml:space="preserve"> SO2</t>
  </si>
  <si>
    <t xml:space="preserve"> PM10</t>
  </si>
  <si>
    <t xml:space="preserve"> PM2.5</t>
  </si>
  <si>
    <t xml:space="preserve"> DPM</t>
  </si>
  <si>
    <t>Engine Model Year</t>
  </si>
  <si>
    <t xml:space="preserve"> CO2</t>
  </si>
  <si>
    <t xml:space="preserve"> N2O</t>
  </si>
  <si>
    <t xml:space="preserve"> CH4</t>
  </si>
  <si>
    <t>Slow speed diesel</t>
  </si>
  <si>
    <t xml:space="preserve"> &lt; 1999</t>
  </si>
  <si>
    <t>Medium speed diesel</t>
  </si>
  <si>
    <t xml:space="preserve"> 2000 - 2010</t>
  </si>
  <si>
    <t xml:space="preserve"> 2011 - 2015</t>
  </si>
  <si>
    <t>Lean Burn SI LNG</t>
  </si>
  <si>
    <t>All</t>
  </si>
  <si>
    <t>Gas turbine</t>
  </si>
  <si>
    <t>Low Pressure DF LNG</t>
  </si>
  <si>
    <t>Steamship</t>
  </si>
  <si>
    <t xml:space="preserve"> All</t>
  </si>
  <si>
    <t>Medium speed means RPM&gt;130</t>
  </si>
  <si>
    <t>N2O emissions factors for LNG engines assumed to be equal to medium speed diesel</t>
  </si>
  <si>
    <t>VOC emissions for LNG engines are estimated as NMVOC, based on a typical ratio of 3.8% NMVOC/CH4 emissions, as described in "Methane Emissions from Natural Gas Bunkering Operations in the Marine Sector", MARAD, 2015</t>
  </si>
  <si>
    <t>https://www.nho.no/siteassets/nhos-filer-og-bilder/filer-og-dokumenter/nox-fondet/dette-er-nox-fondet/presentasjoner-og-rapporter/methane-slip-from-gas-engines-mainreport-1492296.pdf</t>
  </si>
  <si>
    <t>https://www.marad.dot.gov/wp-content/uploads/pdf/Methane-emissions-from-LNG-bunkering-20151124-final.pdf</t>
  </si>
  <si>
    <t>Table 3.17: Composite Maneuvering Load Factors</t>
  </si>
  <si>
    <t>Load</t>
  </si>
  <si>
    <t>HC</t>
  </si>
  <si>
    <t>PM</t>
  </si>
  <si>
    <t>Vessel Type</t>
  </si>
  <si>
    <t xml:space="preserve"> Load In</t>
  </si>
  <si>
    <t xml:space="preserve"> Load Out</t>
  </si>
  <si>
    <t>Auto Carrier</t>
  </si>
  <si>
    <t>Bulk</t>
  </si>
  <si>
    <t>Containership</t>
  </si>
  <si>
    <t>Cruise</t>
  </si>
  <si>
    <t>General Cargo</t>
  </si>
  <si>
    <t>ITB</t>
  </si>
  <si>
    <t>Reefer</t>
  </si>
  <si>
    <t>RoRo</t>
  </si>
  <si>
    <t>Tanker</t>
  </si>
  <si>
    <t xml:space="preserve"> VOC</t>
  </si>
  <si>
    <t xml:space="preserve"> ≤ 1999</t>
  </si>
  <si>
    <t>LNG emissions factors for aux engines assumed to be equivalent to main engine emissions factors as both the main and aux engines are medium speed</t>
  </si>
  <si>
    <t>Fuel Oil Aux Boiler</t>
  </si>
  <si>
    <t>LNG Aux Boiler</t>
  </si>
  <si>
    <t>Source: 2013 POLB Emissions Inventory</t>
  </si>
  <si>
    <t>CO2 emissions for LNG based on ratios of carbon-per-BTU for bunker fuel and natural gas, as given in ANL GREET's fuel properties worksheet</t>
  </si>
  <si>
    <t>N2O emissions for LNG assumed to be equal to fuel oil.  CH4 emissions for LNG scaled based on fuel oil emissions and ratios of CH4 emissions from medium speed FO and LNG engines.</t>
  </si>
  <si>
    <t xml:space="preserve"> Sea</t>
  </si>
  <si>
    <t xml:space="preserve"> Maneuvering</t>
  </si>
  <si>
    <t xml:space="preserve"> Hotelling</t>
  </si>
  <si>
    <t>Bulk - Self Discharging</t>
  </si>
  <si>
    <t>Bulk - Heavy Load</t>
  </si>
  <si>
    <t>Bulk - Wood Chips</t>
  </si>
  <si>
    <t>Container - 1000</t>
  </si>
  <si>
    <t>Container - 2000</t>
  </si>
  <si>
    <t>Container - 3000</t>
  </si>
  <si>
    <t>Container - 4000</t>
  </si>
  <si>
    <t>Container - 5000</t>
  </si>
  <si>
    <t>Container - 6000</t>
  </si>
  <si>
    <t>Container - 7000</t>
  </si>
  <si>
    <t>Container - 8000</t>
  </si>
  <si>
    <t>Container - 9000</t>
  </si>
  <si>
    <t>Container - 10000</t>
  </si>
  <si>
    <t xml:space="preserve"> na</t>
  </si>
  <si>
    <t>Tanker - Aframax</t>
  </si>
  <si>
    <t>Tanker - Chemical</t>
  </si>
  <si>
    <t>Tanker - Handysize</t>
  </si>
  <si>
    <t>Tanker - Panamax</t>
  </si>
  <si>
    <t>Tanker - Suezmax</t>
  </si>
  <si>
    <t>Table 3.22: Fuel Correction Factors</t>
  </si>
  <si>
    <t>Fuel Used</t>
  </si>
  <si>
    <t>HFO (2.7% S)</t>
  </si>
  <si>
    <t>HFO (1.5% S)</t>
  </si>
  <si>
    <t>MGO (0.5% S)</t>
  </si>
  <si>
    <t>MDO (1.5% S)</t>
  </si>
  <si>
    <t>MGO (0.1% S)</t>
  </si>
  <si>
    <t>MGO (0.3% S)</t>
  </si>
  <si>
    <t>MGO (0.4% S)</t>
  </si>
  <si>
    <t>ULSD</t>
  </si>
  <si>
    <t>LNG fuel correction factors set to 1 as direct emissions factors already account for LNG engines meeting Tier 3 standards</t>
  </si>
  <si>
    <t>ULSD factors based on scaling from 0.5%S to 0.1%S MGO and further scaling 0.1%S MGO to 0.0015%S</t>
  </si>
  <si>
    <t>Fuel Consumption Factors</t>
  </si>
  <si>
    <t>SFOC</t>
  </si>
  <si>
    <t>Main Engine</t>
  </si>
  <si>
    <t>Aux Engine</t>
  </si>
  <si>
    <t>Ship Emissions and Fuel Consumption Estimates</t>
  </si>
  <si>
    <t>Route Definition</t>
  </si>
  <si>
    <t>Time within 200 nm</t>
  </si>
  <si>
    <t>Ship Type</t>
  </si>
  <si>
    <t>Origin</t>
  </si>
  <si>
    <t>Destination</t>
  </si>
  <si>
    <t>Distance at Sea
(nm)</t>
  </si>
  <si>
    <t>Transit Speed
(knots)</t>
  </si>
  <si>
    <t>Transit Time
(hours)</t>
  </si>
  <si>
    <t>Maneuvering Time
(hours)</t>
  </si>
  <si>
    <t>Time at Berth
(Origin - hours)</t>
  </si>
  <si>
    <t>Time at Berth
(Destination - hours)</t>
  </si>
  <si>
    <t>Transit</t>
  </si>
  <si>
    <t>Hotelling</t>
  </si>
  <si>
    <t>Anchorage</t>
  </si>
  <si>
    <t>Tacoma</t>
  </si>
  <si>
    <t>Vessel Details</t>
  </si>
  <si>
    <t>Service Speed
(knots)</t>
  </si>
  <si>
    <t>Max Speed
(knots)</t>
  </si>
  <si>
    <t>Installed Power
(kW)</t>
  </si>
  <si>
    <t>Main Engine Speed
(RPM)</t>
  </si>
  <si>
    <t>Aux Engine Speed
(RPM)</t>
  </si>
  <si>
    <t>Main Engine Type</t>
  </si>
  <si>
    <t>Aux Engine Type</t>
  </si>
  <si>
    <t>Boiler Type</t>
  </si>
  <si>
    <t>Medium speed diesel  2000 - 2010</t>
  </si>
  <si>
    <t>Fuel Oil Aux Boiler All</t>
  </si>
  <si>
    <t>Outputs</t>
  </si>
  <si>
    <t>Emissions Calcs</t>
  </si>
  <si>
    <t>Mode</t>
  </si>
  <si>
    <t>Main Engine Load
(kW)</t>
  </si>
  <si>
    <t>Aux Engine Load
(kW)</t>
  </si>
  <si>
    <t>Aux Boiler Load
(kW)</t>
  </si>
  <si>
    <t>Fuel - In ECA</t>
  </si>
  <si>
    <t>Fuel - Outside ECA</t>
  </si>
  <si>
    <t>Fuel Consumption Estimates</t>
  </si>
  <si>
    <t>Geographic Region</t>
  </si>
  <si>
    <t>Aux Boiler</t>
  </si>
  <si>
    <t>Emissions Factors (g/kWh)</t>
  </si>
  <si>
    <t>Within 200nm</t>
  </si>
  <si>
    <t>Outside 200nm</t>
  </si>
  <si>
    <t>Low Pressure DF LNG All</t>
  </si>
  <si>
    <t>LNG Aux Boiler All</t>
  </si>
  <si>
    <t>Fraction of Gas Delivered by this Process</t>
  </si>
  <si>
    <t>Ship/Barge Loading</t>
  </si>
  <si>
    <t>Bunker Vessel Storage</t>
  </si>
  <si>
    <t>Truck/Ship-to-Ship Transfer</t>
  </si>
  <si>
    <t>Loss Factor</t>
  </si>
  <si>
    <t>Gas lost through the system</t>
  </si>
  <si>
    <t>Net Delivered LNG</t>
  </si>
  <si>
    <t>gallons per typical bunkering event</t>
  </si>
  <si>
    <t>Bunker Barge Loading</t>
  </si>
  <si>
    <t>Vapor Displaced</t>
  </si>
  <si>
    <t>Recovery Rate</t>
  </si>
  <si>
    <t>Loss per Bunkering Event</t>
  </si>
  <si>
    <t>Volume per Bunkering Event
(gallons)</t>
  </si>
  <si>
    <t>Volume Lost per Bunkering Event
(gallons)</t>
  </si>
  <si>
    <t>Boil off rate
(%/day)</t>
  </si>
  <si>
    <t>Duration
(days)</t>
  </si>
  <si>
    <t>Volume
(LNG gallons/year)</t>
  </si>
  <si>
    <t>TOTE</t>
  </si>
  <si>
    <t>Other Bunker Barge</t>
  </si>
  <si>
    <t>CO2e</t>
  </si>
  <si>
    <t>Landing and take-offs</t>
  </si>
  <si>
    <t>Ocean tanker</t>
  </si>
  <si>
    <t>Simple cycle</t>
  </si>
  <si>
    <t>Nonroad Equipment</t>
  </si>
  <si>
    <t>Off-road vehicles</t>
  </si>
  <si>
    <t>HDDT 6</t>
  </si>
  <si>
    <t>HDDT 8b</t>
  </si>
  <si>
    <t>Nonroad vehicles</t>
  </si>
  <si>
    <t>Industrial, commercial, and utility boilers</t>
  </si>
  <si>
    <t>Open burning</t>
  </si>
  <si>
    <t>IGCC</t>
  </si>
  <si>
    <t>Flared</t>
  </si>
  <si>
    <t>Combined cycle</t>
  </si>
  <si>
    <t xml:space="preserve"> </t>
  </si>
  <si>
    <t>Jet fuel</t>
  </si>
  <si>
    <t>Biochar</t>
  </si>
  <si>
    <t>Residual fuel oil</t>
  </si>
  <si>
    <t>Biomass</t>
  </si>
  <si>
    <t>4.1) Stationary, mobile, and open burning emission sources, %</t>
  </si>
  <si>
    <t>4) Mass fractions of black carbon and organic carbon emissions of corresponding PM2.5 emission factors</t>
  </si>
  <si>
    <t>LHV/HHV ratio</t>
  </si>
  <si>
    <t>Coal*</t>
  </si>
  <si>
    <t>Wind</t>
  </si>
  <si>
    <t>*Represents a portion of the power Tacoma Power gets from the Bonneville Power Administration.</t>
  </si>
  <si>
    <t>Table 10.   Upstream GHG Emissions Associated With Facility Electrical Energy   Use</t>
  </si>
  <si>
    <t>Emissions Rate</t>
  </si>
  <si>
    <t>per Power</t>
  </si>
  <si>
    <t>of End product</t>
  </si>
  <si>
    <t>Time
 (hours)</t>
  </si>
  <si>
    <t>Time
(hours)</t>
  </si>
  <si>
    <t>Check if exist</t>
  </si>
  <si>
    <t xml:space="preserve">Methane (CH4) slip </t>
  </si>
  <si>
    <t>Marine Engine TOTE CASE</t>
  </si>
  <si>
    <t>Marine Vessel TOTE</t>
  </si>
  <si>
    <t>TOTE Marine Engine</t>
  </si>
  <si>
    <t>Provided BID Report  page 4</t>
  </si>
  <si>
    <t>Emissions Within 200nm (tonne per trip)</t>
  </si>
  <si>
    <t>Emissions Outside 200nm (tonne per trip)</t>
  </si>
  <si>
    <t>Total Emissions (tonne per trip)</t>
  </si>
  <si>
    <t>Total Emissions (tonne)</t>
  </si>
  <si>
    <t>FEIS Project</t>
  </si>
  <si>
    <t>FEIS
 No Project</t>
  </si>
  <si>
    <t>Operation LNG plant</t>
  </si>
  <si>
    <t>Enduse</t>
  </si>
  <si>
    <t>Construction</t>
  </si>
  <si>
    <t>Project</t>
  </si>
  <si>
    <t>No Project</t>
  </si>
  <si>
    <t>Fuel Throughput
(MMBTU/year)</t>
  </si>
  <si>
    <t>GHG Emissions
(MT CO2e/year)</t>
  </si>
  <si>
    <t>Extraction, processing, and transmission to Sumas hub</t>
  </si>
  <si>
    <t>Transmission from Sumas Hub to PSE gate</t>
  </si>
  <si>
    <t>Distribution via PSE System</t>
  </si>
  <si>
    <t>Direct Facility Emissions (includes Peak Shaving)</t>
  </si>
  <si>
    <t>Electricity Supply</t>
  </si>
  <si>
    <t>Vessel Loading of LNG</t>
  </si>
  <si>
    <t>Bunker Barge</t>
  </si>
  <si>
    <t>Truck-to-Vessel</t>
  </si>
  <si>
    <t>On-road Heavy-duty Truck Fuel</t>
  </si>
  <si>
    <t>LNG (Plant-to-Tank Emissions)</t>
  </si>
  <si>
    <t>LNG (Tank-to-Wheels Emissions)</t>
  </si>
  <si>
    <t>ULSD (Well-to-Wheels Emissions)</t>
  </si>
  <si>
    <t>TOTE Vessel Operations</t>
  </si>
  <si>
    <t>TOTE LNG (Direct Vessel Emissions)</t>
  </si>
  <si>
    <t>TOTE Pilot Fuel Oil (Well-to-Tank Emissions)</t>
  </si>
  <si>
    <t>TOTE Fuel Oil (Well-to-Tank Emissions)</t>
  </si>
  <si>
    <t>TOTE Fuel Oil (Direct Vessel Emissions)</t>
  </si>
  <si>
    <t>Other Vessel Operations</t>
  </si>
  <si>
    <t>Other LNG (Direct Vessel Emissions)</t>
  </si>
  <si>
    <t>Other Pilot Fuel Oil (Well-to-Tank Emissions)</t>
  </si>
  <si>
    <t>Other Fuel Oil (Well-to-Tank Emissions)</t>
  </si>
  <si>
    <t>Other Fuel Oil (Direct Vessel Emissions)</t>
  </si>
  <si>
    <t>GHG Emissions
 (GBtu/ year)</t>
  </si>
  <si>
    <t>Adjust results to 355 days of operation instead of 365, 88.75 Mgal/year inestead of 91.25 Mgal/year</t>
  </si>
  <si>
    <t>IC Engine, GREET</t>
  </si>
  <si>
    <t>Marine Engine, This Study</t>
  </si>
  <si>
    <t>https://pugetsoundmaritimeairforum.org/2016-puget-sound-maritime-air-emissions-inventory/</t>
  </si>
  <si>
    <t xml:space="preserve">Table B.7: Greenhouse Gas Emission Factors for Auxiliary Engines, g/kW-hr </t>
  </si>
  <si>
    <t xml:space="preserve">Table B.3: Low-Load Adjustment Multipliers for Emission Factors </t>
  </si>
  <si>
    <t>Table B.7: Auxiliary Engine Emission Factors, g/kW-hr</t>
  </si>
  <si>
    <r>
      <t xml:space="preserve">Source: </t>
    </r>
    <r>
      <rPr>
        <i/>
        <sz val="12"/>
        <color rgb="FFFF0000"/>
        <rFont val="Calibri"/>
        <family val="2"/>
        <scheme val="minor"/>
      </rPr>
      <t>UPDATED</t>
    </r>
    <r>
      <rPr>
        <i/>
        <sz val="12"/>
        <rFont val="Calibri"/>
        <family val="2"/>
        <scheme val="minor"/>
      </rPr>
      <t xml:space="preserve"> 2016 Puget Sound Maritime Air Emissions Inventory, Punlished Feb 2018 APPENDIX B: OGV EMISSIONS ESTIMATING METHODOLOGY (unless otherwise noted below table)</t>
    </r>
  </si>
  <si>
    <t>Source: 2012</t>
  </si>
  <si>
    <t xml:space="preserve">Table B.2: Emission Factors for OGV Main Engines Using MDO, g/kW-hr </t>
  </si>
  <si>
    <t xml:space="preserve">Table B.2: GHG Emission Factors for OGV Main Engines Using MDO, g/kW-hr </t>
  </si>
  <si>
    <t>The North American ECA introduced in 2015, requiring 0.1% sulfur content in diesel fuel compared to heavy fuel oil with high sulfur content (2.7%) used by the
majority of vessels in 2005</t>
  </si>
  <si>
    <t xml:space="preserve"> Hotelling *</t>
  </si>
  <si>
    <t>*using upper limit</t>
  </si>
  <si>
    <t>Table B.12: Auxiliary Boiler GHG Emission Factors using MDO, g/kW-hr</t>
  </si>
  <si>
    <t>Table B.12: Auxiliary Boiler Emission Factors using MDO, g/kW-hr</t>
  </si>
  <si>
    <t>Table B11 2016 Auxiliary Boiler Energy Defaults, kW</t>
  </si>
  <si>
    <t>Table B.18: 2016 Auxiliary Engine Power and Load Defaults, kW</t>
  </si>
  <si>
    <t>LNG emissions factors from "GHG and NOx Emissions from Gas Fueled Engines", SINTEF, 2017.  PM emissions based on EPA certification data of 2017 Wartsila DF engine (rated at 8MW).</t>
  </si>
  <si>
    <t>Implied by CO2 emissions factors, converted using CO2 emissions above</t>
  </si>
  <si>
    <t>Pilot Fuel for LNG</t>
  </si>
  <si>
    <t>Use of extra pilot fuel for LNG Marine vessel</t>
  </si>
  <si>
    <t>LNG incl. Pilot fuel</t>
  </si>
  <si>
    <t>Pilot fuel</t>
  </si>
  <si>
    <t>LNG Project</t>
  </si>
  <si>
    <r>
      <t>CO</t>
    </r>
    <r>
      <rPr>
        <vertAlign val="subscript"/>
        <sz val="11"/>
        <color indexed="8"/>
        <rFont val="Calibri"/>
        <family val="2"/>
      </rPr>
      <t>2</t>
    </r>
    <r>
      <rPr>
        <sz val="11"/>
        <color indexed="8"/>
        <rFont val="Calibri"/>
        <family val="2"/>
      </rPr>
      <t xml:space="preserve"> Emergency Genset</t>
    </r>
  </si>
  <si>
    <r>
      <t>Total CO</t>
    </r>
    <r>
      <rPr>
        <vertAlign val="subscript"/>
        <sz val="11"/>
        <color indexed="8"/>
        <rFont val="Calibri"/>
        <family val="2"/>
      </rPr>
      <t>2</t>
    </r>
  </si>
  <si>
    <r>
      <t>tonne CO</t>
    </r>
    <r>
      <rPr>
        <vertAlign val="subscript"/>
        <sz val="11"/>
        <color indexed="8"/>
        <rFont val="Calibri"/>
        <family val="2"/>
      </rPr>
      <t>2</t>
    </r>
  </si>
  <si>
    <r>
      <t>CO</t>
    </r>
    <r>
      <rPr>
        <vertAlign val="subscript"/>
        <sz val="11"/>
        <color indexed="8"/>
        <rFont val="Calibri"/>
        <family val="2"/>
      </rPr>
      <t>2</t>
    </r>
    <r>
      <rPr>
        <sz val="11"/>
        <color indexed="8"/>
        <rFont val="Calibri"/>
        <family val="2"/>
      </rPr>
      <t xml:space="preserve"> Separated </t>
    </r>
  </si>
  <si>
    <r>
      <t>CO</t>
    </r>
    <r>
      <rPr>
        <vertAlign val="subscript"/>
        <sz val="11"/>
        <color indexed="8"/>
        <rFont val="Calibri"/>
        <family val="2"/>
      </rPr>
      <t>2</t>
    </r>
    <r>
      <rPr>
        <sz val="11"/>
        <color indexed="8"/>
        <rFont val="Calibri"/>
        <family val="2"/>
      </rPr>
      <t xml:space="preserve"> Separated (non-combustion)</t>
    </r>
  </si>
  <si>
    <r>
      <t>Fugitives CH</t>
    </r>
    <r>
      <rPr>
        <vertAlign val="subscript"/>
        <sz val="11"/>
        <color indexed="8"/>
        <rFont val="Calibri"/>
        <family val="2"/>
      </rPr>
      <t>4</t>
    </r>
  </si>
  <si>
    <t>Sub-Total</t>
  </si>
  <si>
    <r>
      <t>N</t>
    </r>
    <r>
      <rPr>
        <b/>
        <vertAlign val="subscript"/>
        <sz val="9.5"/>
        <rFont val="Arial"/>
        <family val="2"/>
      </rPr>
      <t>2</t>
    </r>
    <r>
      <rPr>
        <b/>
        <sz val="9.5"/>
        <rFont val="Arial"/>
        <family val="2"/>
      </rPr>
      <t>O</t>
    </r>
    <r>
      <rPr>
        <sz val="9.5"/>
        <rFont val="Arial"/>
        <family val="2"/>
      </rPr>
      <t xml:space="preserve">
(tonne/ year)</t>
    </r>
  </si>
  <si>
    <r>
      <t>CO</t>
    </r>
    <r>
      <rPr>
        <b/>
        <vertAlign val="subscript"/>
        <sz val="11"/>
        <color indexed="8"/>
        <rFont val="Calibri"/>
        <family val="2"/>
      </rPr>
      <t>2</t>
    </r>
    <r>
      <rPr>
        <b/>
        <sz val="11"/>
        <color indexed="8"/>
        <rFont val="Calibri"/>
        <family val="2"/>
      </rPr>
      <t xml:space="preserve">e
</t>
    </r>
    <r>
      <rPr>
        <sz val="11"/>
        <color indexed="8"/>
        <rFont val="Calibri"/>
        <family val="2"/>
      </rPr>
      <t>(tonne/ year)</t>
    </r>
  </si>
  <si>
    <r>
      <t>CO</t>
    </r>
    <r>
      <rPr>
        <vertAlign val="subscript"/>
        <sz val="9"/>
        <rFont val="Arial"/>
        <family val="2"/>
      </rPr>
      <t>2</t>
    </r>
    <r>
      <rPr>
        <sz val="9"/>
        <rFont val="Arial"/>
        <family val="2"/>
      </rPr>
      <t>c
Emission
Factor (g/hp-hr)</t>
    </r>
  </si>
  <si>
    <r>
      <t>CO</t>
    </r>
    <r>
      <rPr>
        <vertAlign val="subscript"/>
        <sz val="9"/>
        <rFont val="Arial"/>
        <family val="2"/>
      </rPr>
      <t>2</t>
    </r>
    <r>
      <rPr>
        <sz val="9"/>
        <rFont val="Arial"/>
        <family val="2"/>
      </rPr>
      <t>c
(tonne/ year)</t>
    </r>
  </si>
  <si>
    <r>
      <t>CO</t>
    </r>
    <r>
      <rPr>
        <vertAlign val="subscript"/>
        <sz val="10"/>
        <rFont val="Arial"/>
        <family val="2"/>
      </rPr>
      <t>2</t>
    </r>
    <r>
      <rPr>
        <sz val="10"/>
        <rFont val="Arial"/>
        <family val="2"/>
      </rPr>
      <t xml:space="preserve">
(g/VMT)</t>
    </r>
  </si>
  <si>
    <r>
      <t>CH</t>
    </r>
    <r>
      <rPr>
        <vertAlign val="subscript"/>
        <sz val="10"/>
        <color rgb="FF000000"/>
        <rFont val="Arial"/>
        <family val="2"/>
      </rPr>
      <t>4</t>
    </r>
    <r>
      <rPr>
        <sz val="10"/>
        <color rgb="FF000000"/>
        <rFont val="Arial"/>
        <family val="2"/>
      </rPr>
      <t xml:space="preserve">
(g/VMT)</t>
    </r>
  </si>
  <si>
    <r>
      <t>N</t>
    </r>
    <r>
      <rPr>
        <vertAlign val="subscript"/>
        <sz val="10"/>
        <rFont val="Arial"/>
        <family val="2"/>
      </rPr>
      <t>2</t>
    </r>
    <r>
      <rPr>
        <sz val="10"/>
        <rFont val="Arial"/>
        <family val="2"/>
      </rPr>
      <t>O
(g/VMT)</t>
    </r>
  </si>
  <si>
    <r>
      <t>CO</t>
    </r>
    <r>
      <rPr>
        <vertAlign val="subscript"/>
        <sz val="10"/>
        <rFont val="Arial"/>
        <family val="2"/>
      </rPr>
      <t>2</t>
    </r>
    <r>
      <rPr>
        <sz val="10"/>
        <rFont val="Arial"/>
        <family val="2"/>
      </rPr>
      <t>c
(g/VMT)</t>
    </r>
  </si>
  <si>
    <r>
      <t>CO</t>
    </r>
    <r>
      <rPr>
        <vertAlign val="subscript"/>
        <sz val="10"/>
        <rFont val="Arial"/>
        <family val="2"/>
      </rPr>
      <t>2</t>
    </r>
    <r>
      <rPr>
        <sz val="10"/>
        <rFont val="Arial"/>
        <family val="2"/>
      </rPr>
      <t xml:space="preserve">
(tonne/ year)</t>
    </r>
  </si>
  <si>
    <r>
      <t>CH</t>
    </r>
    <r>
      <rPr>
        <vertAlign val="subscript"/>
        <sz val="10"/>
        <rFont val="Arial"/>
        <family val="2"/>
      </rPr>
      <t>4</t>
    </r>
    <r>
      <rPr>
        <sz val="10"/>
        <rFont val="Arial"/>
        <family val="2"/>
      </rPr>
      <t xml:space="preserve">
(tonne/ year)</t>
    </r>
  </si>
  <si>
    <r>
      <t>N</t>
    </r>
    <r>
      <rPr>
        <vertAlign val="subscript"/>
        <sz val="10"/>
        <rFont val="Arial"/>
        <family val="2"/>
      </rPr>
      <t>2</t>
    </r>
    <r>
      <rPr>
        <sz val="10"/>
        <rFont val="Arial"/>
        <family val="2"/>
      </rPr>
      <t>O
(tonne/ year)</t>
    </r>
  </si>
  <si>
    <r>
      <t>CO</t>
    </r>
    <r>
      <rPr>
        <vertAlign val="subscript"/>
        <sz val="10"/>
        <color rgb="FF000000"/>
        <rFont val="Arial"/>
        <family val="2"/>
      </rPr>
      <t>2</t>
    </r>
    <r>
      <rPr>
        <sz val="10"/>
        <color rgb="FF000000"/>
        <rFont val="Arial"/>
        <family val="2"/>
      </rPr>
      <t>e
(tonne/ year)</t>
    </r>
  </si>
  <si>
    <r>
      <t>Upstream CO</t>
    </r>
    <r>
      <rPr>
        <vertAlign val="subscript"/>
        <sz val="9"/>
        <rFont val="Arial"/>
        <family val="2"/>
      </rPr>
      <t>2</t>
    </r>
    <r>
      <rPr>
        <sz val="9"/>
        <rFont val="Arial"/>
        <family val="2"/>
      </rPr>
      <t xml:space="preserve">
(tonne/ year)</t>
    </r>
  </si>
  <si>
    <r>
      <t>Upstream CH</t>
    </r>
    <r>
      <rPr>
        <vertAlign val="subscript"/>
        <sz val="9"/>
        <color rgb="FF000000"/>
        <rFont val="Arial"/>
        <family val="2"/>
      </rPr>
      <t>4</t>
    </r>
    <r>
      <rPr>
        <sz val="9"/>
        <color rgb="FF000000"/>
        <rFont val="Arial"/>
        <family val="2"/>
      </rPr>
      <t xml:space="preserve">
(tonne/ year)</t>
    </r>
  </si>
  <si>
    <r>
      <t>Upstream N</t>
    </r>
    <r>
      <rPr>
        <vertAlign val="subscript"/>
        <sz val="9"/>
        <color rgb="FF000000"/>
        <rFont val="Arial"/>
        <family val="2"/>
      </rPr>
      <t>2</t>
    </r>
    <r>
      <rPr>
        <sz val="9"/>
        <color rgb="FF000000"/>
        <rFont val="Arial"/>
        <family val="2"/>
      </rPr>
      <t>O
(tonne/ year)</t>
    </r>
  </si>
  <si>
    <r>
      <t>Upstream CO</t>
    </r>
    <r>
      <rPr>
        <vertAlign val="subscript"/>
        <sz val="9"/>
        <rFont val="Arial"/>
        <family val="2"/>
      </rPr>
      <t>2</t>
    </r>
    <r>
      <rPr>
        <sz val="9"/>
        <rFont val="Arial"/>
        <family val="2"/>
      </rPr>
      <t>e
(tonne/ year)</t>
    </r>
  </si>
  <si>
    <r>
      <t>Total CO</t>
    </r>
    <r>
      <rPr>
        <vertAlign val="subscript"/>
        <sz val="9"/>
        <color rgb="FF000000"/>
        <rFont val="Arial"/>
        <family val="2"/>
      </rPr>
      <t>2</t>
    </r>
    <r>
      <rPr>
        <sz val="9"/>
        <color rgb="FF000000"/>
        <rFont val="Arial"/>
        <family val="2"/>
      </rPr>
      <t>e
(tonne/ year)</t>
    </r>
  </si>
  <si>
    <t>Car
VMT/ month</t>
  </si>
  <si>
    <t>Truck
VMT/ month</t>
  </si>
  <si>
    <t>Summary VMTs</t>
  </si>
  <si>
    <r>
      <t>CO</t>
    </r>
    <r>
      <rPr>
        <b/>
        <vertAlign val="subscript"/>
        <sz val="11"/>
        <color rgb="FF000000"/>
        <rFont val="Calibri"/>
        <family val="2"/>
      </rPr>
      <t>2</t>
    </r>
  </si>
  <si>
    <r>
      <t>CH</t>
    </r>
    <r>
      <rPr>
        <b/>
        <vertAlign val="subscript"/>
        <sz val="11"/>
        <color rgb="FF000000"/>
        <rFont val="Calibri"/>
        <family val="2"/>
      </rPr>
      <t>4</t>
    </r>
  </si>
  <si>
    <r>
      <t>N</t>
    </r>
    <r>
      <rPr>
        <b/>
        <vertAlign val="subscript"/>
        <sz val="11"/>
        <color rgb="FF000000"/>
        <rFont val="Calibri"/>
        <family val="2"/>
      </rPr>
      <t>2</t>
    </r>
    <r>
      <rPr>
        <b/>
        <sz val="11"/>
        <color rgb="FF000000"/>
        <rFont val="Calibri"/>
        <family val="2"/>
      </rPr>
      <t>O</t>
    </r>
  </si>
  <si>
    <r>
      <t>CO</t>
    </r>
    <r>
      <rPr>
        <b/>
        <vertAlign val="subscript"/>
        <sz val="11"/>
        <color rgb="FF000000"/>
        <rFont val="Calibri"/>
        <family val="2"/>
      </rPr>
      <t>2</t>
    </r>
    <r>
      <rPr>
        <b/>
        <sz val="11"/>
        <color rgb="FF000000"/>
        <rFont val="Calibri"/>
        <family val="2"/>
      </rPr>
      <t>e</t>
    </r>
  </si>
  <si>
    <t>Construction Workers Car</t>
  </si>
  <si>
    <t>Upstream Diesel Emergency</t>
  </si>
  <si>
    <t>Upstream Power LNG Vaporizer</t>
  </si>
  <si>
    <t>gMDO/kWh</t>
  </si>
  <si>
    <t>Sulfur emissions rates for Low Pressure DF LNG engines based on SINEF report (Table 5.1) indicating 95-98% SOx reductions from LNG operation relative to MDO.  Assume pilot fuel is MDO with a 0.5% sulfur content based on 2020 global sulfur cap</t>
  </si>
  <si>
    <t>Emissions Rate (g/tonne MGO)</t>
  </si>
  <si>
    <t>Emissions Rate (g/mmBtu MGO, LHV)</t>
  </si>
  <si>
    <t>Fuel Consumed Within 200nm
(MT MGOe)</t>
  </si>
  <si>
    <t>Fuel Consumed Outside 200nm
(MT MGOe)</t>
  </si>
  <si>
    <t>Fuel Consumed
(MT MGOe)</t>
  </si>
  <si>
    <t>Emissions Rate (g/tonne MGOe)</t>
  </si>
  <si>
    <t>Emissions Rate (g/mmBtu MGOe, LHV)</t>
  </si>
  <si>
    <t>Calculated Loads</t>
  </si>
  <si>
    <t>Emission from flaring (combustion)</t>
  </si>
  <si>
    <t>Equipment</t>
  </si>
  <si>
    <t>Emergency  Generator</t>
  </si>
  <si>
    <t>Process</t>
  </si>
  <si>
    <t>LNG Bunkering and
 Vessel loading  Emissions</t>
  </si>
  <si>
    <t>Total LNG plant emission</t>
  </si>
  <si>
    <t>Equip. Leaks</t>
  </si>
  <si>
    <t xml:space="preserve">Vaporizer </t>
  </si>
  <si>
    <t xml:space="preserve">Pump - power </t>
  </si>
  <si>
    <t>TOTAL</t>
  </si>
  <si>
    <t>BUNKERING</t>
  </si>
  <si>
    <t>LNG PLANT</t>
  </si>
  <si>
    <r>
      <t>CH</t>
    </r>
    <r>
      <rPr>
        <b/>
        <vertAlign val="subscript"/>
        <sz val="11"/>
        <rFont val="Calibri"/>
        <family val="2"/>
        <scheme val="minor"/>
      </rPr>
      <t>4</t>
    </r>
    <r>
      <rPr>
        <b/>
        <sz val="11"/>
        <rFont val="Calibri"/>
        <family val="2"/>
        <scheme val="minor"/>
      </rPr>
      <t xml:space="preserve"> Emissions
(LNG Gallons/year)</t>
    </r>
  </si>
  <si>
    <t>Fugitives Ship/Barge Loading</t>
  </si>
  <si>
    <t>Fugitives - Bunker Vessel Storage</t>
  </si>
  <si>
    <t xml:space="preserve"> Sub - Total</t>
  </si>
  <si>
    <t xml:space="preserve">Total End Use </t>
  </si>
  <si>
    <r>
      <t xml:space="preserve"> CO</t>
    </r>
    <r>
      <rPr>
        <b/>
        <vertAlign val="subscript"/>
        <sz val="11"/>
        <rFont val="Calibri"/>
        <family val="2"/>
        <scheme val="minor"/>
      </rPr>
      <t>2</t>
    </r>
  </si>
  <si>
    <r>
      <t xml:space="preserve"> N</t>
    </r>
    <r>
      <rPr>
        <b/>
        <vertAlign val="subscript"/>
        <sz val="11"/>
        <rFont val="Calibri"/>
        <family val="2"/>
        <scheme val="minor"/>
      </rPr>
      <t>2</t>
    </r>
    <r>
      <rPr>
        <b/>
        <sz val="11"/>
        <rFont val="Calibri"/>
        <family val="2"/>
        <scheme val="minor"/>
      </rPr>
      <t>O</t>
    </r>
  </si>
  <si>
    <r>
      <t xml:space="preserve"> CH</t>
    </r>
    <r>
      <rPr>
        <b/>
        <vertAlign val="subscript"/>
        <sz val="11"/>
        <rFont val="Calibri"/>
        <family val="2"/>
        <scheme val="minor"/>
      </rPr>
      <t>4</t>
    </r>
  </si>
  <si>
    <r>
      <t>CO</t>
    </r>
    <r>
      <rPr>
        <b/>
        <vertAlign val="subscript"/>
        <sz val="11"/>
        <rFont val="Calibri"/>
        <family val="2"/>
        <scheme val="minor"/>
      </rPr>
      <t>2</t>
    </r>
    <r>
      <rPr>
        <b/>
        <sz val="11"/>
        <rFont val="Calibri"/>
        <family val="2"/>
        <scheme val="minor"/>
      </rPr>
      <t>c</t>
    </r>
  </si>
  <si>
    <r>
      <t>CO</t>
    </r>
    <r>
      <rPr>
        <b/>
        <vertAlign val="subscript"/>
        <sz val="11"/>
        <rFont val="Calibri"/>
        <family val="2"/>
        <scheme val="minor"/>
      </rPr>
      <t>2</t>
    </r>
    <r>
      <rPr>
        <b/>
        <sz val="11"/>
        <rFont val="Calibri"/>
        <family val="2"/>
        <scheme val="minor"/>
      </rPr>
      <t>e</t>
    </r>
  </si>
  <si>
    <r>
      <t xml:space="preserve"> NO</t>
    </r>
    <r>
      <rPr>
        <b/>
        <vertAlign val="subscript"/>
        <sz val="11"/>
        <rFont val="Calibri"/>
        <family val="2"/>
        <scheme val="minor"/>
      </rPr>
      <t>x</t>
    </r>
  </si>
  <si>
    <r>
      <t xml:space="preserve"> SO</t>
    </r>
    <r>
      <rPr>
        <b/>
        <vertAlign val="subscript"/>
        <sz val="11"/>
        <rFont val="Calibri"/>
        <family val="2"/>
        <scheme val="minor"/>
      </rPr>
      <t>2</t>
    </r>
  </si>
  <si>
    <t>MDO Fuel</t>
  </si>
  <si>
    <t>MDO fuel</t>
  </si>
  <si>
    <t>NO LNG Project</t>
  </si>
  <si>
    <t>Diesel - End use</t>
  </si>
  <si>
    <t>Diesel - Upstream</t>
  </si>
  <si>
    <t>Diesel - Power pumping</t>
  </si>
  <si>
    <t>MDO - Upstream</t>
  </si>
  <si>
    <t>End Use Emissions Marine vessels</t>
  </si>
  <si>
    <t>End use
share</t>
  </si>
  <si>
    <t>Scenario Selection for End use Mix</t>
  </si>
  <si>
    <t>Pilot diesel Fuel for LNG</t>
  </si>
  <si>
    <t>Displaced MDO Fuel</t>
  </si>
  <si>
    <t xml:space="preserve">Displaced Diesel </t>
  </si>
  <si>
    <t>Upstream Life Cycle (Equipment)</t>
  </si>
  <si>
    <t>Upstream Life Cycle (Material)</t>
  </si>
  <si>
    <t>Upstream Life cycle</t>
  </si>
  <si>
    <t>Power LNG production</t>
  </si>
  <si>
    <t xml:space="preserve">Diesel Emergency </t>
  </si>
  <si>
    <t>Power LNG Vaporizer  -Peak Shaving</t>
  </si>
  <si>
    <t>Emissions (tonne/year)</t>
  </si>
  <si>
    <t>LPG production</t>
  </si>
  <si>
    <t>Comparision to reported values</t>
  </si>
  <si>
    <t>Upstream inputs</t>
  </si>
  <si>
    <t>LNG Plant Operation</t>
  </si>
  <si>
    <t>LNG Product - End use share</t>
  </si>
  <si>
    <t>Energy/Electrcity Consumption  LNG Plant</t>
  </si>
  <si>
    <t>Power Consumption Vaporizer/
 Peak Shaving</t>
  </si>
  <si>
    <t>Code</t>
  </si>
  <si>
    <t>MA</t>
  </si>
  <si>
    <t>NW</t>
  </si>
  <si>
    <t>Used GEN MIX</t>
  </si>
  <si>
    <t>Selected GEN MIX</t>
  </si>
  <si>
    <t>INPUTS -  NO PROJECT</t>
  </si>
  <si>
    <t>Equipment  Capacity/Consumption</t>
  </si>
  <si>
    <t>kWh/1000 gal</t>
  </si>
  <si>
    <t>Power Consumption LNG plant</t>
  </si>
  <si>
    <t>Comments/Source</t>
  </si>
  <si>
    <t>LHV (based on mass ratio see INPUT</t>
  </si>
  <si>
    <t>Source: page 13, PES response</t>
  </si>
  <si>
    <t>Sub- Scenario</t>
  </si>
  <si>
    <t>LPG is flared</t>
  </si>
  <si>
    <t xml:space="preserve">Construction Material &amp; Power- UPSTREAM Emissions - </t>
  </si>
  <si>
    <t xml:space="preserve">Total power consumption during construction </t>
  </si>
  <si>
    <t>kWh</t>
  </si>
  <si>
    <t>Source: Response Tacoma LNG Supplementary SEIS Questions, july 07, 2018, page 5</t>
  </si>
  <si>
    <t>Waste Gas Heat Capacity</t>
  </si>
  <si>
    <t>Upstream Life Cycle (Power)</t>
  </si>
  <si>
    <t>Power Consumption LNG Construction</t>
  </si>
  <si>
    <t>GHG Emissions (tonnes)</t>
  </si>
  <si>
    <t>Power</t>
  </si>
  <si>
    <t>Upstream Emissions  Power (see sheet Upstream, B40)</t>
  </si>
  <si>
    <t>Displaced Activity</t>
  </si>
  <si>
    <t>M gal/year</t>
  </si>
  <si>
    <t>Dual Fuel Gas Turbine</t>
  </si>
  <si>
    <t>TOTE Marine</t>
  </si>
  <si>
    <t>Other Marine by Bunker Barge</t>
  </si>
  <si>
    <t>No activity planned</t>
  </si>
  <si>
    <t>Diesel Dual Fuel Peak Power</t>
  </si>
  <si>
    <t>No Peak Shaving - Diesel Dual Fuel</t>
  </si>
  <si>
    <t>Marine Diesel</t>
  </si>
  <si>
    <t>Dual Fuel Turbine</t>
  </si>
  <si>
    <t>Results</t>
  </si>
  <si>
    <t>For Scenario Description</t>
  </si>
  <si>
    <t>Petroleum</t>
  </si>
  <si>
    <t>ARB LNG Pathway document</t>
  </si>
  <si>
    <t>WAUP</t>
  </si>
  <si>
    <t>WAPP</t>
  </si>
  <si>
    <t>MAUP</t>
  </si>
  <si>
    <t>MAPP</t>
  </si>
  <si>
    <t>NWUP</t>
  </si>
  <si>
    <t>NWPP</t>
  </si>
  <si>
    <t>Pull Down</t>
  </si>
  <si>
    <t>LPG Flaring</t>
  </si>
  <si>
    <t>Waste Flare  LPG - Tacoma LNG plant</t>
  </si>
  <si>
    <t>Emission from LPG flaring</t>
  </si>
  <si>
    <t>Flared gas (ex. LPG)</t>
  </si>
  <si>
    <t xml:space="preserve">Flare Gas </t>
  </si>
  <si>
    <t>Flaring Tacoma</t>
  </si>
  <si>
    <t>WA.Gasoline Fuel</t>
  </si>
  <si>
    <t>WA. Bunker Fuel</t>
  </si>
  <si>
    <t>WA Diesel Fuel</t>
  </si>
  <si>
    <t xml:space="preserve">WA </t>
  </si>
  <si>
    <t>Ethanol blending</t>
  </si>
  <si>
    <t>Gig  harbor Delivery</t>
  </si>
  <si>
    <t xml:space="preserve">Ethanol blending </t>
  </si>
  <si>
    <t>ENDUSE</t>
  </si>
  <si>
    <t>Gig harbor Delivery</t>
  </si>
  <si>
    <t>Distance for LNG delivery by Diesel Truck</t>
  </si>
  <si>
    <t>miles</t>
  </si>
  <si>
    <t>Truck capacity</t>
  </si>
  <si>
    <t>Capacity per trip</t>
  </si>
  <si>
    <t>gallons/trip</t>
  </si>
  <si>
    <t>Energy Consumption</t>
  </si>
  <si>
    <t>BTU/mile</t>
  </si>
  <si>
    <t>Number of trips</t>
  </si>
  <si>
    <t>Annual miles for delivery</t>
  </si>
  <si>
    <t>Distance to gig harbor</t>
  </si>
  <si>
    <t>No project</t>
  </si>
  <si>
    <t>miles/year</t>
  </si>
  <si>
    <t>miles/trip</t>
  </si>
  <si>
    <t>Diesel consumption per mile</t>
  </si>
  <si>
    <t>Total Diesel Consumption</t>
  </si>
  <si>
    <t>Gig Harbor Diesel Truck fuel</t>
  </si>
  <si>
    <t>Gig Harbor LNG Delivery</t>
  </si>
  <si>
    <t>Mgal/year</t>
  </si>
  <si>
    <t>Pathway Component</t>
  </si>
  <si>
    <t>Emissions (g/MMBTU)</t>
  </si>
  <si>
    <t>Plant-to-Tank LNG Combination Tractor</t>
  </si>
  <si>
    <t>Well-to-Wheels Diesel Combination Tractor</t>
  </si>
  <si>
    <t>Tank-to-Wheels LNG Combination Tractor</t>
  </si>
  <si>
    <t>Diesel tractor</t>
  </si>
  <si>
    <r>
      <t>N</t>
    </r>
    <r>
      <rPr>
        <b/>
        <vertAlign val="subscript"/>
        <sz val="11"/>
        <color rgb="FF000000"/>
        <rFont val="Calibri"/>
        <family val="2"/>
      </rPr>
      <t>2</t>
    </r>
    <r>
      <rPr>
        <b/>
        <sz val="11"/>
        <color indexed="8"/>
        <rFont val="Calibri"/>
        <family val="2"/>
      </rPr>
      <t>O</t>
    </r>
  </si>
  <si>
    <r>
      <t>CO</t>
    </r>
    <r>
      <rPr>
        <b/>
        <vertAlign val="subscript"/>
        <sz val="11"/>
        <color rgb="FF000000"/>
        <rFont val="Calibri"/>
        <family val="2"/>
      </rPr>
      <t>2e</t>
    </r>
  </si>
  <si>
    <r>
      <t>NO</t>
    </r>
    <r>
      <rPr>
        <b/>
        <vertAlign val="subscript"/>
        <sz val="11"/>
        <color rgb="FF212121"/>
        <rFont val="Calibri"/>
        <family val="2"/>
      </rPr>
      <t>x</t>
    </r>
  </si>
  <si>
    <r>
      <t>CH</t>
    </r>
    <r>
      <rPr>
        <b/>
        <vertAlign val="subscript"/>
        <sz val="11"/>
        <color rgb="FF212121"/>
        <rFont val="Calibri"/>
        <family val="2"/>
      </rPr>
      <t>4</t>
    </r>
  </si>
  <si>
    <r>
      <t>N</t>
    </r>
    <r>
      <rPr>
        <b/>
        <vertAlign val="subscript"/>
        <sz val="11"/>
        <color rgb="FF212121"/>
        <rFont val="Calibri"/>
        <family val="2"/>
      </rPr>
      <t>2</t>
    </r>
    <r>
      <rPr>
        <b/>
        <sz val="11"/>
        <color rgb="FF212121"/>
        <rFont val="Calibri"/>
        <family val="2"/>
      </rPr>
      <t>O</t>
    </r>
  </si>
  <si>
    <r>
      <t>CO</t>
    </r>
    <r>
      <rPr>
        <b/>
        <vertAlign val="subscript"/>
        <sz val="11"/>
        <color rgb="FF212121"/>
        <rFont val="Calibri"/>
        <family val="2"/>
      </rPr>
      <t>2</t>
    </r>
  </si>
  <si>
    <r>
      <t>CO</t>
    </r>
    <r>
      <rPr>
        <b/>
        <vertAlign val="subscript"/>
        <sz val="11"/>
        <color rgb="FF212121"/>
        <rFont val="Calibri"/>
        <family val="2"/>
      </rPr>
      <t>2C</t>
    </r>
  </si>
  <si>
    <r>
      <t>CO</t>
    </r>
    <r>
      <rPr>
        <b/>
        <vertAlign val="subscript"/>
        <sz val="11"/>
        <color rgb="FF000000"/>
        <rFont val="Calibri"/>
        <family val="2"/>
      </rPr>
      <t>2</t>
    </r>
    <r>
      <rPr>
        <b/>
        <sz val="11"/>
        <color indexed="8"/>
        <rFont val="Calibri"/>
        <family val="2"/>
      </rPr>
      <t>c</t>
    </r>
  </si>
  <si>
    <t>Fugitives - Truck to Ship</t>
  </si>
  <si>
    <r>
      <t>CH</t>
    </r>
    <r>
      <rPr>
        <vertAlign val="subscript"/>
        <sz val="11"/>
        <rFont val="Calibri"/>
        <family val="2"/>
        <scheme val="minor"/>
      </rPr>
      <t>4</t>
    </r>
    <r>
      <rPr>
        <sz val="11"/>
        <rFont val="Calibri"/>
        <family val="2"/>
        <scheme val="minor"/>
      </rPr>
      <t xml:space="preserve"> Emissions
(g/mmBTU)</t>
    </r>
  </si>
  <si>
    <r>
      <t>CO</t>
    </r>
    <r>
      <rPr>
        <vertAlign val="subscript"/>
        <sz val="11"/>
        <rFont val="Calibri"/>
        <family val="2"/>
        <scheme val="minor"/>
      </rPr>
      <t>2e</t>
    </r>
    <r>
      <rPr>
        <sz val="11"/>
        <rFont val="Calibri"/>
        <family val="2"/>
        <scheme val="minor"/>
      </rPr>
      <t xml:space="preserve"> Emissions
(g/mmBTU)</t>
    </r>
  </si>
  <si>
    <r>
      <t>CH</t>
    </r>
    <r>
      <rPr>
        <b/>
        <vertAlign val="subscript"/>
        <sz val="11"/>
        <rFont val="Calibri"/>
        <family val="2"/>
        <scheme val="minor"/>
      </rPr>
      <t>4</t>
    </r>
    <r>
      <rPr>
        <b/>
        <sz val="11"/>
        <rFont val="Calibri"/>
        <family val="2"/>
        <scheme val="minor"/>
      </rPr>
      <t xml:space="preserve"> Emissions
(tonne/ year)</t>
    </r>
  </si>
  <si>
    <t>Total End Use Diesel /Fuel Oil/LNG</t>
  </si>
  <si>
    <t>Upstream Diesel  production</t>
  </si>
  <si>
    <t>Gig  harbor Diesel truck fuel</t>
  </si>
  <si>
    <t>Upstream LNG/Diesel/Bunker fuel  production</t>
  </si>
  <si>
    <t>Natural Gas upstream WA</t>
  </si>
  <si>
    <t>Natural Gas upstream BC  FORTIS GIG HARBOR</t>
  </si>
  <si>
    <t>Natural Gas upstream BC</t>
  </si>
  <si>
    <t>Emissions g/mmBTU (LHV)</t>
  </si>
  <si>
    <t>gal/year (365)</t>
  </si>
  <si>
    <t>Check</t>
  </si>
  <si>
    <t>If Capacity is 500.000 gal/day</t>
  </si>
  <si>
    <t xml:space="preserve">a factor of 2 is applaied </t>
  </si>
  <si>
    <t>Input for 250.000 gal /day</t>
  </si>
  <si>
    <r>
      <t xml:space="preserve">
CH</t>
    </r>
    <r>
      <rPr>
        <b/>
        <vertAlign val="subscript"/>
        <sz val="11"/>
        <rFont val="Calibri"/>
        <family val="2"/>
        <scheme val="minor"/>
      </rPr>
      <t>4</t>
    </r>
    <r>
      <rPr>
        <b/>
        <sz val="11"/>
        <rFont val="Calibri"/>
        <family val="2"/>
        <scheme val="minor"/>
      </rPr>
      <t xml:space="preserve"> (g/mmBTU delivered)</t>
    </r>
  </si>
  <si>
    <r>
      <t>CO</t>
    </r>
    <r>
      <rPr>
        <b/>
        <vertAlign val="subscript"/>
        <sz val="11"/>
        <rFont val="Calibri"/>
        <family val="2"/>
        <scheme val="minor"/>
      </rPr>
      <t>2e</t>
    </r>
    <r>
      <rPr>
        <b/>
        <sz val="11"/>
        <rFont val="Calibri"/>
        <family val="2"/>
        <scheme val="minor"/>
      </rPr>
      <t xml:space="preserve">
(g/mmBTU delivered)</t>
    </r>
  </si>
  <si>
    <r>
      <t>CO</t>
    </r>
    <r>
      <rPr>
        <b/>
        <vertAlign val="subscript"/>
        <sz val="11"/>
        <rFont val="Calibri"/>
        <family val="2"/>
        <scheme val="minor"/>
      </rPr>
      <t>2e</t>
    </r>
    <r>
      <rPr>
        <b/>
        <sz val="11"/>
        <rFont val="Calibri"/>
        <family val="2"/>
        <scheme val="minor"/>
      </rPr>
      <t xml:space="preserve"> Emissions
(tonne/year)</t>
    </r>
  </si>
  <si>
    <t>Fugitive Emissions</t>
  </si>
  <si>
    <t>Transmission</t>
  </si>
  <si>
    <r>
      <t>LNG pretreatment CO</t>
    </r>
    <r>
      <rPr>
        <b/>
        <vertAlign val="subscript"/>
        <sz val="11"/>
        <color rgb="FF000000"/>
        <rFont val="Calibri"/>
        <family val="2"/>
      </rPr>
      <t>2</t>
    </r>
    <r>
      <rPr>
        <b/>
        <sz val="11"/>
        <color indexed="8"/>
        <rFont val="Calibri"/>
        <family val="2"/>
      </rPr>
      <t xml:space="preserve"> seperation efficiency</t>
    </r>
  </si>
  <si>
    <t xml:space="preserve"> End Use LNG</t>
  </si>
  <si>
    <t>Annual throughput</t>
  </si>
  <si>
    <t>Flaring (combustion)</t>
  </si>
  <si>
    <t>Flaring from LPG (combustion)</t>
  </si>
  <si>
    <t>Vaporizing onside peak shaving</t>
  </si>
  <si>
    <t>Other Marine LNG  (by Bunker Barge)</t>
  </si>
  <si>
    <t>Vaporizer -On-site Peak Shaving</t>
  </si>
  <si>
    <t>Upstream On-road trucking</t>
  </si>
  <si>
    <t>Upstream Other Marine Diesel  (by Bunker Barge)</t>
  </si>
  <si>
    <t>TOTE Marine Diesel</t>
  </si>
  <si>
    <t>Other Marine Diesel  (by Bunker Barge)</t>
  </si>
  <si>
    <t>Gig harbor Diesel truck fuel</t>
  </si>
  <si>
    <t>Diesel Storage On-road trucking</t>
  </si>
  <si>
    <t>Other Marine Diesel</t>
  </si>
  <si>
    <t>On-road trucking</t>
  </si>
  <si>
    <t>NET 0</t>
  </si>
  <si>
    <t>Boiler primary  fuel is  NG. However, the fuel gas mix can include compressed boil-off gas (BOG) . BID response p.9</t>
  </si>
  <si>
    <t>Heater fired by NG and boil off gas (BOG). BID response p8.- 9 page 12 PSE-BID</t>
  </si>
  <si>
    <t>Using Gas composition and given separation efficiecy</t>
  </si>
  <si>
    <t>Using gas composition calculation and EF of LPG boiler (no flar data)</t>
  </si>
  <si>
    <t>Flaring is used to close C-Balance</t>
  </si>
  <si>
    <t>Using given inventoru see Sheet Fugitives</t>
  </si>
  <si>
    <t>See: BID p 12, and also BID REPORT, ATTACHMENT F (1 page)</t>
  </si>
  <si>
    <t>Response Tacoma LNG Supplementary SEIS Questions, July 07, 2018, page 5</t>
  </si>
  <si>
    <t>Flare LPG</t>
  </si>
  <si>
    <t>Total WA. Gasoline Fuel</t>
  </si>
  <si>
    <t xml:space="preserve">Total Upstream </t>
  </si>
  <si>
    <t>Mass Input/Output: Based on 500,000 gal/day</t>
  </si>
  <si>
    <r>
      <t>CO</t>
    </r>
    <r>
      <rPr>
        <vertAlign val="subscript"/>
        <sz val="11"/>
        <color indexed="8"/>
        <rFont val="Calibri"/>
        <family val="2"/>
      </rPr>
      <t>2</t>
    </r>
  </si>
  <si>
    <t xml:space="preserve">Carbon Mass balance </t>
  </si>
  <si>
    <t>Diesel Genset</t>
  </si>
  <si>
    <t xml:space="preserve">Diesel Truck </t>
  </si>
  <si>
    <t>Maneuvering</t>
  </si>
  <si>
    <t>Specific Emission   g/mmBtu (LNG product)</t>
  </si>
  <si>
    <t>Total LNG delivery to Gig Harbor per year</t>
  </si>
  <si>
    <t>General inputs</t>
  </si>
  <si>
    <t xml:space="preserve">Calculation of Annual  Diesel Truck Consumption </t>
  </si>
  <si>
    <t>Diesel Consumption</t>
  </si>
  <si>
    <t>Tractor engine</t>
  </si>
  <si>
    <t>Annual Fuel delivery to tractors</t>
  </si>
  <si>
    <t>Total  LNG Tacoma -to-Wheels</t>
  </si>
  <si>
    <t>LNG Project - LNG Tractor</t>
  </si>
  <si>
    <t>Power Total during construction (kWh)</t>
  </si>
  <si>
    <t>Vent/flare</t>
  </si>
  <si>
    <t>Pretreatment fired NG</t>
  </si>
  <si>
    <t>Pretreatment Vent</t>
  </si>
  <si>
    <t>LPG flaring</t>
  </si>
  <si>
    <t>C2/C5+</t>
  </si>
  <si>
    <t>Gig Harbor LNG</t>
  </si>
  <si>
    <t>Power Peak Shaving</t>
  </si>
  <si>
    <t>Gig Harbor Delivery</t>
  </si>
  <si>
    <t>LNG End Use</t>
  </si>
  <si>
    <t>LNG Heater Capacity</t>
  </si>
  <si>
    <t>LPG in Waste Gas</t>
  </si>
  <si>
    <t>Waste Gas, Mass Balance</t>
  </si>
  <si>
    <t>Duct Firing</t>
  </si>
  <si>
    <t>Assume barge delivers MDO for displaced emissions</t>
  </si>
  <si>
    <t>Non Action</t>
  </si>
  <si>
    <t>Explain losses</t>
  </si>
  <si>
    <t>L</t>
  </si>
  <si>
    <t>loss</t>
  </si>
  <si>
    <t>g</t>
  </si>
  <si>
    <t>GREET</t>
  </si>
  <si>
    <t>(mmBtu/hr)</t>
  </si>
  <si>
    <t>Calculated</t>
  </si>
  <si>
    <t>Source: Capacity, NG use 2018-05-25 PSE Submittal ATTACHMENT F page 118</t>
  </si>
  <si>
    <t>Source: Capacity, NG use 2018-05-25 PSE Submittal ATTACHMENT F page 119</t>
  </si>
  <si>
    <t>Source: Capacity, NG use 2018-05-25 PSE Submittal ATTACHMENT F page 120</t>
  </si>
  <si>
    <t>Source: Capacity, NG use 2018-05-25 PSE Submittal  page 12</t>
  </si>
  <si>
    <t xml:space="preserve"> (gal/h)</t>
  </si>
  <si>
    <t>Diesel genrator</t>
  </si>
  <si>
    <t xml:space="preserve">WPG: Water Propylene Glycol </t>
  </si>
  <si>
    <t>Source: LCA assumption 8760h/yr-240h/year (pipeline used by the vaporizer)</t>
  </si>
  <si>
    <t>NG Boiler</t>
  </si>
  <si>
    <t>LNG Tacoma</t>
  </si>
  <si>
    <t>LNG Tacoma End Use</t>
  </si>
  <si>
    <t>Short tables</t>
  </si>
  <si>
    <t>see also https://www.marad.dot.gov/wp-content/uploads/pdf/Methane-emissions-from-LNG-bunkering-20151124-final.pdf</t>
  </si>
  <si>
    <t>Source: 2018-05-25 PSE Submittal  page 78, table LNG Bunkering Emissions</t>
  </si>
  <si>
    <t>Source: 2018-05-25 PSE Submittal  page 79, tables TOTE Vessel Emissions</t>
  </si>
  <si>
    <t>NG Upstream</t>
  </si>
  <si>
    <t>Const + Diesl</t>
  </si>
  <si>
    <t>Direct LNG Plant</t>
  </si>
  <si>
    <t>TOTE Marine Diesel Pilot fuel</t>
  </si>
  <si>
    <t>Truck-to-Ship Bunkering Pilot Fuel</t>
  </si>
  <si>
    <t>Other Marine Diesel  Pilot Fuel</t>
  </si>
  <si>
    <t>Gig harbor LNG</t>
  </si>
  <si>
    <t>Gig  harbor LNG</t>
  </si>
  <si>
    <t>T 4.2</t>
  </si>
  <si>
    <t>Upstream Life Cycle</t>
  </si>
  <si>
    <t xml:space="preserve">Net Emissions </t>
  </si>
  <si>
    <t>Tacoma LNG</t>
  </si>
  <si>
    <t>No Action Alternative</t>
  </si>
  <si>
    <t>GHG Emissions (tonne/year)</t>
  </si>
  <si>
    <t>Net Emissions</t>
  </si>
  <si>
    <t>Emissions (tonne/yr)</t>
  </si>
  <si>
    <t>D</t>
  </si>
  <si>
    <t>Gig harbor NG &amp; LNG production</t>
  </si>
  <si>
    <t>MDO</t>
  </si>
  <si>
    <t>Old value</t>
  </si>
  <si>
    <t>from BID</t>
  </si>
  <si>
    <t>g/mmBtu, check</t>
  </si>
  <si>
    <t>Upstream GHG Emissions for Tacoma LNG</t>
  </si>
  <si>
    <t>Use Rate</t>
  </si>
  <si>
    <t>GREET2_2017</t>
  </si>
  <si>
    <t>Direct Combustion Emission Rate</t>
  </si>
  <si>
    <t>Boiler, NG</t>
  </si>
  <si>
    <t>Pump Power</t>
  </si>
  <si>
    <t>NG - fired NG</t>
  </si>
  <si>
    <t>To LNG</t>
  </si>
  <si>
    <t>Waste Gas</t>
  </si>
  <si>
    <t>(g CO2/mmBtu), LHV</t>
  </si>
  <si>
    <t>Actual result based on LNG composition</t>
  </si>
  <si>
    <t>Flare Check</t>
  </si>
  <si>
    <t>Waste Gas Flaring</t>
  </si>
  <si>
    <t>Type in</t>
  </si>
  <si>
    <t>TA</t>
  </si>
  <si>
    <t>TAUP</t>
  </si>
  <si>
    <t>TAPP</t>
  </si>
  <si>
    <t>Pretreatment CO2</t>
  </si>
  <si>
    <t>Included above</t>
  </si>
  <si>
    <t>LNG Pretreatment Boiler</t>
  </si>
  <si>
    <t>Natural Gas Extraction and processing</t>
  </si>
  <si>
    <t>Distribution</t>
  </si>
  <si>
    <t>2 x</t>
  </si>
  <si>
    <t>Flare waste Gas</t>
  </si>
  <si>
    <t>Propane Volume</t>
  </si>
  <si>
    <t>kg/day</t>
  </si>
  <si>
    <t>Emission Factor (g/mmBtu), LHV</t>
  </si>
  <si>
    <t>Waste gas for heater</t>
  </si>
  <si>
    <t>Pwr Mix</t>
  </si>
  <si>
    <t>Natural Gas Upstream</t>
  </si>
  <si>
    <t>GHGenius</t>
  </si>
  <si>
    <t>Life Cycle Step</t>
  </si>
  <si>
    <t>Total Emissions (Tacoma LNG)</t>
  </si>
  <si>
    <t>Diesel Peak Shaving for Power</t>
  </si>
  <si>
    <t>Input Natural Gas</t>
  </si>
  <si>
    <r>
      <t>The carbon balance accounts for the hydocarbons and CO</t>
    </r>
    <r>
      <rPr>
        <vertAlign val="subscript"/>
        <sz val="14"/>
        <color indexed="8"/>
        <rFont val="Calibri"/>
        <family val="2"/>
      </rPr>
      <t>2</t>
    </r>
    <r>
      <rPr>
        <sz val="14"/>
        <color indexed="8"/>
        <rFont val="Calibri"/>
        <family val="2"/>
      </rPr>
      <t xml:space="preserve"> in the natural gas such that the carbon entering the LNG system is equal to the carbon </t>
    </r>
  </si>
  <si>
    <t>LNG  for Peak shaving</t>
  </si>
  <si>
    <t>MJ/gal</t>
  </si>
  <si>
    <t>NG Feed (lb/day)</t>
  </si>
  <si>
    <t>ratio
NG/LNG</t>
  </si>
  <si>
    <t>LHV, Btu/gal</t>
  </si>
  <si>
    <t>Emissions (t/year)</t>
  </si>
  <si>
    <t>NEW LNG Plant</t>
  </si>
  <si>
    <t>EER</t>
  </si>
  <si>
    <t>Slip</t>
  </si>
  <si>
    <t>Looks like LNG</t>
  </si>
  <si>
    <t>Gbtu</t>
  </si>
  <si>
    <t>End Use</t>
  </si>
  <si>
    <t>Marine Fuel + Operations losses</t>
  </si>
  <si>
    <t>Info for Table</t>
  </si>
  <si>
    <t xml:space="preserve"> Enduse Scenario</t>
  </si>
  <si>
    <t>ktonne/year</t>
  </si>
  <si>
    <t>with Loss Factor</t>
  </si>
  <si>
    <t xml:space="preserve"> NG Btu/gal LNG</t>
  </si>
  <si>
    <t>EER for Marine</t>
  </si>
  <si>
    <t>NG</t>
  </si>
  <si>
    <t>No Action</t>
  </si>
  <si>
    <t>Pilot Fuel</t>
  </si>
  <si>
    <t>Marine LNG by Barge</t>
  </si>
  <si>
    <t>Marine by Truck</t>
  </si>
  <si>
    <t>LNG Plant and Fugitives</t>
  </si>
  <si>
    <t>g/mm Btu H2</t>
  </si>
  <si>
    <t>Energy %</t>
  </si>
  <si>
    <t>loss factor</t>
  </si>
  <si>
    <t>loss facor</t>
  </si>
  <si>
    <t>Btu/mile</t>
  </si>
  <si>
    <t>GWh/year</t>
  </si>
  <si>
    <t>Scenario A 250,000 gal/d</t>
  </si>
  <si>
    <t>Scenario B 500,000 gal/d</t>
  </si>
  <si>
    <t>For Plotting</t>
  </si>
  <si>
    <t>17</t>
  </si>
  <si>
    <t>Source: PSE-BID</t>
  </si>
  <si>
    <t>1 if Bunker Barge Only for Scenario A</t>
  </si>
  <si>
    <t>Scenario A Volume Data</t>
  </si>
  <si>
    <t>PSE Estimate</t>
  </si>
  <si>
    <t>Upstream Life Cycle Data.  Source: GHGenius for BC, GREET NA Natural Gas, PSE FEIS for BC inventory</t>
  </si>
  <si>
    <t>BC Inventory</t>
  </si>
  <si>
    <r>
      <t>CO</t>
    </r>
    <r>
      <rPr>
        <b/>
        <vertAlign val="subscript"/>
        <sz val="11"/>
        <rFont val="Calibri"/>
        <family val="2"/>
      </rPr>
      <t>2e</t>
    </r>
  </si>
  <si>
    <t>Natural Gas upstream from PSE for Lower Sensitivity</t>
  </si>
  <si>
    <t>Range</t>
  </si>
  <si>
    <t>1 to 1.015</t>
  </si>
  <si>
    <t>NET 0 difference</t>
  </si>
  <si>
    <t>Tacoma LNG Emissions</t>
  </si>
  <si>
    <t>New ships have 0.1% loss</t>
  </si>
  <si>
    <r>
      <t>CO</t>
    </r>
    <r>
      <rPr>
        <b/>
        <vertAlign val="subscript"/>
        <sz val="11"/>
        <color indexed="8"/>
        <rFont val="Calibri"/>
        <family val="2"/>
      </rPr>
      <t>2</t>
    </r>
    <r>
      <rPr>
        <b/>
        <sz val="11"/>
        <color indexed="8"/>
        <rFont val="Calibri"/>
        <family val="2"/>
      </rPr>
      <t>e FEIS</t>
    </r>
  </si>
  <si>
    <t>FEIS uses EF provided by CB&amp;I and flare vendor   See EXCEL 2018  05-25 Tacoma LNG Project Greenhouse Gas Summary SHEET  GHG Summary A52</t>
  </si>
  <si>
    <t>uses EF of 53.06 kg/mmBtu for NG See EXCEL 2018  05-25 Tacoma LNG Project Greenhouse Gas Summary SHEET  GHG Summary L8</t>
  </si>
  <si>
    <t>From PSE</t>
  </si>
  <si>
    <t>LNG Output</t>
  </si>
  <si>
    <t>from PSE</t>
  </si>
  <si>
    <r>
      <t>Vaporizer Flue Gas CO</t>
    </r>
    <r>
      <rPr>
        <vertAlign val="subscript"/>
        <sz val="11"/>
        <color indexed="8"/>
        <rFont val="Calibri Light"/>
        <family val="2"/>
      </rPr>
      <t>2</t>
    </r>
  </si>
  <si>
    <t>t/t from mass bal</t>
  </si>
  <si>
    <t>t/t from PSE</t>
  </si>
  <si>
    <t>in the combustion gas, fugitive emissions and LNG. Carbon in the Flared gas ex. LPG is determined by difference. Inputs to the analysis include</t>
  </si>
  <si>
    <t>overall NG to LNG mass balance, and fired pretreament NG. Waste gas to flare is based on elemental composition and mass flows.</t>
  </si>
  <si>
    <t>Active Flow Sheet on the right</t>
  </si>
  <si>
    <t>This way   ----&gt;</t>
  </si>
  <si>
    <t>Yes</t>
  </si>
  <si>
    <t>Unit</t>
  </si>
  <si>
    <t>lb/lb LNG</t>
  </si>
  <si>
    <t>Electricity</t>
  </si>
  <si>
    <t>kWh/1000 gal LNG</t>
  </si>
  <si>
    <t>Energy Efficiency</t>
  </si>
  <si>
    <t>Marine vessel bunkering, truck CH4</t>
  </si>
  <si>
    <t>Marine Vessel Bunkering, truck</t>
  </si>
  <si>
    <t>Bunkering and Transfer Fugitives</t>
  </si>
  <si>
    <t>"Sankey" flow values</t>
  </si>
  <si>
    <t>no power</t>
  </si>
  <si>
    <t>contruction</t>
  </si>
  <si>
    <t>power</t>
  </si>
  <si>
    <t>power and contruction power</t>
  </si>
  <si>
    <t>just CH4</t>
  </si>
  <si>
    <t>Scenario:</t>
  </si>
  <si>
    <t>Direct End Use</t>
  </si>
  <si>
    <t>DO NOT PRINT</t>
  </si>
  <si>
    <t>Do not Print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</si>
</sst>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3" formatCode="_(* #,##0.00_);_(* \(#,##0.00\);_(* &quot;-&quot;??_);_(@_)"/>
    <numFmt numFmtId="164" formatCode="_(* #,##0.0_);_(* \(#,##0.0\);_(* &quot;-&quot;??_);_(@_)"/>
    <numFmt numFmtId="165" formatCode="_(* #,##0_);_(* \(#,##0\);_(* &quot;-&quot;??_);_(@_)"/>
    <numFmt numFmtId="166" formatCode="0.000"/>
    <numFmt numFmtId="167" formatCode="0.0"/>
    <numFmt numFmtId="168" formatCode="0.0%"/>
    <numFmt numFmtId="169" formatCode="#,##0.0"/>
    <numFmt numFmtId="170" formatCode="#,##0.000"/>
    <numFmt numFmtId="171" formatCode="0.00000"/>
    <numFmt numFmtId="172" formatCode="0.000000"/>
    <numFmt numFmtId="173" formatCode="0.0000"/>
    <numFmt numFmtId="174" formatCode="0_)"/>
    <numFmt numFmtId="175" formatCode="0.000000000000"/>
    <numFmt numFmtId="176" formatCode="#,##0.0000000"/>
    <numFmt numFmtId="177" formatCode="0.0E+00"/>
    <numFmt numFmtId="178" formatCode="#,##0.0000"/>
    <numFmt numFmtId="179" formatCode="#,##0.00000"/>
    <numFmt numFmtId="180" formatCode="0.0000%"/>
    <numFmt numFmtId="181" formatCode="0.000%"/>
    <numFmt numFmtId="182" formatCode="0.00000000"/>
  </numFmts>
  <fonts count="179">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0"/>
      <name val="Arial"/>
      <family val="2"/>
    </font>
    <font>
      <b/>
      <sz val="11"/>
      <color indexed="63"/>
      <name val="Calibri"/>
      <family val="2"/>
    </font>
    <font>
      <sz val="10"/>
      <name val="Helv"/>
      <family val="2"/>
    </font>
    <font>
      <b/>
      <sz val="18"/>
      <color indexed="56"/>
      <name val="Cambria"/>
      <family val="2"/>
    </font>
    <font>
      <b/>
      <sz val="11"/>
      <color indexed="8"/>
      <name val="Calibri"/>
      <family val="2"/>
    </font>
    <font>
      <sz val="8"/>
      <name val="Calibri"/>
      <family val="2"/>
    </font>
    <font>
      <b/>
      <sz val="12"/>
      <name val="Arial"/>
      <family val="2"/>
    </font>
    <font>
      <sz val="12"/>
      <name val="Arial"/>
      <family val="2"/>
    </font>
    <font>
      <sz val="8"/>
      <name val="Arial"/>
      <family val="2"/>
    </font>
    <font>
      <b/>
      <sz val="8"/>
      <name val="Arial"/>
      <family val="2"/>
    </font>
    <font>
      <b/>
      <vertAlign val="subscript"/>
      <sz val="8"/>
      <name val="Arial"/>
      <family val="2"/>
    </font>
    <font>
      <sz val="11"/>
      <color indexed="8"/>
      <name val="Arial"/>
      <family val="2"/>
    </font>
    <font>
      <b/>
      <sz val="8"/>
      <color indexed="8"/>
      <name val="Arial"/>
      <family val="2"/>
    </font>
    <font>
      <b/>
      <sz val="8"/>
      <color indexed="12"/>
      <name val="Arial"/>
      <family val="2"/>
    </font>
    <font>
      <b/>
      <vertAlign val="superscript"/>
      <sz val="8"/>
      <name val="Arial"/>
      <family val="2"/>
    </font>
    <font>
      <sz val="8"/>
      <color indexed="8"/>
      <name val="Arial"/>
      <family val="2"/>
    </font>
    <font>
      <b/>
      <sz val="11"/>
      <color indexed="8"/>
      <name val="Arial"/>
      <family val="2"/>
    </font>
    <font>
      <b/>
      <sz val="9"/>
      <name val="Arial"/>
      <family val="2"/>
    </font>
    <font>
      <sz val="9"/>
      <name val="Arial"/>
      <family val="2"/>
    </font>
    <font>
      <sz val="9"/>
      <color indexed="81"/>
      <name val="Tahoma"/>
      <family val="2"/>
    </font>
    <font>
      <b/>
      <sz val="9"/>
      <color indexed="81"/>
      <name val="Tahoma"/>
      <family val="2"/>
    </font>
    <font>
      <u/>
      <sz val="11"/>
      <color indexed="8"/>
      <name val="Calibri"/>
      <family val="2"/>
    </font>
    <font>
      <sz val="11"/>
      <name val="Calibri"/>
      <family val="2"/>
    </font>
    <font>
      <sz val="9"/>
      <color indexed="8"/>
      <name val="Arial"/>
      <family val="2"/>
    </font>
    <font>
      <vertAlign val="subscript"/>
      <sz val="9"/>
      <name val="Arial"/>
      <family val="2"/>
    </font>
    <font>
      <u/>
      <sz val="10"/>
      <color indexed="12"/>
      <name val="Arial"/>
      <family val="2"/>
    </font>
    <font>
      <sz val="10"/>
      <color indexed="8"/>
      <name val="Calibri"/>
      <family val="2"/>
    </font>
    <font>
      <b/>
      <sz val="11"/>
      <name val="Arial"/>
      <family val="2"/>
    </font>
    <font>
      <b/>
      <sz val="10"/>
      <name val="Arial"/>
      <family val="2"/>
    </font>
    <font>
      <b/>
      <vertAlign val="subscript"/>
      <sz val="11"/>
      <color indexed="8"/>
      <name val="Calibri"/>
      <family val="2"/>
    </font>
    <font>
      <sz val="11"/>
      <color rgb="FFFF0000"/>
      <name val="Calibri"/>
      <family val="2"/>
    </font>
    <font>
      <sz val="11"/>
      <color rgb="FF000000"/>
      <name val="Calibri"/>
      <family val="2"/>
    </font>
    <font>
      <u/>
      <sz val="11"/>
      <color rgb="FF000000"/>
      <name val="Calibri"/>
      <family val="2"/>
    </font>
    <font>
      <b/>
      <sz val="11"/>
      <color rgb="FF000000"/>
      <name val="Calibri"/>
      <family val="2"/>
    </font>
    <font>
      <sz val="11"/>
      <color indexed="8"/>
      <name val="Times New Roman"/>
      <family val="1"/>
    </font>
    <font>
      <sz val="11"/>
      <color theme="0" tint="-0.249977111117893"/>
      <name val="Calibri"/>
      <family val="2"/>
    </font>
    <font>
      <b/>
      <sz val="11"/>
      <color theme="0" tint="-0.249977111117893"/>
      <name val="Calibri"/>
      <family val="2"/>
    </font>
    <font>
      <u/>
      <sz val="11"/>
      <color theme="0" tint="-0.249977111117893"/>
      <name val="Calibri"/>
      <family val="2"/>
    </font>
    <font>
      <b/>
      <sz val="11"/>
      <color rgb="FFFF0000"/>
      <name val="Calibri"/>
      <family val="2"/>
    </font>
    <font>
      <sz val="11"/>
      <color theme="4" tint="-0.249977111117893"/>
      <name val="Calibri"/>
      <family val="2"/>
    </font>
    <font>
      <b/>
      <sz val="11"/>
      <name val="Calibri"/>
      <family val="2"/>
    </font>
    <font>
      <sz val="11"/>
      <color theme="0" tint="-0.34998626667073579"/>
      <name val="Calibri"/>
      <family val="2"/>
    </font>
    <font>
      <sz val="8.5"/>
      <color indexed="8"/>
      <name val="Calibri"/>
      <family val="2"/>
    </font>
    <font>
      <b/>
      <sz val="10"/>
      <name val="Calibri"/>
      <family val="2"/>
      <scheme val="minor"/>
    </font>
    <font>
      <sz val="11"/>
      <color indexed="8"/>
      <name val="Calibri"/>
      <family val="2"/>
      <scheme val="minor"/>
    </font>
    <font>
      <sz val="10"/>
      <color indexed="8"/>
      <name val="Calibri"/>
      <family val="2"/>
      <scheme val="minor"/>
    </font>
    <font>
      <sz val="8"/>
      <color rgb="FFFF0000"/>
      <name val="Arial"/>
      <family val="2"/>
    </font>
    <font>
      <sz val="11"/>
      <color rgb="FF000000"/>
      <name val="Times New Roman"/>
      <family val="1"/>
    </font>
    <font>
      <b/>
      <u/>
      <sz val="9"/>
      <name val="Arial"/>
      <family val="2"/>
    </font>
    <font>
      <sz val="11"/>
      <color theme="4" tint="-0.499984740745262"/>
      <name val="Calibri"/>
      <family val="2"/>
    </font>
    <font>
      <sz val="9"/>
      <color theme="4" tint="-0.499984740745262"/>
      <name val="Arial"/>
      <family val="2"/>
    </font>
    <font>
      <sz val="11"/>
      <color rgb="FF0070C0"/>
      <name val="Calibri"/>
      <family val="2"/>
    </font>
    <font>
      <sz val="10"/>
      <color rgb="FF0070C0"/>
      <name val="Times New Roman"/>
      <family val="1"/>
    </font>
    <font>
      <b/>
      <sz val="11"/>
      <color theme="4" tint="-0.249977111117893"/>
      <name val="Calibri"/>
      <family val="2"/>
    </font>
    <font>
      <b/>
      <sz val="14"/>
      <color indexed="8"/>
      <name val="Calibri"/>
      <family val="2"/>
    </font>
    <font>
      <b/>
      <sz val="14"/>
      <color indexed="8"/>
      <name val="Calibri"/>
      <family val="2"/>
      <scheme val="minor"/>
    </font>
    <font>
      <b/>
      <sz val="11"/>
      <color indexed="8"/>
      <name val="Calibri"/>
      <family val="2"/>
      <scheme val="minor"/>
    </font>
    <font>
      <sz val="11"/>
      <color indexed="62"/>
      <name val="Calibri"/>
      <family val="2"/>
      <scheme val="minor"/>
    </font>
    <font>
      <b/>
      <sz val="11"/>
      <name val="Calibri"/>
      <family val="2"/>
      <scheme val="minor"/>
    </font>
    <font>
      <sz val="11"/>
      <name val="Calibri"/>
      <family val="2"/>
      <scheme val="minor"/>
    </font>
    <font>
      <sz val="11"/>
      <color indexed="12"/>
      <name val="Calibri"/>
      <family val="2"/>
      <scheme val="minor"/>
    </font>
    <font>
      <b/>
      <vertAlign val="subscript"/>
      <sz val="11"/>
      <name val="Calibri"/>
      <family val="2"/>
      <scheme val="minor"/>
    </font>
    <font>
      <sz val="11"/>
      <color theme="4" tint="-0.249977111117893"/>
      <name val="Calibri"/>
      <family val="2"/>
      <scheme val="minor"/>
    </font>
    <font>
      <sz val="9"/>
      <color theme="4" tint="-0.249977111117893"/>
      <name val="Arial"/>
      <family val="2"/>
    </font>
    <font>
      <sz val="11"/>
      <color theme="4"/>
      <name val="Calibri"/>
      <family val="2"/>
    </font>
    <font>
      <sz val="5.5"/>
      <color indexed="8"/>
      <name val="Calibri"/>
      <family val="2"/>
    </font>
    <font>
      <b/>
      <sz val="9"/>
      <color indexed="8"/>
      <name val="Calibri"/>
      <family val="2"/>
    </font>
    <font>
      <b/>
      <sz val="11"/>
      <color theme="1"/>
      <name val="Calibri"/>
      <family val="2"/>
      <scheme val="minor"/>
    </font>
    <font>
      <sz val="11"/>
      <color rgb="FF7030A0"/>
      <name val="Calibri"/>
      <family val="2"/>
      <scheme val="minor"/>
    </font>
    <font>
      <sz val="8"/>
      <color theme="1"/>
      <name val="Arial"/>
      <family val="2"/>
    </font>
    <font>
      <b/>
      <sz val="11"/>
      <color rgb="FF7030A0"/>
      <name val="Calibri"/>
      <family val="2"/>
      <scheme val="minor"/>
    </font>
    <font>
      <sz val="10"/>
      <name val="Century"/>
      <family val="1"/>
    </font>
    <font>
      <b/>
      <vertAlign val="superscript"/>
      <sz val="11"/>
      <name val="Calibri"/>
      <family val="2"/>
      <scheme val="minor"/>
    </font>
    <font>
      <b/>
      <vertAlign val="superscript"/>
      <sz val="11"/>
      <color theme="1"/>
      <name val="Calibri"/>
      <family val="2"/>
      <scheme val="minor"/>
    </font>
    <font>
      <vertAlign val="superscript"/>
      <sz val="11"/>
      <color rgb="FF7030A0"/>
      <name val="Calibri"/>
      <family val="2"/>
      <scheme val="minor"/>
    </font>
    <font>
      <sz val="11"/>
      <color rgb="FF006100"/>
      <name val="Calibri"/>
      <family val="2"/>
      <scheme val="minor"/>
    </font>
    <font>
      <vertAlign val="superscript"/>
      <sz val="11"/>
      <name val="Calibri"/>
      <family val="2"/>
      <scheme val="minor"/>
    </font>
    <font>
      <sz val="11"/>
      <color rgb="FFFF0000"/>
      <name val="Calibri"/>
      <family val="2"/>
      <scheme val="minor"/>
    </font>
    <font>
      <vertAlign val="superscript"/>
      <sz val="11"/>
      <color theme="1"/>
      <name val="Calibri"/>
      <family val="2"/>
      <scheme val="minor"/>
    </font>
    <font>
      <sz val="11"/>
      <name val="CG Times"/>
      <family val="2"/>
    </font>
    <font>
      <sz val="11"/>
      <color rgb="FF0070C0"/>
      <name val="Calibri"/>
      <family val="2"/>
      <scheme val="minor"/>
    </font>
    <font>
      <sz val="10"/>
      <name val="CG Times (WN)"/>
      <family val="2"/>
    </font>
    <font>
      <sz val="11"/>
      <name val="Symbol"/>
      <family val="1"/>
      <charset val="2"/>
    </font>
    <font>
      <sz val="12"/>
      <name val="CG Times (WN)"/>
      <family val="2"/>
    </font>
    <font>
      <sz val="9"/>
      <name val="Calibri"/>
      <family val="2"/>
      <scheme val="minor"/>
    </font>
    <font>
      <vertAlign val="subscript"/>
      <sz val="11"/>
      <name val="Calibri"/>
      <family val="2"/>
      <scheme val="minor"/>
    </font>
    <font>
      <sz val="10"/>
      <color rgb="FF000000"/>
      <name val="Times New Roman"/>
      <family val="1"/>
    </font>
    <font>
      <sz val="10"/>
      <color rgb="FF000000"/>
      <name val="Arial"/>
      <family val="2"/>
    </font>
    <font>
      <sz val="8"/>
      <color rgb="FF000000"/>
      <name val="Arial"/>
      <family val="2"/>
    </font>
    <font>
      <b/>
      <sz val="10"/>
      <color rgb="FF000000"/>
      <name val="Arial"/>
      <family val="2"/>
    </font>
    <font>
      <sz val="9"/>
      <color rgb="FF000000"/>
      <name val="Arial"/>
      <family val="2"/>
    </font>
    <font>
      <b/>
      <sz val="12"/>
      <color rgb="FF000000"/>
      <name val="Arial"/>
      <family val="2"/>
    </font>
    <font>
      <sz val="9.5"/>
      <color rgb="FF000000"/>
      <name val="Arial"/>
      <family val="2"/>
    </font>
    <font>
      <sz val="9.5"/>
      <name val="Arial"/>
      <family val="2"/>
    </font>
    <font>
      <vertAlign val="subscript"/>
      <sz val="9.5"/>
      <name val="Arial"/>
      <family val="2"/>
    </font>
    <font>
      <b/>
      <sz val="9.5"/>
      <color rgb="FF000000"/>
      <name val="Arial"/>
      <family val="2"/>
    </font>
    <font>
      <sz val="10"/>
      <color theme="4" tint="-0.249977111117893"/>
      <name val="Arial"/>
      <family val="2"/>
    </font>
    <font>
      <sz val="10"/>
      <color theme="4" tint="-0.499984740745262"/>
      <name val="Arial"/>
      <family val="2"/>
    </font>
    <font>
      <sz val="9"/>
      <color theme="1"/>
      <name val="Arial"/>
      <family val="2"/>
    </font>
    <font>
      <u/>
      <sz val="11"/>
      <color rgb="FFFF0000"/>
      <name val="Calibri"/>
      <family val="2"/>
    </font>
    <font>
      <b/>
      <sz val="14"/>
      <color rgb="FFFF0000"/>
      <name val="Calibri"/>
      <family val="2"/>
      <scheme val="minor"/>
    </font>
    <font>
      <u/>
      <sz val="11"/>
      <color theme="10"/>
      <name val="Calibri"/>
      <family val="2"/>
      <scheme val="minor"/>
    </font>
    <font>
      <b/>
      <sz val="18"/>
      <name val="Calibri"/>
      <family val="2"/>
      <scheme val="minor"/>
    </font>
    <font>
      <b/>
      <sz val="14"/>
      <name val="Calibri"/>
      <family val="2"/>
      <scheme val="minor"/>
    </font>
    <font>
      <i/>
      <sz val="11"/>
      <name val="Calibri"/>
      <family val="2"/>
      <scheme val="minor"/>
    </font>
    <font>
      <b/>
      <i/>
      <sz val="12"/>
      <name val="Calibri"/>
      <family val="2"/>
      <scheme val="minor"/>
    </font>
    <font>
      <sz val="18"/>
      <name val="Calibri"/>
      <family val="2"/>
      <scheme val="minor"/>
    </font>
    <font>
      <i/>
      <sz val="12"/>
      <name val="Calibri"/>
      <family val="2"/>
      <scheme val="minor"/>
    </font>
    <font>
      <u/>
      <sz val="11"/>
      <name val="Calibri"/>
      <family val="2"/>
      <scheme val="minor"/>
    </font>
    <font>
      <sz val="11"/>
      <color theme="4" tint="-0.499984740745262"/>
      <name val="Calibri"/>
      <family val="2"/>
      <scheme val="minor"/>
    </font>
    <font>
      <b/>
      <sz val="16"/>
      <name val="Calibri"/>
      <family val="2"/>
      <scheme val="minor"/>
    </font>
    <font>
      <i/>
      <sz val="12"/>
      <color indexed="8"/>
      <name val="Times New Roman"/>
      <family val="1"/>
    </font>
    <font>
      <b/>
      <sz val="11"/>
      <color theme="0" tint="-0.249977111117893"/>
      <name val="Calibri"/>
      <family val="2"/>
      <scheme val="minor"/>
    </font>
    <font>
      <b/>
      <sz val="10"/>
      <color indexed="8"/>
      <name val="Calibri"/>
      <family val="2"/>
    </font>
    <font>
      <b/>
      <sz val="14"/>
      <color theme="1"/>
      <name val="Calibri"/>
      <family val="2"/>
      <scheme val="minor"/>
    </font>
    <font>
      <i/>
      <sz val="11"/>
      <color theme="1"/>
      <name val="Calibri"/>
      <family val="2"/>
      <scheme val="minor"/>
    </font>
    <font>
      <b/>
      <sz val="11"/>
      <color theme="0"/>
      <name val="Calibri"/>
      <family val="2"/>
      <scheme val="minor"/>
    </font>
    <font>
      <sz val="11"/>
      <color theme="0" tint="-0.14999847407452621"/>
      <name val="Calibri"/>
      <family val="2"/>
    </font>
    <font>
      <b/>
      <sz val="11"/>
      <color theme="0" tint="-0.14999847407452621"/>
      <name val="Calibri"/>
      <family val="2"/>
      <scheme val="minor"/>
    </font>
    <font>
      <i/>
      <sz val="11"/>
      <color theme="0" tint="-0.14999847407452621"/>
      <name val="Calibri"/>
      <family val="2"/>
      <scheme val="minor"/>
    </font>
    <font>
      <i/>
      <sz val="12"/>
      <color rgb="FFFF0000"/>
      <name val="Calibri"/>
      <family val="2"/>
      <scheme val="minor"/>
    </font>
    <font>
      <sz val="10"/>
      <color rgb="FFFF0000"/>
      <name val="Calibri"/>
      <family val="2"/>
      <scheme val="minor"/>
    </font>
    <font>
      <vertAlign val="subscript"/>
      <sz val="11"/>
      <color indexed="8"/>
      <name val="Calibri"/>
      <family val="2"/>
    </font>
    <font>
      <b/>
      <vertAlign val="subscript"/>
      <sz val="9.5"/>
      <name val="Arial"/>
      <family val="2"/>
    </font>
    <font>
      <b/>
      <sz val="9.5"/>
      <name val="Arial"/>
      <family val="2"/>
    </font>
    <font>
      <i/>
      <sz val="9"/>
      <name val="Arial"/>
      <family val="2"/>
    </font>
    <font>
      <vertAlign val="subscript"/>
      <sz val="10"/>
      <name val="Arial"/>
      <family val="2"/>
    </font>
    <font>
      <vertAlign val="subscript"/>
      <sz val="10"/>
      <color rgb="FF000000"/>
      <name val="Arial"/>
      <family val="2"/>
    </font>
    <font>
      <vertAlign val="subscript"/>
      <sz val="9"/>
      <color rgb="FF000000"/>
      <name val="Arial"/>
      <family val="2"/>
    </font>
    <font>
      <b/>
      <vertAlign val="subscript"/>
      <sz val="11"/>
      <color rgb="FF000000"/>
      <name val="Calibri"/>
      <family val="2"/>
    </font>
    <font>
      <b/>
      <sz val="12"/>
      <name val="Calibri"/>
      <family val="2"/>
      <scheme val="minor"/>
    </font>
    <font>
      <b/>
      <sz val="16"/>
      <color indexed="8"/>
      <name val="Calibri"/>
      <family val="2"/>
    </font>
    <font>
      <u/>
      <sz val="11"/>
      <name val="Calibri"/>
      <family val="2"/>
    </font>
    <font>
      <sz val="11"/>
      <color rgb="FF008000"/>
      <name val="Calibri"/>
      <family val="2"/>
    </font>
    <font>
      <b/>
      <sz val="11"/>
      <color theme="4"/>
      <name val="Calibri"/>
      <family val="2"/>
    </font>
    <font>
      <b/>
      <u/>
      <sz val="12"/>
      <name val="Arial"/>
      <family val="2"/>
    </font>
    <font>
      <b/>
      <sz val="11"/>
      <color rgb="FF0070C0"/>
      <name val="Calibri"/>
      <family val="2"/>
    </font>
    <font>
      <sz val="11"/>
      <color rgb="FF0070C0"/>
      <name val="Times New Roman"/>
      <family val="1"/>
    </font>
    <font>
      <sz val="10"/>
      <color theme="4" tint="-0.249977111117893"/>
      <name val="Calibri"/>
      <family val="2"/>
    </font>
    <font>
      <b/>
      <sz val="10"/>
      <color theme="4" tint="-0.249977111117893"/>
      <name val="Calibri"/>
      <family val="2"/>
    </font>
    <font>
      <sz val="10"/>
      <color theme="4" tint="-0.249977111117893"/>
      <name val="Calibri"/>
      <family val="2"/>
      <scheme val="minor"/>
    </font>
    <font>
      <b/>
      <sz val="10"/>
      <color theme="4" tint="-0.249977111117893"/>
      <name val="Calibri"/>
      <family val="2"/>
      <scheme val="minor"/>
    </font>
    <font>
      <b/>
      <sz val="11"/>
      <color theme="4" tint="-0.249977111117893"/>
      <name val="Calibri"/>
      <family val="2"/>
      <scheme val="minor"/>
    </font>
    <font>
      <b/>
      <sz val="12"/>
      <color rgb="FF000000"/>
      <name val="Calibri"/>
      <family val="2"/>
      <scheme val="minor"/>
    </font>
    <font>
      <b/>
      <sz val="11"/>
      <color rgb="FF212121"/>
      <name val="Calibri"/>
      <family val="2"/>
    </font>
    <font>
      <sz val="11"/>
      <color theme="1"/>
      <name val="Calibri"/>
      <family val="2"/>
    </font>
    <font>
      <b/>
      <vertAlign val="subscript"/>
      <sz val="11"/>
      <color rgb="FF212121"/>
      <name val="Calibri"/>
      <family val="2"/>
    </font>
    <font>
      <b/>
      <u/>
      <sz val="14"/>
      <color indexed="8"/>
      <name val="Calibri"/>
      <family val="2"/>
    </font>
    <font>
      <b/>
      <sz val="12"/>
      <color indexed="8"/>
      <name val="Calibri"/>
      <family val="2"/>
    </font>
    <font>
      <sz val="8"/>
      <color indexed="8"/>
      <name val="Calibri"/>
      <family val="2"/>
    </font>
    <font>
      <b/>
      <sz val="11"/>
      <color theme="1"/>
      <name val="Calibri"/>
      <family val="2"/>
    </font>
    <font>
      <sz val="12"/>
      <color indexed="8"/>
      <name val="Calibri"/>
      <family val="2"/>
    </font>
    <font>
      <sz val="14"/>
      <color indexed="8"/>
      <name val="Calibri"/>
      <family val="2"/>
    </font>
    <font>
      <b/>
      <sz val="8"/>
      <color indexed="8"/>
      <name val="Calibri"/>
      <family val="2"/>
    </font>
    <font>
      <vertAlign val="subscript"/>
      <sz val="14"/>
      <color indexed="8"/>
      <name val="Calibri"/>
      <family val="2"/>
    </font>
    <font>
      <sz val="9"/>
      <color indexed="8"/>
      <name val="Calibri"/>
      <family val="2"/>
    </font>
    <font>
      <b/>
      <vertAlign val="subscript"/>
      <sz val="11"/>
      <name val="Calibri"/>
      <family val="2"/>
    </font>
    <font>
      <sz val="11"/>
      <color theme="1" tint="0.34998626667073579"/>
      <name val="Calibri"/>
      <family val="2"/>
    </font>
    <font>
      <b/>
      <sz val="11"/>
      <color theme="1" tint="0.34998626667073579"/>
      <name val="Calibri"/>
      <family val="2"/>
    </font>
    <font>
      <vertAlign val="subscript"/>
      <sz val="11"/>
      <color indexed="8"/>
      <name val="Calibri Light"/>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13"/>
        <bgColor indexed="64"/>
      </patternFill>
    </fill>
    <fill>
      <patternFill patternType="solid">
        <fgColor indexed="11"/>
        <bgColor indexed="9"/>
      </patternFill>
    </fill>
    <fill>
      <patternFill patternType="solid">
        <fgColor indexed="45"/>
        <bgColor indexed="64"/>
      </patternFill>
    </fill>
    <fill>
      <patternFill patternType="solid">
        <fgColor indexed="46"/>
        <bgColor indexed="64"/>
      </patternFill>
    </fill>
    <fill>
      <patternFill patternType="solid">
        <fgColor indexed="42"/>
        <bgColor indexed="64"/>
      </patternFill>
    </fill>
    <fill>
      <patternFill patternType="solid">
        <fgColor indexed="11"/>
        <bgColor indexed="64"/>
      </patternFill>
    </fill>
    <fill>
      <patternFill patternType="solid">
        <fgColor indexed="42"/>
        <bgColor indexed="9"/>
      </patternFill>
    </fill>
    <fill>
      <patternFill patternType="solid">
        <fgColor indexed="45"/>
        <bgColor indexed="9"/>
      </patternFill>
    </fill>
    <fill>
      <patternFill patternType="solid">
        <fgColor indexed="13"/>
        <bgColor indexed="9"/>
      </patternFill>
    </fill>
    <fill>
      <patternFill patternType="solid">
        <fgColor indexed="51"/>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3743705557422"/>
        <bgColor indexed="64"/>
      </patternFill>
    </fill>
    <fill>
      <patternFill patternType="solid">
        <fgColor theme="0" tint="-0.14996795556505021"/>
        <bgColor indexed="64"/>
      </patternFill>
    </fill>
    <fill>
      <patternFill patternType="solid">
        <fgColor rgb="FFC6EFCE"/>
        <bgColor indexed="64"/>
      </patternFill>
    </fill>
    <fill>
      <patternFill patternType="solid">
        <fgColor theme="4" tint="0.59999389629810485"/>
        <bgColor indexed="64"/>
      </patternFill>
    </fill>
    <fill>
      <patternFill patternType="solid">
        <fgColor theme="4" tint="0.59999389629810485"/>
        <bgColor indexed="9"/>
      </patternFill>
    </fill>
    <fill>
      <patternFill patternType="solid">
        <fgColor theme="4" tint="0.59993285927915285"/>
        <bgColor indexed="64"/>
      </patternFill>
    </fill>
    <fill>
      <patternFill patternType="solid">
        <fgColor theme="4" tint="-0.24991607409894101"/>
        <bgColor indexed="64"/>
      </patternFill>
    </fill>
    <fill>
      <patternFill patternType="solid">
        <fgColor rgb="FFFFCC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CECFF"/>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F99FF"/>
        <bgColor indexed="64"/>
      </patternFill>
    </fill>
    <fill>
      <patternFill patternType="solid">
        <fgColor theme="0" tint="-0.249977111117893"/>
        <bgColor indexed="64"/>
      </patternFill>
    </fill>
    <fill>
      <patternFill patternType="solid">
        <fgColor rgb="FFFFC000"/>
        <bgColor indexed="64"/>
      </patternFill>
    </fill>
    <fill>
      <patternFill patternType="solid">
        <fgColor rgb="FFCCFFCC"/>
        <bgColor indexed="64"/>
      </patternFill>
    </fill>
    <fill>
      <patternFill patternType="solid">
        <fgColor rgb="FF92D050"/>
        <bgColor indexed="64"/>
      </patternFill>
    </fill>
    <fill>
      <patternFill patternType="solid">
        <fgColor rgb="FF00B050"/>
        <bgColor indexed="64"/>
      </patternFill>
    </fill>
    <fill>
      <patternFill patternType="solid">
        <fgColor theme="7" tint="0.39997558519241921"/>
        <bgColor indexed="64"/>
      </patternFill>
    </fill>
  </fills>
  <borders count="10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double">
        <color indexed="64"/>
      </top>
      <bottom style="thin">
        <color indexed="64"/>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right style="thin">
        <color rgb="FF000000"/>
      </right>
      <top style="thin">
        <color indexed="64"/>
      </top>
      <bottom style="thin">
        <color rgb="FF000000"/>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style="medium">
        <color auto="1"/>
      </bottom>
      <diagonal/>
    </border>
    <border>
      <left/>
      <right style="thin">
        <color auto="1"/>
      </right>
      <top style="medium">
        <color auto="1"/>
      </top>
      <bottom/>
      <diagonal/>
    </border>
    <border>
      <left/>
      <right/>
      <top/>
      <bottom style="medium">
        <color auto="1"/>
      </bottom>
      <diagonal/>
    </border>
    <border>
      <left/>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theme="0"/>
      </right>
      <top style="thin">
        <color auto="1"/>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auto="1"/>
      </top>
      <bottom style="thin">
        <color theme="0"/>
      </bottom>
      <diagonal/>
    </border>
    <border>
      <left style="thin">
        <color theme="0"/>
      </left>
      <right style="thin">
        <color theme="0"/>
      </right>
      <top style="thin">
        <color theme="0"/>
      </top>
      <bottom style="thin">
        <color auto="1"/>
      </bottom>
      <diagonal/>
    </border>
    <border>
      <left style="thin">
        <color theme="0"/>
      </left>
      <right style="thin">
        <color auto="1"/>
      </right>
      <top style="thin">
        <color auto="1"/>
      </top>
      <bottom style="thin">
        <color theme="0"/>
      </bottom>
      <diagonal/>
    </border>
    <border>
      <left style="thin">
        <color theme="0"/>
      </left>
      <right style="thin">
        <color auto="1"/>
      </right>
      <top style="thin">
        <color theme="0"/>
      </top>
      <bottom style="thin">
        <color auto="1"/>
      </bottom>
      <diagonal/>
    </border>
    <border>
      <left/>
      <right style="thin">
        <color auto="1"/>
      </right>
      <top/>
      <bottom style="double">
        <color auto="1"/>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04">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9" fillId="0" borderId="2" applyNumberFormat="0" applyFill="0" applyAlignment="0" applyProtection="0"/>
    <xf numFmtId="0" fontId="10" fillId="21" borderId="3" applyNumberFormat="0" applyAlignment="0" applyProtection="0"/>
    <xf numFmtId="43" fontId="4" fillId="0" borderId="0" applyFont="0" applyFill="0" applyBorder="0" applyAlignment="0" applyProtection="0"/>
    <xf numFmtId="43" fontId="11" fillId="0" borderId="0" applyFont="0" applyFill="0" applyBorder="0" applyAlignment="0" applyProtection="0"/>
    <xf numFmtId="0" fontId="4" fillId="22" borderId="4" applyNumberFormat="0" applyFont="0" applyAlignment="0" applyProtection="0"/>
    <xf numFmtId="0" fontId="12" fillId="7" borderId="1" applyNumberFormat="0" applyAlignment="0" applyProtection="0"/>
    <xf numFmtId="0" fontId="13"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44" fillId="0" borderId="0" applyNumberFormat="0" applyFill="0" applyBorder="0" applyAlignment="0" applyProtection="0">
      <alignment vertical="top"/>
      <protection locked="0"/>
    </xf>
    <xf numFmtId="0" fontId="12" fillId="7" borderId="1" applyNumberFormat="0" applyAlignment="0" applyProtection="0"/>
    <xf numFmtId="0" fontId="7" fillId="3" borderId="0" applyNumberFormat="0" applyBorder="0" applyAlignment="0" applyProtection="0"/>
    <xf numFmtId="0" fontId="9" fillId="0" borderId="2" applyNumberFormat="0" applyFill="0" applyAlignment="0" applyProtection="0"/>
    <xf numFmtId="0" fontId="18" fillId="23" borderId="0" applyNumberFormat="0" applyBorder="0" applyAlignment="0" applyProtection="0"/>
    <xf numFmtId="0" fontId="18" fillId="23" borderId="0" applyNumberFormat="0" applyBorder="0" applyAlignment="0" applyProtection="0"/>
    <xf numFmtId="0" fontId="19" fillId="0" borderId="0"/>
    <xf numFmtId="0" fontId="4" fillId="0" borderId="0"/>
    <xf numFmtId="0" fontId="11" fillId="0" borderId="0"/>
    <xf numFmtId="0" fontId="4" fillId="0" borderId="0"/>
    <xf numFmtId="0" fontId="19" fillId="0" borderId="0"/>
    <xf numFmtId="0" fontId="4" fillId="22" borderId="4" applyNumberFormat="0" applyFont="0" applyAlignment="0" applyProtection="0"/>
    <xf numFmtId="0" fontId="20" fillId="20" borderId="8" applyNumberFormat="0" applyAlignment="0" applyProtection="0"/>
    <xf numFmtId="9" fontId="11" fillId="0" borderId="0" applyFont="0" applyFill="0" applyBorder="0" applyAlignment="0" applyProtection="0"/>
    <xf numFmtId="174" fontId="21" fillId="0" borderId="0"/>
    <xf numFmtId="9" fontId="4" fillId="0" borderId="0" applyFont="0" applyFill="0" applyBorder="0" applyAlignment="0" applyProtection="0"/>
    <xf numFmtId="0" fontId="14" fillId="4" borderId="0" applyNumberFormat="0" applyBorder="0" applyAlignment="0" applyProtection="0"/>
    <xf numFmtId="11" fontId="21" fillId="0" borderId="0" applyFont="0" applyFill="0" applyBorder="0" applyAlignment="0" applyProtection="0"/>
    <xf numFmtId="0" fontId="20" fillId="20" borderId="8" applyNumberFormat="0" applyAlignment="0" applyProtection="0"/>
    <xf numFmtId="0" fontId="1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23" fillId="0" borderId="9" applyNumberFormat="0" applyFill="0" applyAlignment="0" applyProtection="0"/>
    <xf numFmtId="0" fontId="10" fillId="21" borderId="3" applyNumberFormat="0" applyAlignment="0" applyProtection="0"/>
    <xf numFmtId="0" fontId="6" fillId="0" borderId="0" applyNumberFormat="0" applyFill="0" applyBorder="0" applyAlignment="0" applyProtection="0"/>
    <xf numFmtId="0" fontId="3" fillId="0" borderId="0"/>
    <xf numFmtId="3" fontId="88" fillId="0" borderId="0"/>
    <xf numFmtId="0" fontId="90" fillId="0" borderId="0">
      <alignment vertical="center"/>
    </xf>
    <xf numFmtId="0" fontId="94" fillId="41" borderId="0" applyNumberFormat="0" applyBorder="0" applyAlignment="0" applyProtection="0"/>
    <xf numFmtId="0" fontId="98" fillId="0" borderId="0"/>
    <xf numFmtId="0" fontId="11" fillId="0" borderId="0"/>
    <xf numFmtId="0" fontId="100" fillId="0" borderId="0"/>
    <xf numFmtId="0" fontId="102" fillId="0" borderId="0"/>
    <xf numFmtId="0" fontId="11" fillId="0" borderId="0"/>
    <xf numFmtId="0" fontId="105" fillId="0" borderId="0"/>
    <xf numFmtId="0" fontId="105" fillId="0" borderId="0"/>
    <xf numFmtId="0" fontId="2" fillId="0" borderId="0"/>
    <xf numFmtId="0" fontId="120" fillId="0" borderId="0" applyNumberFormat="0" applyFill="0" applyBorder="0" applyAlignment="0" applyProtection="0"/>
    <xf numFmtId="9" fontId="2" fillId="0" borderId="0" applyFont="0" applyFill="0" applyBorder="0" applyAlignment="0" applyProtection="0"/>
    <xf numFmtId="0" fontId="11" fillId="0" borderId="0"/>
    <xf numFmtId="9" fontId="4" fillId="0" borderId="0" applyFont="0" applyFill="0" applyBorder="0" applyAlignment="0" applyProtection="0"/>
    <xf numFmtId="0" fontId="11" fillId="0" borderId="0"/>
  </cellStyleXfs>
  <cellXfs count="1852">
    <xf numFmtId="0" fontId="0" fillId="0" borderId="0" xfId="0"/>
    <xf numFmtId="0" fontId="25" fillId="24" borderId="0" xfId="0" applyFont="1" applyFill="1" applyBorder="1" applyAlignment="1">
      <alignment horizontal="left"/>
    </xf>
    <xf numFmtId="0" fontId="26" fillId="24" borderId="0" xfId="0" applyFont="1" applyFill="1" applyBorder="1"/>
    <xf numFmtId="0" fontId="26" fillId="0" borderId="0" xfId="0" applyFont="1" applyBorder="1"/>
    <xf numFmtId="0" fontId="25" fillId="24" borderId="0" xfId="0" applyFont="1" applyFill="1" applyBorder="1" applyAlignment="1">
      <alignment horizontal="center"/>
    </xf>
    <xf numFmtId="0" fontId="27" fillId="24" borderId="10" xfId="0" applyFont="1" applyFill="1" applyBorder="1" applyAlignment="1">
      <alignment horizontal="center"/>
    </xf>
    <xf numFmtId="0" fontId="26" fillId="24" borderId="0" xfId="0" applyFont="1" applyFill="1" applyBorder="1" applyAlignment="1">
      <alignment horizontal="center"/>
    </xf>
    <xf numFmtId="0" fontId="28" fillId="24" borderId="11" xfId="0" applyFont="1" applyFill="1" applyBorder="1"/>
    <xf numFmtId="0" fontId="28" fillId="24" borderId="12" xfId="0" applyFont="1" applyFill="1" applyBorder="1" applyAlignment="1">
      <alignment horizontal="right"/>
    </xf>
    <xf numFmtId="0" fontId="28" fillId="24" borderId="13" xfId="0" applyFont="1" applyFill="1" applyBorder="1" applyAlignment="1">
      <alignment horizontal="right"/>
    </xf>
    <xf numFmtId="0" fontId="28" fillId="24" borderId="13" xfId="0" applyFont="1" applyFill="1" applyBorder="1" applyAlignment="1">
      <alignment horizontal="center"/>
    </xf>
    <xf numFmtId="0" fontId="28" fillId="24" borderId="14" xfId="0" applyFont="1" applyFill="1" applyBorder="1" applyAlignment="1">
      <alignment horizontal="center"/>
    </xf>
    <xf numFmtId="0" fontId="28" fillId="24" borderId="11" xfId="0" applyFont="1" applyFill="1" applyBorder="1" applyAlignment="1">
      <alignment wrapText="1"/>
    </xf>
    <xf numFmtId="0" fontId="28" fillId="0" borderId="12" xfId="0" applyFont="1" applyBorder="1"/>
    <xf numFmtId="0" fontId="30" fillId="0" borderId="12" xfId="0" applyFont="1" applyBorder="1" applyAlignment="1"/>
    <xf numFmtId="0" fontId="30" fillId="0" borderId="13" xfId="0" applyFont="1" applyBorder="1" applyAlignment="1"/>
    <xf numFmtId="0" fontId="27" fillId="0" borderId="11" xfId="0" applyFont="1" applyBorder="1"/>
    <xf numFmtId="0" fontId="28" fillId="24" borderId="12" xfId="0" applyFont="1" applyFill="1" applyBorder="1" applyAlignment="1">
      <alignment horizontal="center" wrapText="1"/>
    </xf>
    <xf numFmtId="0" fontId="31" fillId="0" borderId="11" xfId="0" applyFont="1" applyBorder="1" applyAlignment="1">
      <alignment horizontal="left"/>
    </xf>
    <xf numFmtId="0" fontId="27" fillId="24" borderId="11" xfId="0" applyFont="1" applyFill="1" applyBorder="1"/>
    <xf numFmtId="0" fontId="27" fillId="24" borderId="13" xfId="0" applyFont="1" applyFill="1" applyBorder="1"/>
    <xf numFmtId="0" fontId="27" fillId="24" borderId="0" xfId="0" applyFont="1" applyFill="1" applyBorder="1"/>
    <xf numFmtId="0" fontId="27" fillId="0" borderId="0" xfId="0" applyFont="1" applyBorder="1"/>
    <xf numFmtId="0" fontId="28" fillId="24" borderId="15" xfId="0" applyFont="1" applyFill="1" applyBorder="1"/>
    <xf numFmtId="0" fontId="28" fillId="24" borderId="0" xfId="0" applyFont="1" applyFill="1" applyBorder="1" applyAlignment="1">
      <alignment horizontal="right" wrapText="1"/>
    </xf>
    <xf numFmtId="0" fontId="28" fillId="24" borderId="0" xfId="0" applyFont="1" applyFill="1" applyBorder="1" applyAlignment="1">
      <alignment horizontal="right"/>
    </xf>
    <xf numFmtId="0" fontId="28" fillId="24" borderId="16" xfId="0" applyFont="1" applyFill="1" applyBorder="1" applyAlignment="1">
      <alignment horizontal="right"/>
    </xf>
    <xf numFmtId="0" fontId="28" fillId="24" borderId="17" xfId="0" applyFont="1" applyFill="1" applyBorder="1" applyAlignment="1">
      <alignment horizontal="right" wrapText="1"/>
    </xf>
    <xf numFmtId="0" fontId="27" fillId="24" borderId="15" xfId="0" applyFont="1" applyFill="1" applyBorder="1" applyAlignment="1">
      <alignment horizontal="center" wrapText="1"/>
    </xf>
    <xf numFmtId="0" fontId="27" fillId="24" borderId="0" xfId="0" applyFont="1" applyFill="1" applyBorder="1" applyAlignment="1">
      <alignment horizontal="center" wrapText="1"/>
    </xf>
    <xf numFmtId="0" fontId="27" fillId="0" borderId="16" xfId="0" applyFont="1" applyBorder="1"/>
    <xf numFmtId="0" fontId="28" fillId="24" borderId="15" xfId="0" applyFont="1" applyFill="1" applyBorder="1" applyAlignment="1">
      <alignment horizontal="center" wrapText="1"/>
    </xf>
    <xf numFmtId="0" fontId="28" fillId="24" borderId="16" xfId="0" applyFont="1" applyFill="1" applyBorder="1" applyAlignment="1">
      <alignment horizontal="center"/>
    </xf>
    <xf numFmtId="0" fontId="27" fillId="24" borderId="15" xfId="0" applyFont="1" applyFill="1" applyBorder="1"/>
    <xf numFmtId="0" fontId="27" fillId="24" borderId="16" xfId="0" applyFont="1" applyFill="1" applyBorder="1"/>
    <xf numFmtId="0" fontId="28" fillId="0" borderId="18" xfId="0" applyFont="1" applyBorder="1"/>
    <xf numFmtId="0" fontId="28" fillId="25" borderId="10" xfId="0" applyFont="1" applyFill="1" applyBorder="1" applyAlignment="1">
      <alignment horizontal="right"/>
    </xf>
    <xf numFmtId="0" fontId="27" fillId="24" borderId="10" xfId="0" applyFont="1" applyFill="1" applyBorder="1" applyAlignment="1">
      <alignment horizontal="left"/>
    </xf>
    <xf numFmtId="0" fontId="28" fillId="24" borderId="10" xfId="0" applyFont="1" applyFill="1" applyBorder="1" applyAlignment="1">
      <alignment horizontal="right"/>
    </xf>
    <xf numFmtId="0" fontId="27" fillId="24" borderId="10" xfId="0" applyFont="1" applyFill="1" applyBorder="1"/>
    <xf numFmtId="0" fontId="27" fillId="24" borderId="19" xfId="0" applyFont="1" applyFill="1" applyBorder="1"/>
    <xf numFmtId="0" fontId="27" fillId="24" borderId="20" xfId="0" applyFont="1" applyFill="1" applyBorder="1" applyAlignment="1">
      <alignment horizontal="center"/>
    </xf>
    <xf numFmtId="0" fontId="28" fillId="24" borderId="18" xfId="0" applyFont="1" applyFill="1" applyBorder="1" applyAlignment="1">
      <alignment horizontal="center" wrapText="1"/>
    </xf>
    <xf numFmtId="0" fontId="28" fillId="24" borderId="10" xfId="0" applyFont="1" applyFill="1" applyBorder="1" applyAlignment="1">
      <alignment horizontal="center" wrapText="1"/>
    </xf>
    <xf numFmtId="0" fontId="27" fillId="0" borderId="10" xfId="0" applyFont="1" applyBorder="1"/>
    <xf numFmtId="0" fontId="27" fillId="24" borderId="18" xfId="0" applyFont="1" applyFill="1" applyBorder="1" applyAlignment="1">
      <alignment horizontal="left"/>
    </xf>
    <xf numFmtId="0" fontId="27" fillId="24" borderId="19" xfId="0" applyFont="1" applyFill="1" applyBorder="1" applyAlignment="1"/>
    <xf numFmtId="0" fontId="28" fillId="24" borderId="21" xfId="0" applyFont="1" applyFill="1" applyBorder="1"/>
    <xf numFmtId="0" fontId="28" fillId="24" borderId="22" xfId="0" applyFont="1" applyFill="1" applyBorder="1" applyAlignment="1">
      <alignment horizontal="right"/>
    </xf>
    <xf numFmtId="0" fontId="27" fillId="24" borderId="22" xfId="0" applyFont="1" applyFill="1" applyBorder="1"/>
    <xf numFmtId="0" fontId="27" fillId="24" borderId="23" xfId="0" applyFont="1" applyFill="1" applyBorder="1"/>
    <xf numFmtId="0" fontId="28" fillId="24" borderId="24" xfId="0" applyFont="1" applyFill="1" applyBorder="1"/>
    <xf numFmtId="0" fontId="28" fillId="24" borderId="24" xfId="0" applyFont="1" applyFill="1" applyBorder="1" applyAlignment="1">
      <alignment horizontal="center" wrapText="1"/>
    </xf>
    <xf numFmtId="0" fontId="28" fillId="24" borderId="21" xfId="0" applyFont="1" applyFill="1" applyBorder="1" applyAlignment="1">
      <alignment horizontal="center"/>
    </xf>
    <xf numFmtId="0" fontId="28" fillId="24" borderId="22" xfId="0" applyFont="1" applyFill="1" applyBorder="1" applyAlignment="1">
      <alignment horizontal="center"/>
    </xf>
    <xf numFmtId="0" fontId="28" fillId="24" borderId="23" xfId="0" applyFont="1" applyFill="1" applyBorder="1" applyAlignment="1">
      <alignment horizontal="center"/>
    </xf>
    <xf numFmtId="0" fontId="28" fillId="24" borderId="25" xfId="0" applyFont="1" applyFill="1" applyBorder="1" applyAlignment="1">
      <alignment horizontal="center" wrapText="1"/>
    </xf>
    <xf numFmtId="0" fontId="28" fillId="24" borderId="26" xfId="0" applyFont="1" applyFill="1" applyBorder="1" applyAlignment="1">
      <alignment horizontal="center"/>
    </xf>
    <xf numFmtId="165" fontId="27" fillId="24" borderId="0" xfId="49" applyNumberFormat="1" applyFont="1" applyFill="1" applyBorder="1"/>
    <xf numFmtId="165" fontId="27" fillId="26" borderId="0" xfId="49" applyNumberFormat="1" applyFont="1" applyFill="1" applyBorder="1"/>
    <xf numFmtId="168" fontId="27" fillId="26" borderId="0" xfId="102" applyNumberFormat="1" applyFont="1" applyFill="1" applyBorder="1"/>
    <xf numFmtId="3" fontId="27" fillId="25" borderId="16" xfId="49" applyNumberFormat="1" applyFont="1" applyFill="1" applyBorder="1"/>
    <xf numFmtId="172" fontId="27" fillId="24" borderId="17" xfId="49" applyNumberFormat="1" applyFont="1" applyFill="1" applyBorder="1"/>
    <xf numFmtId="1" fontId="27" fillId="24" borderId="17" xfId="49" applyNumberFormat="1" applyFont="1" applyFill="1" applyBorder="1" applyAlignment="1">
      <alignment horizontal="center"/>
    </xf>
    <xf numFmtId="165" fontId="27" fillId="24" borderId="15" xfId="49" applyNumberFormat="1" applyFont="1" applyFill="1" applyBorder="1"/>
    <xf numFmtId="167" fontId="27" fillId="24" borderId="16" xfId="0" applyNumberFormat="1" applyFont="1" applyFill="1" applyBorder="1" applyAlignment="1">
      <alignment horizontal="center"/>
    </xf>
    <xf numFmtId="167" fontId="27" fillId="24" borderId="15" xfId="0" applyNumberFormat="1" applyFont="1" applyFill="1" applyBorder="1" applyAlignment="1">
      <alignment horizontal="center"/>
    </xf>
    <xf numFmtId="3" fontId="27" fillId="24" borderId="0" xfId="0" applyNumberFormat="1" applyFont="1" applyFill="1" applyBorder="1" applyAlignment="1">
      <alignment horizontal="center" wrapText="1"/>
    </xf>
    <xf numFmtId="2" fontId="27" fillId="24" borderId="0" xfId="0" applyNumberFormat="1" applyFont="1" applyFill="1" applyBorder="1" applyAlignment="1">
      <alignment horizontal="center" wrapText="1"/>
    </xf>
    <xf numFmtId="170" fontId="27" fillId="24" borderId="27" xfId="0" applyNumberFormat="1" applyFont="1" applyFill="1" applyBorder="1" applyAlignment="1">
      <alignment horizontal="center" wrapText="1"/>
    </xf>
    <xf numFmtId="0" fontId="27" fillId="27" borderId="0" xfId="0" applyFont="1" applyFill="1" applyBorder="1"/>
    <xf numFmtId="3" fontId="27" fillId="0" borderId="16" xfId="49" applyNumberFormat="1" applyFont="1" applyFill="1" applyBorder="1"/>
    <xf numFmtId="172" fontId="27" fillId="24" borderId="0" xfId="49" applyNumberFormat="1" applyFont="1" applyFill="1" applyBorder="1"/>
    <xf numFmtId="0" fontId="27" fillId="0" borderId="15" xfId="0" applyFont="1" applyBorder="1"/>
    <xf numFmtId="165" fontId="27" fillId="28" borderId="0" xfId="49" applyNumberFormat="1" applyFont="1" applyFill="1" applyBorder="1"/>
    <xf numFmtId="168" fontId="27" fillId="28" borderId="0" xfId="102" applyNumberFormat="1" applyFont="1" applyFill="1" applyBorder="1" applyAlignment="1">
      <alignment horizontal="right"/>
    </xf>
    <xf numFmtId="165" fontId="27" fillId="29" borderId="0" xfId="49" applyNumberFormat="1" applyFont="1" applyFill="1" applyBorder="1"/>
    <xf numFmtId="168" fontId="27" fillId="29" borderId="0" xfId="102" applyNumberFormat="1" applyFont="1" applyFill="1" applyBorder="1"/>
    <xf numFmtId="1" fontId="27" fillId="29" borderId="16" xfId="102" applyNumberFormat="1" applyFont="1" applyFill="1" applyBorder="1"/>
    <xf numFmtId="0" fontId="27" fillId="29" borderId="0" xfId="0" applyFont="1" applyFill="1" applyBorder="1"/>
    <xf numFmtId="168" fontId="27" fillId="24" borderId="0" xfId="102" applyNumberFormat="1" applyFont="1" applyFill="1" applyBorder="1" applyAlignment="1">
      <alignment horizontal="right"/>
    </xf>
    <xf numFmtId="165" fontId="27" fillId="27" borderId="0" xfId="49" applyNumberFormat="1" applyFont="1" applyFill="1" applyBorder="1"/>
    <xf numFmtId="3" fontId="27" fillId="24" borderId="16" xfId="49" applyNumberFormat="1" applyFont="1" applyFill="1" applyBorder="1"/>
    <xf numFmtId="172" fontId="27" fillId="24" borderId="16" xfId="49" applyNumberFormat="1" applyFont="1" applyFill="1" applyBorder="1"/>
    <xf numFmtId="168" fontId="27" fillId="26" borderId="0" xfId="49" applyNumberFormat="1" applyFont="1" applyFill="1" applyBorder="1"/>
    <xf numFmtId="165" fontId="27" fillId="30" borderId="0" xfId="49" applyNumberFormat="1" applyFont="1" applyFill="1" applyBorder="1"/>
    <xf numFmtId="165" fontId="27" fillId="0" borderId="0" xfId="49" applyNumberFormat="1" applyFont="1" applyBorder="1"/>
    <xf numFmtId="168" fontId="27" fillId="25" borderId="0" xfId="102" applyNumberFormat="1" applyFont="1" applyFill="1" applyBorder="1"/>
    <xf numFmtId="3" fontId="27" fillId="25" borderId="0" xfId="0" applyNumberFormat="1" applyFont="1" applyFill="1" applyBorder="1" applyAlignment="1">
      <alignment horizontal="right"/>
    </xf>
    <xf numFmtId="165" fontId="27" fillId="25" borderId="0" xfId="49" applyNumberFormat="1" applyFont="1" applyFill="1" applyBorder="1"/>
    <xf numFmtId="168" fontId="27" fillId="25" borderId="0" xfId="0" applyNumberFormat="1" applyFont="1" applyFill="1" applyBorder="1" applyAlignment="1">
      <alignment horizontal="right"/>
    </xf>
    <xf numFmtId="168" fontId="27" fillId="24" borderId="0" xfId="102" applyNumberFormat="1" applyFont="1" applyFill="1" applyBorder="1"/>
    <xf numFmtId="165" fontId="27" fillId="31" borderId="0" xfId="49" applyNumberFormat="1" applyFont="1" applyFill="1" applyBorder="1"/>
    <xf numFmtId="168" fontId="27" fillId="27" borderId="0" xfId="102" applyNumberFormat="1" applyFont="1" applyFill="1" applyBorder="1"/>
    <xf numFmtId="165" fontId="27" fillId="32" borderId="0" xfId="49" applyNumberFormat="1" applyFont="1" applyFill="1" applyBorder="1"/>
    <xf numFmtId="0" fontId="27" fillId="24" borderId="15" xfId="0" applyFont="1" applyFill="1" applyBorder="1" applyAlignment="1">
      <alignment horizontal="center"/>
    </xf>
    <xf numFmtId="167" fontId="27" fillId="28" borderId="0" xfId="0" applyNumberFormat="1" applyFont="1" applyFill="1" applyBorder="1" applyAlignment="1">
      <alignment horizontal="center" vertical="center"/>
    </xf>
    <xf numFmtId="3" fontId="27" fillId="28" borderId="0" xfId="0" applyNumberFormat="1" applyFont="1" applyFill="1" applyBorder="1" applyAlignment="1">
      <alignment horizontal="center" wrapText="1"/>
    </xf>
    <xf numFmtId="168" fontId="27" fillId="31" borderId="0" xfId="102" applyNumberFormat="1" applyFont="1" applyFill="1" applyBorder="1"/>
    <xf numFmtId="2" fontId="27" fillId="24" borderId="0" xfId="0" applyNumberFormat="1" applyFont="1" applyFill="1" applyBorder="1" applyAlignment="1">
      <alignment horizontal="center"/>
    </xf>
    <xf numFmtId="167" fontId="27" fillId="24" borderId="0" xfId="0" applyNumberFormat="1" applyFont="1" applyFill="1" applyBorder="1" applyAlignment="1">
      <alignment horizontal="center"/>
    </xf>
    <xf numFmtId="0" fontId="27" fillId="24" borderId="18" xfId="0" applyFont="1" applyFill="1" applyBorder="1"/>
    <xf numFmtId="165" fontId="27" fillId="24" borderId="10" xfId="49" applyNumberFormat="1" applyFont="1" applyFill="1" applyBorder="1"/>
    <xf numFmtId="165" fontId="27" fillId="25" borderId="10" xfId="49" applyNumberFormat="1" applyFont="1" applyFill="1" applyBorder="1"/>
    <xf numFmtId="168" fontId="27" fillId="24" borderId="10" xfId="102" applyNumberFormat="1" applyFont="1" applyFill="1" applyBorder="1"/>
    <xf numFmtId="3" fontId="27" fillId="25" borderId="19" xfId="49" applyNumberFormat="1" applyFont="1" applyFill="1" applyBorder="1"/>
    <xf numFmtId="172" fontId="27" fillId="24" borderId="20" xfId="49" applyNumberFormat="1" applyFont="1" applyFill="1" applyBorder="1"/>
    <xf numFmtId="1" fontId="27" fillId="24" borderId="20" xfId="49" applyNumberFormat="1" applyFont="1" applyFill="1" applyBorder="1" applyAlignment="1">
      <alignment horizontal="center"/>
    </xf>
    <xf numFmtId="165" fontId="27" fillId="24" borderId="18" xfId="49" applyNumberFormat="1" applyFont="1" applyFill="1" applyBorder="1"/>
    <xf numFmtId="2" fontId="27" fillId="24" borderId="10" xfId="0" applyNumberFormat="1" applyFont="1" applyFill="1" applyBorder="1" applyAlignment="1">
      <alignment horizontal="center"/>
    </xf>
    <xf numFmtId="167" fontId="27" fillId="24" borderId="19" xfId="0" applyNumberFormat="1" applyFont="1" applyFill="1" applyBorder="1" applyAlignment="1">
      <alignment horizontal="center"/>
    </xf>
    <xf numFmtId="167" fontId="27" fillId="24" borderId="18" xfId="0" applyNumberFormat="1" applyFont="1" applyFill="1" applyBorder="1" applyAlignment="1">
      <alignment horizontal="center"/>
    </xf>
    <xf numFmtId="167" fontId="27" fillId="24" borderId="10" xfId="0" applyNumberFormat="1" applyFont="1" applyFill="1" applyBorder="1" applyAlignment="1">
      <alignment horizontal="center"/>
    </xf>
    <xf numFmtId="2" fontId="27" fillId="24" borderId="10" xfId="0" applyNumberFormat="1" applyFont="1" applyFill="1" applyBorder="1" applyAlignment="1">
      <alignment horizontal="center" wrapText="1"/>
    </xf>
    <xf numFmtId="165" fontId="28" fillId="24" borderId="22" xfId="49" applyNumberFormat="1" applyFont="1" applyFill="1" applyBorder="1" applyAlignment="1">
      <alignment horizontal="right"/>
    </xf>
    <xf numFmtId="168" fontId="28" fillId="24" borderId="22" xfId="102" applyNumberFormat="1" applyFont="1" applyFill="1" applyBorder="1"/>
    <xf numFmtId="3" fontId="27" fillId="24" borderId="23" xfId="49" applyNumberFormat="1" applyFont="1" applyFill="1" applyBorder="1"/>
    <xf numFmtId="3" fontId="28" fillId="24" borderId="24" xfId="49" applyNumberFormat="1" applyFont="1" applyFill="1" applyBorder="1"/>
    <xf numFmtId="2" fontId="27" fillId="24" borderId="28" xfId="0" applyNumberFormat="1" applyFont="1" applyFill="1" applyBorder="1" applyAlignment="1">
      <alignment horizontal="center"/>
    </xf>
    <xf numFmtId="0" fontId="28" fillId="24" borderId="25" xfId="0" applyFont="1" applyFill="1" applyBorder="1" applyAlignment="1">
      <alignment horizontal="center"/>
    </xf>
    <xf numFmtId="0" fontId="28" fillId="24" borderId="0" xfId="0" applyFont="1" applyFill="1" applyBorder="1"/>
    <xf numFmtId="0" fontId="28" fillId="0" borderId="0" xfId="0" applyFont="1" applyBorder="1"/>
    <xf numFmtId="2" fontId="27" fillId="31" borderId="0" xfId="49" applyNumberFormat="1" applyFont="1" applyFill="1" applyBorder="1"/>
    <xf numFmtId="2" fontId="27" fillId="31" borderId="16" xfId="49" applyNumberFormat="1" applyFont="1" applyFill="1" applyBorder="1"/>
    <xf numFmtId="43" fontId="27" fillId="33" borderId="0" xfId="49" applyNumberFormat="1" applyFont="1" applyFill="1" applyBorder="1"/>
    <xf numFmtId="164" fontId="27" fillId="26" borderId="0" xfId="49" applyNumberFormat="1" applyFont="1" applyFill="1" applyBorder="1"/>
    <xf numFmtId="168" fontId="27" fillId="30" borderId="0" xfId="102" applyNumberFormat="1" applyFont="1" applyFill="1" applyBorder="1"/>
    <xf numFmtId="165" fontId="27" fillId="0" borderId="0" xfId="49" applyNumberFormat="1" applyFont="1" applyFill="1" applyBorder="1"/>
    <xf numFmtId="43" fontId="27" fillId="24" borderId="0" xfId="49" applyNumberFormat="1" applyFont="1" applyFill="1" applyBorder="1"/>
    <xf numFmtId="43" fontId="27" fillId="27" borderId="0" xfId="49" applyNumberFormat="1" applyFont="1" applyFill="1" applyBorder="1"/>
    <xf numFmtId="167" fontId="27" fillId="27" borderId="16" xfId="0" applyNumberFormat="1" applyFont="1" applyFill="1" applyBorder="1" applyAlignment="1">
      <alignment horizontal="center"/>
    </xf>
    <xf numFmtId="43" fontId="27" fillId="0" borderId="0" xfId="49" applyNumberFormat="1" applyFont="1" applyFill="1" applyBorder="1"/>
    <xf numFmtId="168" fontId="27" fillId="0" borderId="0" xfId="102" applyNumberFormat="1" applyFont="1" applyFill="1" applyBorder="1"/>
    <xf numFmtId="165" fontId="27" fillId="0" borderId="10" xfId="49" applyNumberFormat="1" applyFont="1" applyFill="1" applyBorder="1"/>
    <xf numFmtId="0" fontId="27" fillId="0" borderId="10" xfId="0" applyFont="1" applyFill="1" applyBorder="1"/>
    <xf numFmtId="3" fontId="27" fillId="0" borderId="19" xfId="49" applyNumberFormat="1" applyFont="1" applyFill="1" applyBorder="1"/>
    <xf numFmtId="165" fontId="27" fillId="24" borderId="22" xfId="49" applyNumberFormat="1" applyFont="1" applyFill="1" applyBorder="1"/>
    <xf numFmtId="168" fontId="27" fillId="24" borderId="22" xfId="102" applyNumberFormat="1" applyFont="1" applyFill="1" applyBorder="1"/>
    <xf numFmtId="165" fontId="27" fillId="34" borderId="15" xfId="49" applyNumberFormat="1" applyFont="1" applyFill="1" applyBorder="1"/>
    <xf numFmtId="165" fontId="27" fillId="34" borderId="0" xfId="49" applyNumberFormat="1" applyFont="1" applyFill="1" applyBorder="1"/>
    <xf numFmtId="3" fontId="27" fillId="24" borderId="16" xfId="0" applyNumberFormat="1" applyFont="1" applyFill="1" applyBorder="1" applyAlignment="1">
      <alignment horizontal="center"/>
    </xf>
    <xf numFmtId="0" fontId="27" fillId="24" borderId="0" xfId="0" applyFont="1" applyFill="1" applyBorder="1" applyAlignment="1">
      <alignment horizontal="center"/>
    </xf>
    <xf numFmtId="0" fontId="27" fillId="0" borderId="15" xfId="0" applyFont="1" applyFill="1" applyBorder="1"/>
    <xf numFmtId="0" fontId="27" fillId="34" borderId="18" xfId="0" applyFont="1" applyFill="1" applyBorder="1"/>
    <xf numFmtId="172" fontId="27" fillId="24" borderId="10" xfId="0" applyNumberFormat="1" applyFont="1" applyFill="1" applyBorder="1"/>
    <xf numFmtId="3" fontId="27" fillId="24" borderId="19" xfId="0" applyNumberFormat="1" applyFont="1" applyFill="1" applyBorder="1" applyAlignment="1">
      <alignment horizontal="center"/>
    </xf>
    <xf numFmtId="0" fontId="28" fillId="24" borderId="28" xfId="0" applyFont="1" applyFill="1" applyBorder="1" applyAlignment="1">
      <alignment horizontal="center"/>
    </xf>
    <xf numFmtId="0" fontId="27" fillId="24" borderId="28" xfId="0" applyFont="1" applyFill="1" applyBorder="1"/>
    <xf numFmtId="169" fontId="27" fillId="24" borderId="0" xfId="0" applyNumberFormat="1" applyFont="1" applyFill="1" applyBorder="1" applyAlignment="1">
      <alignment horizontal="center" wrapText="1"/>
    </xf>
    <xf numFmtId="0" fontId="27" fillId="0" borderId="0" xfId="0" applyFont="1" applyFill="1" applyBorder="1"/>
    <xf numFmtId="0" fontId="28" fillId="0" borderId="29" xfId="0" applyFont="1" applyFill="1" applyBorder="1"/>
    <xf numFmtId="0" fontId="28" fillId="0" borderId="28" xfId="0" applyFont="1" applyFill="1" applyBorder="1" applyAlignment="1">
      <alignment horizontal="right"/>
    </xf>
    <xf numFmtId="0" fontId="28" fillId="24" borderId="28" xfId="0" applyFont="1" applyFill="1" applyBorder="1" applyAlignment="1">
      <alignment horizontal="right"/>
    </xf>
    <xf numFmtId="0" fontId="27" fillId="24" borderId="25" xfId="0" applyFont="1" applyFill="1" applyBorder="1"/>
    <xf numFmtId="0" fontId="28" fillId="24" borderId="30" xfId="0" applyFont="1" applyFill="1" applyBorder="1"/>
    <xf numFmtId="0" fontId="28" fillId="24" borderId="30" xfId="0" applyFont="1" applyFill="1" applyBorder="1" applyAlignment="1">
      <alignment horizontal="center" wrapText="1"/>
    </xf>
    <xf numFmtId="0" fontId="28" fillId="24" borderId="29" xfId="0" applyFont="1" applyFill="1" applyBorder="1" applyAlignment="1">
      <alignment horizontal="center"/>
    </xf>
    <xf numFmtId="0" fontId="28" fillId="24" borderId="31" xfId="0" applyFont="1" applyFill="1" applyBorder="1" applyAlignment="1">
      <alignment horizontal="center"/>
    </xf>
    <xf numFmtId="168" fontId="27" fillId="25" borderId="0" xfId="102" applyNumberFormat="1" applyFont="1" applyFill="1" applyBorder="1" applyAlignment="1">
      <alignment horizontal="right"/>
    </xf>
    <xf numFmtId="167" fontId="27" fillId="25" borderId="15" xfId="0" applyNumberFormat="1" applyFont="1" applyFill="1" applyBorder="1" applyAlignment="1">
      <alignment horizontal="center"/>
    </xf>
    <xf numFmtId="0" fontId="34" fillId="25" borderId="27" xfId="0" applyNumberFormat="1" applyFont="1" applyFill="1" applyBorder="1" applyAlignment="1">
      <alignment horizontal="center"/>
    </xf>
    <xf numFmtId="0" fontId="27" fillId="0" borderId="18" xfId="0" applyFont="1" applyFill="1" applyBorder="1"/>
    <xf numFmtId="168" fontId="27" fillId="25" borderId="10" xfId="102" applyNumberFormat="1" applyFont="1" applyFill="1" applyBorder="1" applyAlignment="1">
      <alignment horizontal="right"/>
    </xf>
    <xf numFmtId="172" fontId="27" fillId="24" borderId="10" xfId="49" applyNumberFormat="1" applyFont="1" applyFill="1" applyBorder="1"/>
    <xf numFmtId="167" fontId="27" fillId="25" borderId="18" xfId="0" applyNumberFormat="1" applyFont="1" applyFill="1" applyBorder="1" applyAlignment="1">
      <alignment horizontal="center"/>
    </xf>
    <xf numFmtId="3" fontId="27" fillId="24" borderId="10" xfId="0" applyNumberFormat="1" applyFont="1" applyFill="1" applyBorder="1" applyAlignment="1">
      <alignment horizontal="center" wrapText="1"/>
    </xf>
    <xf numFmtId="0" fontId="34" fillId="25" borderId="32" xfId="0" applyNumberFormat="1" applyFont="1" applyFill="1" applyBorder="1" applyAlignment="1">
      <alignment horizontal="center"/>
    </xf>
    <xf numFmtId="168" fontId="27" fillId="29" borderId="0" xfId="102" applyNumberFormat="1" applyFont="1" applyFill="1" applyBorder="1" applyAlignment="1">
      <alignment horizontal="right"/>
    </xf>
    <xf numFmtId="167" fontId="27" fillId="29" borderId="15" xfId="0" applyNumberFormat="1" applyFont="1" applyFill="1" applyBorder="1" applyAlignment="1">
      <alignment horizontal="center"/>
    </xf>
    <xf numFmtId="0" fontId="27" fillId="24" borderId="0" xfId="0" applyFont="1" applyFill="1" applyBorder="1" applyAlignment="1"/>
    <xf numFmtId="0" fontId="11" fillId="24" borderId="0" xfId="0" applyFont="1" applyFill="1" applyBorder="1"/>
    <xf numFmtId="0" fontId="11" fillId="0" borderId="0" xfId="0" applyFont="1" applyBorder="1"/>
    <xf numFmtId="0" fontId="30" fillId="24" borderId="0" xfId="0" applyFont="1" applyFill="1"/>
    <xf numFmtId="0" fontId="36" fillId="24" borderId="33" xfId="68" applyFont="1" applyFill="1" applyBorder="1" applyAlignment="1">
      <alignment horizontal="right"/>
    </xf>
    <xf numFmtId="2" fontId="35" fillId="35" borderId="22" xfId="0" applyNumberFormat="1" applyFont="1" applyFill="1" applyBorder="1"/>
    <xf numFmtId="2" fontId="35" fillId="35" borderId="22" xfId="0" applyNumberFormat="1" applyFont="1" applyFill="1" applyBorder="1" applyAlignment="1">
      <alignment horizontal="center"/>
    </xf>
    <xf numFmtId="0" fontId="30" fillId="0" borderId="0" xfId="0" applyFont="1" applyFill="1"/>
    <xf numFmtId="173" fontId="27" fillId="24" borderId="15" xfId="0" applyNumberFormat="1" applyFont="1" applyFill="1" applyBorder="1" applyAlignment="1">
      <alignment horizontal="center"/>
    </xf>
    <xf numFmtId="167" fontId="0" fillId="0" borderId="0" xfId="0" applyNumberFormat="1"/>
    <xf numFmtId="0" fontId="23" fillId="0" borderId="33" xfId="0" applyFont="1" applyBorder="1"/>
    <xf numFmtId="0" fontId="0" fillId="0" borderId="0" xfId="0" applyAlignment="1">
      <alignment horizontal="right"/>
    </xf>
    <xf numFmtId="0" fontId="40" fillId="0" borderId="0" xfId="0" applyFont="1"/>
    <xf numFmtId="0" fontId="0" fillId="0" borderId="0" xfId="0" applyBorder="1"/>
    <xf numFmtId="3" fontId="0" fillId="0" borderId="0" xfId="0" applyNumberFormat="1"/>
    <xf numFmtId="0" fontId="0" fillId="0" borderId="0" xfId="0" applyAlignment="1">
      <alignment horizontal="left" indent="1"/>
    </xf>
    <xf numFmtId="0" fontId="0" fillId="0" borderId="0" xfId="0" applyAlignment="1">
      <alignment horizontal="center"/>
    </xf>
    <xf numFmtId="2" fontId="0" fillId="0" borderId="0" xfId="0" applyNumberFormat="1" applyAlignment="1">
      <alignment horizontal="center"/>
    </xf>
    <xf numFmtId="0" fontId="23" fillId="0" borderId="0" xfId="0" applyFont="1"/>
    <xf numFmtId="2" fontId="0" fillId="0" borderId="0" xfId="0" applyNumberFormat="1"/>
    <xf numFmtId="0" fontId="23" fillId="0" borderId="33" xfId="0" applyFont="1" applyBorder="1" applyAlignment="1">
      <alignment horizontal="center"/>
    </xf>
    <xf numFmtId="0" fontId="0" fillId="0" borderId="0" xfId="0" applyAlignment="1">
      <alignment wrapText="1"/>
    </xf>
    <xf numFmtId="0" fontId="0" fillId="0" borderId="0" xfId="0" applyAlignment="1">
      <alignment horizontal="center" wrapText="1"/>
    </xf>
    <xf numFmtId="0" fontId="23" fillId="0" borderId="33" xfId="0" applyFont="1" applyBorder="1" applyAlignment="1">
      <alignment horizontal="center" wrapText="1"/>
    </xf>
    <xf numFmtId="0" fontId="0" fillId="0" borderId="35" xfId="0" applyBorder="1"/>
    <xf numFmtId="0" fontId="42" fillId="24" borderId="35" xfId="0" applyFont="1" applyFill="1" applyBorder="1" applyAlignment="1">
      <alignment horizontal="right"/>
    </xf>
    <xf numFmtId="0" fontId="42" fillId="24" borderId="33" xfId="0" applyFont="1" applyFill="1" applyBorder="1" applyAlignment="1">
      <alignment horizontal="center"/>
    </xf>
    <xf numFmtId="0" fontId="37" fillId="24" borderId="0" xfId="0" applyFont="1" applyFill="1" applyBorder="1" applyAlignment="1">
      <alignment horizontal="right"/>
    </xf>
    <xf numFmtId="0" fontId="37" fillId="24" borderId="22" xfId="0" applyFont="1" applyFill="1" applyBorder="1" applyAlignment="1">
      <alignment horizontal="right"/>
    </xf>
    <xf numFmtId="0" fontId="0" fillId="0" borderId="22" xfId="0" applyBorder="1"/>
    <xf numFmtId="0" fontId="0" fillId="0" borderId="0" xfId="0" applyBorder="1" applyAlignment="1">
      <alignment horizontal="center"/>
    </xf>
    <xf numFmtId="0" fontId="23" fillId="0" borderId="0" xfId="0" applyFont="1" applyBorder="1"/>
    <xf numFmtId="2" fontId="0" fillId="0" borderId="0" xfId="0" applyNumberFormat="1" applyBorder="1" applyAlignment="1">
      <alignment horizontal="center"/>
    </xf>
    <xf numFmtId="3" fontId="0" fillId="0" borderId="0" xfId="0" applyNumberFormat="1" applyBorder="1" applyAlignment="1">
      <alignment horizontal="center"/>
    </xf>
    <xf numFmtId="3" fontId="0" fillId="0" borderId="22" xfId="0" applyNumberFormat="1" applyBorder="1" applyAlignment="1">
      <alignment horizontal="center"/>
    </xf>
    <xf numFmtId="0" fontId="0" fillId="0" borderId="44" xfId="0" applyBorder="1"/>
    <xf numFmtId="0" fontId="0" fillId="0" borderId="22" xfId="0" applyBorder="1" applyAlignment="1">
      <alignment horizontal="left" indent="1"/>
    </xf>
    <xf numFmtId="0" fontId="28" fillId="24" borderId="23" xfId="0" applyFont="1" applyFill="1" applyBorder="1" applyAlignment="1">
      <alignment horizontal="center" wrapText="1"/>
    </xf>
    <xf numFmtId="0" fontId="41" fillId="0" borderId="0" xfId="0" applyFont="1"/>
    <xf numFmtId="0" fontId="23" fillId="0" borderId="33" xfId="0" applyFont="1" applyBorder="1" applyAlignment="1">
      <alignment horizontal="left"/>
    </xf>
    <xf numFmtId="0" fontId="46" fillId="0" borderId="0" xfId="0" applyNumberFormat="1" applyFont="1" applyBorder="1" applyAlignment="1"/>
    <xf numFmtId="0" fontId="0" fillId="0" borderId="0" xfId="0" applyNumberFormat="1" applyFont="1" applyBorder="1" applyAlignment="1"/>
    <xf numFmtId="0" fontId="47" fillId="0" borderId="42" xfId="0" applyNumberFormat="1" applyFont="1" applyBorder="1" applyAlignment="1">
      <alignment horizontal="center"/>
    </xf>
    <xf numFmtId="0" fontId="47" fillId="0" borderId="42" xfId="0" applyNumberFormat="1" applyFont="1" applyBorder="1" applyAlignment="1">
      <alignment horizontal="right" wrapText="1"/>
    </xf>
    <xf numFmtId="0" fontId="47" fillId="0" borderId="43" xfId="0" applyNumberFormat="1" applyFont="1" applyBorder="1" applyAlignment="1"/>
    <xf numFmtId="0" fontId="47" fillId="0" borderId="38" xfId="0" applyNumberFormat="1" applyFont="1" applyBorder="1" applyAlignment="1"/>
    <xf numFmtId="0" fontId="47" fillId="0" borderId="38" xfId="0" applyNumberFormat="1" applyFont="1" applyFill="1" applyBorder="1" applyAlignment="1"/>
    <xf numFmtId="0" fontId="45" fillId="0" borderId="43" xfId="0" applyNumberFormat="1" applyFont="1" applyBorder="1" applyAlignment="1"/>
    <xf numFmtId="0" fontId="45" fillId="0" borderId="0" xfId="0" applyFont="1"/>
    <xf numFmtId="0" fontId="0" fillId="0" borderId="0" xfId="0" applyAlignment="1">
      <alignment vertical="center"/>
    </xf>
    <xf numFmtId="3" fontId="0" fillId="0" borderId="0" xfId="0" applyNumberFormat="1" applyAlignment="1">
      <alignment horizontal="center"/>
    </xf>
    <xf numFmtId="169" fontId="0" fillId="0" borderId="0" xfId="0" applyNumberFormat="1" applyAlignment="1">
      <alignment horizontal="center"/>
    </xf>
    <xf numFmtId="0" fontId="0" fillId="0" borderId="0" xfId="0" applyFont="1" applyBorder="1" applyAlignment="1">
      <alignment horizontal="center"/>
    </xf>
    <xf numFmtId="0" fontId="40" fillId="0" borderId="0" xfId="0" applyFont="1" applyBorder="1"/>
    <xf numFmtId="0" fontId="23" fillId="0" borderId="33" xfId="0" applyFont="1" applyFill="1" applyBorder="1" applyAlignment="1">
      <alignment horizontal="center"/>
    </xf>
    <xf numFmtId="0" fontId="0" fillId="0" borderId="0" xfId="0" applyBorder="1" applyAlignment="1">
      <alignment horizontal="left" indent="1"/>
    </xf>
    <xf numFmtId="164" fontId="27" fillId="24" borderId="0" xfId="0" applyNumberFormat="1" applyFont="1" applyFill="1" applyBorder="1"/>
    <xf numFmtId="0" fontId="40" fillId="0" borderId="0" xfId="0" applyFont="1" applyBorder="1" applyAlignment="1">
      <alignment vertical="center"/>
    </xf>
    <xf numFmtId="0" fontId="40" fillId="0" borderId="0" xfId="0" applyFont="1" applyFill="1" applyBorder="1" applyAlignment="1">
      <alignment vertical="center"/>
    </xf>
    <xf numFmtId="0" fontId="23" fillId="37" borderId="33" xfId="0" applyFont="1" applyFill="1" applyBorder="1"/>
    <xf numFmtId="0" fontId="0" fillId="37" borderId="0" xfId="0" applyFill="1" applyBorder="1"/>
    <xf numFmtId="3" fontId="0" fillId="0" borderId="0" xfId="0" applyNumberFormat="1" applyBorder="1"/>
    <xf numFmtId="3" fontId="0" fillId="0" borderId="0" xfId="0" applyNumberFormat="1" applyFill="1" applyBorder="1" applyAlignment="1">
      <alignment horizontal="center"/>
    </xf>
    <xf numFmtId="3" fontId="0" fillId="0" borderId="22" xfId="0" applyNumberFormat="1" applyFill="1" applyBorder="1" applyAlignment="1">
      <alignment horizontal="center"/>
    </xf>
    <xf numFmtId="4" fontId="0" fillId="0" borderId="0" xfId="0" applyNumberFormat="1" applyFill="1" applyBorder="1" applyAlignment="1">
      <alignment horizontal="center"/>
    </xf>
    <xf numFmtId="0" fontId="23" fillId="0" borderId="33" xfId="0" applyFont="1" applyBorder="1" applyAlignment="1">
      <alignment horizontal="center" vertical="center" wrapText="1"/>
    </xf>
    <xf numFmtId="0" fontId="0" fillId="37" borderId="0" xfId="0" applyFill="1"/>
    <xf numFmtId="0" fontId="0" fillId="0" borderId="0" xfId="0" applyFill="1"/>
    <xf numFmtId="0" fontId="47" fillId="0" borderId="42" xfId="0" applyNumberFormat="1" applyFont="1" applyFill="1" applyBorder="1" applyAlignment="1">
      <alignment horizontal="center" wrapText="1"/>
    </xf>
    <xf numFmtId="0" fontId="23" fillId="37" borderId="33" xfId="0" applyFont="1" applyFill="1" applyBorder="1" applyAlignment="1">
      <alignment horizontal="center"/>
    </xf>
    <xf numFmtId="0" fontId="23" fillId="37" borderId="33" xfId="0" applyFont="1" applyFill="1" applyBorder="1" applyAlignment="1">
      <alignment horizontal="center" wrapText="1"/>
    </xf>
    <xf numFmtId="0" fontId="40" fillId="37" borderId="0" xfId="0" applyFont="1" applyFill="1" applyBorder="1"/>
    <xf numFmtId="0" fontId="0" fillId="37" borderId="0" xfId="0" applyFill="1" applyAlignment="1">
      <alignment horizontal="left" indent="1"/>
    </xf>
    <xf numFmtId="2" fontId="0" fillId="37" borderId="0" xfId="0" applyNumberFormat="1" applyFill="1" applyAlignment="1">
      <alignment horizontal="center"/>
    </xf>
    <xf numFmtId="3" fontId="0" fillId="37" borderId="0" xfId="0" applyNumberFormat="1" applyFill="1" applyAlignment="1">
      <alignment horizontal="center"/>
    </xf>
    <xf numFmtId="0" fontId="0" fillId="37" borderId="0" xfId="0" applyFill="1" applyAlignment="1">
      <alignment horizontal="center"/>
    </xf>
    <xf numFmtId="0" fontId="0" fillId="37" borderId="0" xfId="0" applyFont="1" applyFill="1" applyBorder="1" applyAlignment="1">
      <alignment horizontal="left" indent="1"/>
    </xf>
    <xf numFmtId="2" fontId="0" fillId="37" borderId="0" xfId="0" applyNumberFormat="1" applyFill="1" applyBorder="1" applyAlignment="1">
      <alignment horizontal="center"/>
    </xf>
    <xf numFmtId="2" fontId="40" fillId="37" borderId="0" xfId="0" applyNumberFormat="1" applyFont="1" applyFill="1" applyBorder="1" applyAlignment="1">
      <alignment horizontal="center"/>
    </xf>
    <xf numFmtId="0" fontId="0" fillId="37" borderId="0" xfId="0" applyFill="1" applyBorder="1" applyAlignment="1">
      <alignment horizontal="center"/>
    </xf>
    <xf numFmtId="0" fontId="0" fillId="37" borderId="0" xfId="0" applyFill="1" applyBorder="1" applyAlignment="1">
      <alignment horizontal="left" indent="1"/>
    </xf>
    <xf numFmtId="4" fontId="0" fillId="37" borderId="0" xfId="0" applyNumberFormat="1" applyFill="1" applyAlignment="1">
      <alignment horizontal="center"/>
    </xf>
    <xf numFmtId="3" fontId="0" fillId="37" borderId="0" xfId="0" applyNumberFormat="1" applyFill="1" applyBorder="1" applyAlignment="1">
      <alignment horizontal="center"/>
    </xf>
    <xf numFmtId="3" fontId="54" fillId="0" borderId="0" xfId="0" applyNumberFormat="1" applyFont="1" applyAlignment="1">
      <alignment horizontal="center"/>
    </xf>
    <xf numFmtId="0" fontId="54" fillId="0" borderId="0" xfId="0" applyFont="1"/>
    <xf numFmtId="0" fontId="54" fillId="0" borderId="0" xfId="0" applyFont="1" applyBorder="1"/>
    <xf numFmtId="0" fontId="56" fillId="0" borderId="0" xfId="0" applyFont="1" applyBorder="1"/>
    <xf numFmtId="0" fontId="55" fillId="0" borderId="0" xfId="0" applyFont="1" applyFill="1" applyBorder="1" applyAlignment="1">
      <alignment horizontal="center"/>
    </xf>
    <xf numFmtId="0" fontId="54" fillId="0" borderId="0" xfId="0" applyFont="1" applyAlignment="1">
      <alignment horizontal="left" indent="1"/>
    </xf>
    <xf numFmtId="0" fontId="54" fillId="0" borderId="0" xfId="0" applyFont="1" applyAlignment="1">
      <alignment horizontal="center"/>
    </xf>
    <xf numFmtId="169" fontId="54" fillId="0" borderId="0" xfId="0" applyNumberFormat="1" applyFont="1" applyAlignment="1">
      <alignment horizontal="center"/>
    </xf>
    <xf numFmtId="0" fontId="54" fillId="0" borderId="0" xfId="0" applyFont="1" applyFill="1" applyBorder="1" applyAlignment="1">
      <alignment horizontal="left" indent="1"/>
    </xf>
    <xf numFmtId="0" fontId="54" fillId="0" borderId="0" xfId="0" applyFont="1" applyBorder="1" applyAlignment="1">
      <alignment horizontal="left" indent="1"/>
    </xf>
    <xf numFmtId="0" fontId="54" fillId="0" borderId="0" xfId="0" applyFont="1" applyBorder="1" applyAlignment="1">
      <alignment horizontal="center"/>
    </xf>
    <xf numFmtId="3" fontId="54" fillId="0" borderId="0" xfId="0" applyNumberFormat="1" applyFont="1" applyBorder="1" applyAlignment="1">
      <alignment horizontal="center"/>
    </xf>
    <xf numFmtId="169" fontId="54" fillId="0" borderId="0" xfId="0" applyNumberFormat="1" applyFont="1" applyBorder="1" applyAlignment="1">
      <alignment horizontal="center"/>
    </xf>
    <xf numFmtId="0" fontId="54" fillId="0" borderId="22" xfId="0" applyFont="1" applyFill="1" applyBorder="1" applyAlignment="1">
      <alignment horizontal="left" indent="1"/>
    </xf>
    <xf numFmtId="0" fontId="54" fillId="0" borderId="22" xfId="0" applyFont="1" applyBorder="1" applyAlignment="1">
      <alignment horizontal="center"/>
    </xf>
    <xf numFmtId="3" fontId="54" fillId="0" borderId="22" xfId="0" applyNumberFormat="1" applyFont="1" applyBorder="1" applyAlignment="1">
      <alignment horizontal="center"/>
    </xf>
    <xf numFmtId="169" fontId="54" fillId="0" borderId="22" xfId="0" applyNumberFormat="1" applyFont="1" applyBorder="1" applyAlignment="1">
      <alignment horizontal="center"/>
    </xf>
    <xf numFmtId="0" fontId="54" fillId="0" borderId="22" xfId="0" applyFont="1" applyBorder="1" applyAlignment="1">
      <alignment horizontal="left" indent="1"/>
    </xf>
    <xf numFmtId="0" fontId="23" fillId="0" borderId="33" xfId="0" applyFont="1" applyBorder="1" applyAlignment="1">
      <alignment vertical="center"/>
    </xf>
    <xf numFmtId="0" fontId="23" fillId="37" borderId="0" xfId="0" applyFont="1" applyFill="1"/>
    <xf numFmtId="0" fontId="0" fillId="37" borderId="22" xfId="0" applyFill="1" applyBorder="1"/>
    <xf numFmtId="0" fontId="0" fillId="37" borderId="0" xfId="0" applyFont="1" applyFill="1" applyBorder="1" applyAlignment="1">
      <alignment horizontal="left" vertical="center" indent="1"/>
    </xf>
    <xf numFmtId="0" fontId="0" fillId="37" borderId="22" xfId="0" applyFont="1" applyFill="1" applyBorder="1" applyAlignment="1">
      <alignment horizontal="left" vertical="center" indent="1"/>
    </xf>
    <xf numFmtId="0" fontId="23" fillId="37" borderId="35" xfId="0" applyFont="1" applyFill="1" applyBorder="1"/>
    <xf numFmtId="3" fontId="41" fillId="37" borderId="0" xfId="0" applyNumberFormat="1" applyFont="1" applyFill="1" applyBorder="1" applyAlignment="1">
      <alignment horizontal="center"/>
    </xf>
    <xf numFmtId="0" fontId="27" fillId="37" borderId="15" xfId="0" applyFont="1" applyFill="1" applyBorder="1"/>
    <xf numFmtId="0" fontId="23" fillId="37" borderId="46" xfId="0" applyFont="1" applyFill="1" applyBorder="1"/>
    <xf numFmtId="0" fontId="23" fillId="37" borderId="46" xfId="0" applyFont="1" applyFill="1" applyBorder="1" applyAlignment="1">
      <alignment horizontal="center"/>
    </xf>
    <xf numFmtId="10" fontId="41" fillId="37" borderId="0" xfId="102" applyNumberFormat="1" applyFont="1" applyFill="1" applyBorder="1"/>
    <xf numFmtId="0" fontId="58" fillId="37" borderId="0" xfId="0" applyFont="1" applyFill="1" applyAlignment="1">
      <alignment horizontal="center"/>
    </xf>
    <xf numFmtId="0" fontId="58" fillId="37" borderId="0" xfId="0" applyFont="1" applyFill="1"/>
    <xf numFmtId="10" fontId="41" fillId="37" borderId="41" xfId="102" applyNumberFormat="1" applyFont="1" applyFill="1" applyBorder="1"/>
    <xf numFmtId="3" fontId="0" fillId="0" borderId="0" xfId="0" applyNumberFormat="1" applyFont="1" applyBorder="1" applyAlignment="1">
      <alignment horizontal="right"/>
    </xf>
    <xf numFmtId="0" fontId="23" fillId="0" borderId="0" xfId="0" applyFont="1" applyBorder="1" applyAlignment="1">
      <alignment horizontal="left" vertical="center" indent="1"/>
    </xf>
    <xf numFmtId="3" fontId="23" fillId="0" borderId="0" xfId="0" applyNumberFormat="1" applyFont="1" applyBorder="1" applyAlignment="1">
      <alignment horizontal="right"/>
    </xf>
    <xf numFmtId="2" fontId="23" fillId="0" borderId="0" xfId="0" applyNumberFormat="1" applyFont="1" applyAlignment="1">
      <alignment horizontal="center"/>
    </xf>
    <xf numFmtId="2" fontId="23" fillId="0" borderId="0" xfId="0" applyNumberFormat="1" applyFont="1" applyBorder="1" applyAlignment="1">
      <alignment horizontal="center"/>
    </xf>
    <xf numFmtId="0" fontId="23" fillId="0" borderId="35" xfId="0" applyFont="1" applyBorder="1" applyAlignment="1">
      <alignment horizontal="left" vertical="center" indent="1"/>
    </xf>
    <xf numFmtId="3" fontId="23" fillId="0" borderId="35" xfId="0" applyNumberFormat="1" applyFont="1" applyBorder="1" applyAlignment="1">
      <alignment horizontal="right"/>
    </xf>
    <xf numFmtId="0" fontId="40" fillId="37" borderId="47" xfId="0" applyFont="1" applyFill="1" applyBorder="1" applyAlignment="1"/>
    <xf numFmtId="169" fontId="0" fillId="37" borderId="0" xfId="0" applyNumberFormat="1" applyFill="1" applyAlignment="1">
      <alignment horizontal="center"/>
    </xf>
    <xf numFmtId="0" fontId="0" fillId="37" borderId="0" xfId="0" applyFont="1" applyFill="1" applyAlignment="1">
      <alignment horizontal="left" indent="1"/>
    </xf>
    <xf numFmtId="169" fontId="0" fillId="37" borderId="0" xfId="0" applyNumberFormat="1" applyFill="1" applyBorder="1" applyAlignment="1">
      <alignment horizontal="center"/>
    </xf>
    <xf numFmtId="0" fontId="41" fillId="37" borderId="0" xfId="0" applyFont="1" applyFill="1" applyBorder="1" applyAlignment="1">
      <alignment horizontal="left" indent="1"/>
    </xf>
    <xf numFmtId="169" fontId="41" fillId="37" borderId="0" xfId="0" applyNumberFormat="1" applyFont="1" applyFill="1" applyBorder="1" applyAlignment="1">
      <alignment horizontal="center"/>
    </xf>
    <xf numFmtId="0" fontId="0" fillId="37" borderId="22" xfId="0" applyFont="1" applyFill="1" applyBorder="1" applyAlignment="1">
      <alignment horizontal="left" indent="1"/>
    </xf>
    <xf numFmtId="0" fontId="0" fillId="37" borderId="22" xfId="0" applyFill="1" applyBorder="1" applyAlignment="1">
      <alignment horizontal="left" indent="1"/>
    </xf>
    <xf numFmtId="3" fontId="0" fillId="37" borderId="22" xfId="0" applyNumberFormat="1" applyFill="1" applyBorder="1" applyAlignment="1">
      <alignment horizontal="center"/>
    </xf>
    <xf numFmtId="169" fontId="0" fillId="37" borderId="22" xfId="0" applyNumberFormat="1" applyFill="1" applyBorder="1" applyAlignment="1">
      <alignment horizontal="center"/>
    </xf>
    <xf numFmtId="0" fontId="0" fillId="0" borderId="0" xfId="0" applyFont="1"/>
    <xf numFmtId="170" fontId="47" fillId="0" borderId="37" xfId="0" applyNumberFormat="1" applyFont="1" applyFill="1" applyBorder="1" applyAlignment="1"/>
    <xf numFmtId="3" fontId="47" fillId="0" borderId="0" xfId="0" applyNumberFormat="1" applyFont="1" applyBorder="1" applyAlignment="1"/>
    <xf numFmtId="0" fontId="23" fillId="37" borderId="44" xfId="0" applyFont="1" applyFill="1" applyBorder="1"/>
    <xf numFmtId="0" fontId="0" fillId="37" borderId="33" xfId="0" applyFont="1" applyFill="1" applyBorder="1" applyAlignment="1">
      <alignment horizontal="left" indent="1"/>
    </xf>
    <xf numFmtId="3" fontId="0" fillId="0" borderId="33" xfId="0" applyNumberFormat="1" applyBorder="1" applyAlignment="1">
      <alignment horizontal="center"/>
    </xf>
    <xf numFmtId="170" fontId="0" fillId="0" borderId="33" xfId="0" applyNumberFormat="1" applyBorder="1" applyAlignment="1">
      <alignment horizontal="center"/>
    </xf>
    <xf numFmtId="0" fontId="0" fillId="0" borderId="0" xfId="0" applyBorder="1" applyAlignment="1">
      <alignment horizontal="center" vertical="center"/>
    </xf>
    <xf numFmtId="0" fontId="23" fillId="37" borderId="35" xfId="0" applyFont="1" applyFill="1" applyBorder="1" applyAlignment="1"/>
    <xf numFmtId="0" fontId="23" fillId="37" borderId="22" xfId="0" applyFont="1" applyFill="1" applyBorder="1"/>
    <xf numFmtId="0" fontId="0" fillId="37" borderId="45" xfId="0" applyFill="1" applyBorder="1" applyAlignment="1">
      <alignment horizontal="left" indent="1"/>
    </xf>
    <xf numFmtId="170" fontId="0" fillId="37" borderId="45" xfId="0" applyNumberFormat="1" applyFill="1" applyBorder="1" applyAlignment="1">
      <alignment horizontal="center"/>
    </xf>
    <xf numFmtId="0" fontId="23" fillId="37" borderId="44" xfId="0" applyFont="1" applyFill="1" applyBorder="1" applyAlignment="1">
      <alignment horizontal="center"/>
    </xf>
    <xf numFmtId="0" fontId="61" fillId="0" borderId="0" xfId="0" applyFont="1" applyAlignment="1">
      <alignment horizontal="left" vertical="center" indent="15"/>
    </xf>
    <xf numFmtId="3" fontId="0" fillId="0" borderId="0" xfId="0" applyNumberFormat="1" applyFont="1"/>
    <xf numFmtId="170" fontId="0" fillId="37" borderId="22" xfId="0" applyNumberFormat="1" applyFill="1" applyBorder="1" applyAlignment="1">
      <alignment horizontal="center"/>
    </xf>
    <xf numFmtId="0" fontId="23" fillId="37" borderId="0" xfId="0" applyFont="1" applyFill="1" applyBorder="1"/>
    <xf numFmtId="169" fontId="45" fillId="0" borderId="35" xfId="0" applyNumberFormat="1" applyFont="1" applyFill="1" applyBorder="1" applyAlignment="1"/>
    <xf numFmtId="169" fontId="45" fillId="0" borderId="36" xfId="0" applyNumberFormat="1" applyFont="1" applyFill="1" applyBorder="1" applyAlignment="1"/>
    <xf numFmtId="0" fontId="62" fillId="0" borderId="37" xfId="0" applyNumberFormat="1" applyFont="1" applyBorder="1" applyAlignment="1"/>
    <xf numFmtId="0" fontId="64" fillId="0" borderId="0" xfId="0" applyFont="1"/>
    <xf numFmtId="0" fontId="0" fillId="37" borderId="0" xfId="0" applyFont="1" applyFill="1" applyBorder="1" applyAlignment="1">
      <alignment horizontal="center"/>
    </xf>
    <xf numFmtId="169" fontId="0" fillId="37" borderId="0" xfId="0" applyNumberFormat="1" applyFont="1" applyFill="1" applyBorder="1" applyAlignment="1">
      <alignment horizontal="right" indent="1"/>
    </xf>
    <xf numFmtId="0" fontId="0" fillId="0" borderId="0" xfId="0" applyBorder="1" applyAlignment="1">
      <alignment vertical="center"/>
    </xf>
    <xf numFmtId="0" fontId="37" fillId="0" borderId="0" xfId="0" applyFont="1"/>
    <xf numFmtId="0" fontId="37" fillId="37" borderId="0" xfId="0" applyFont="1" applyFill="1" applyBorder="1"/>
    <xf numFmtId="3" fontId="23" fillId="0" borderId="0" xfId="0" applyNumberFormat="1" applyFont="1"/>
    <xf numFmtId="165" fontId="65" fillId="31" borderId="0" xfId="49" applyNumberFormat="1" applyFont="1" applyFill="1" applyBorder="1"/>
    <xf numFmtId="168" fontId="65" fillId="26" borderId="0" xfId="102" applyNumberFormat="1" applyFont="1" applyFill="1" applyBorder="1"/>
    <xf numFmtId="2" fontId="25" fillId="37" borderId="0" xfId="0" applyNumberFormat="1" applyFont="1" applyFill="1" applyBorder="1"/>
    <xf numFmtId="165" fontId="65" fillId="29" borderId="0" xfId="49" applyNumberFormat="1" applyFont="1" applyFill="1" applyBorder="1"/>
    <xf numFmtId="2" fontId="65" fillId="31" borderId="0" xfId="49" applyNumberFormat="1" applyFont="1" applyFill="1" applyBorder="1"/>
    <xf numFmtId="167" fontId="0" fillId="37" borderId="0" xfId="0" applyNumberFormat="1" applyFill="1" applyBorder="1"/>
    <xf numFmtId="0" fontId="49" fillId="0" borderId="0" xfId="0" applyFont="1"/>
    <xf numFmtId="3" fontId="41" fillId="37" borderId="0" xfId="0" applyNumberFormat="1" applyFont="1" applyFill="1"/>
    <xf numFmtId="0" fontId="41" fillId="0" borderId="0" xfId="0" applyFont="1" applyBorder="1"/>
    <xf numFmtId="0" fontId="0" fillId="37" borderId="0" xfId="0" applyFont="1" applyFill="1" applyBorder="1" applyAlignment="1">
      <alignment horizontal="left"/>
    </xf>
    <xf numFmtId="3" fontId="58" fillId="0" borderId="0" xfId="0" applyNumberFormat="1" applyFont="1"/>
    <xf numFmtId="3" fontId="0" fillId="37" borderId="0" xfId="0" applyNumberFormat="1" applyFill="1" applyBorder="1" applyAlignment="1"/>
    <xf numFmtId="171" fontId="0" fillId="37" borderId="0" xfId="0" applyNumberFormat="1" applyFont="1" applyFill="1" applyBorder="1" applyAlignment="1"/>
    <xf numFmtId="0" fontId="0" fillId="37" borderId="35" xfId="0" applyFill="1" applyBorder="1"/>
    <xf numFmtId="3" fontId="0" fillId="37" borderId="0" xfId="0" applyNumberFormat="1" applyFont="1" applyFill="1" applyBorder="1" applyAlignment="1">
      <alignment horizontal="right" indent="1"/>
    </xf>
    <xf numFmtId="3" fontId="0" fillId="37" borderId="0" xfId="0" applyNumberFormat="1" applyFont="1" applyFill="1" applyBorder="1" applyAlignment="1">
      <alignment horizontal="right"/>
    </xf>
    <xf numFmtId="3" fontId="0" fillId="0" borderId="0" xfId="0" applyNumberFormat="1" applyFont="1" applyFill="1" applyBorder="1" applyAlignment="1">
      <alignment horizontal="right"/>
    </xf>
    <xf numFmtId="0" fontId="0" fillId="37" borderId="0" xfId="0" applyFont="1" applyFill="1" applyBorder="1" applyAlignment="1"/>
    <xf numFmtId="3" fontId="0" fillId="37" borderId="0" xfId="0" applyNumberFormat="1" applyFont="1" applyFill="1" applyBorder="1" applyAlignment="1"/>
    <xf numFmtId="3" fontId="23" fillId="37" borderId="35" xfId="0" applyNumberFormat="1" applyFont="1" applyFill="1" applyBorder="1" applyAlignment="1">
      <alignment horizontal="right"/>
    </xf>
    <xf numFmtId="0" fontId="23" fillId="0" borderId="35" xfId="0" applyFont="1" applyBorder="1"/>
    <xf numFmtId="0" fontId="0" fillId="0" borderId="0" xfId="0" applyBorder="1" applyAlignment="1">
      <alignment horizontal="left" vertical="center" indent="2"/>
    </xf>
    <xf numFmtId="0" fontId="0" fillId="0" borderId="0" xfId="0" applyFill="1" applyBorder="1" applyAlignment="1">
      <alignment horizontal="left" vertical="center" indent="2"/>
    </xf>
    <xf numFmtId="0" fontId="23" fillId="0" borderId="49" xfId="0" applyFont="1" applyBorder="1"/>
    <xf numFmtId="3" fontId="23" fillId="0" borderId="49" xfId="0" applyNumberFormat="1" applyFont="1" applyBorder="1"/>
    <xf numFmtId="0" fontId="23" fillId="0" borderId="0" xfId="0" applyFont="1" applyBorder="1" applyAlignment="1">
      <alignment vertical="center"/>
    </xf>
    <xf numFmtId="0" fontId="23" fillId="0" borderId="0" xfId="0" applyFont="1" applyBorder="1" applyAlignment="1">
      <alignment horizontal="center" vertical="center" wrapText="1"/>
    </xf>
    <xf numFmtId="0" fontId="23" fillId="0" borderId="0" xfId="0" applyFont="1" applyFill="1" applyBorder="1" applyAlignment="1">
      <alignment horizontal="left" vertical="center" indent="2"/>
    </xf>
    <xf numFmtId="10" fontId="4" fillId="0" borderId="35" xfId="102" applyNumberFormat="1" applyFont="1" applyBorder="1" applyAlignment="1">
      <alignment horizontal="right"/>
    </xf>
    <xf numFmtId="0" fontId="45" fillId="0" borderId="35" xfId="0" applyFont="1" applyFill="1" applyBorder="1" applyAlignment="1">
      <alignment horizontal="left" vertical="center" indent="1"/>
    </xf>
    <xf numFmtId="0" fontId="40" fillId="0" borderId="44" xfId="0" applyFont="1" applyBorder="1"/>
    <xf numFmtId="3" fontId="0" fillId="37" borderId="0" xfId="0" applyNumberFormat="1" applyFill="1"/>
    <xf numFmtId="3" fontId="23" fillId="0" borderId="0" xfId="0" applyNumberFormat="1" applyFont="1" applyBorder="1"/>
    <xf numFmtId="0" fontId="0" fillId="0" borderId="46" xfId="0" applyBorder="1"/>
    <xf numFmtId="0" fontId="0" fillId="0" borderId="0" xfId="0" applyFont="1" applyBorder="1"/>
    <xf numFmtId="0" fontId="23" fillId="0" borderId="0" xfId="0" applyFont="1" applyFill="1" applyBorder="1"/>
    <xf numFmtId="3" fontId="37" fillId="37" borderId="42" xfId="0" applyNumberFormat="1" applyFont="1" applyFill="1" applyBorder="1" applyAlignment="1">
      <alignment horizontal="center"/>
    </xf>
    <xf numFmtId="0" fontId="36" fillId="37" borderId="42" xfId="0" applyFont="1" applyFill="1" applyBorder="1" applyAlignment="1">
      <alignment horizontal="center"/>
    </xf>
    <xf numFmtId="167" fontId="37" fillId="37" borderId="42" xfId="0" applyNumberFormat="1" applyFont="1" applyFill="1" applyBorder="1" applyAlignment="1">
      <alignment horizontal="center"/>
    </xf>
    <xf numFmtId="0" fontId="23" fillId="37" borderId="33" xfId="0" applyFont="1" applyFill="1" applyBorder="1" applyAlignment="1">
      <alignment vertical="center" wrapText="1"/>
    </xf>
    <xf numFmtId="0" fontId="23" fillId="37" borderId="33" xfId="0" applyFont="1" applyFill="1" applyBorder="1" applyAlignment="1">
      <alignment wrapText="1"/>
    </xf>
    <xf numFmtId="0" fontId="0" fillId="37" borderId="45" xfId="0" applyFill="1" applyBorder="1"/>
    <xf numFmtId="3" fontId="68" fillId="37" borderId="45" xfId="0" applyNumberFormat="1" applyFont="1" applyFill="1" applyBorder="1"/>
    <xf numFmtId="3" fontId="0" fillId="37" borderId="45" xfId="0" applyNumberFormat="1" applyFill="1" applyBorder="1"/>
    <xf numFmtId="2" fontId="69" fillId="37" borderId="42" xfId="0" applyNumberFormat="1" applyFont="1" applyFill="1" applyBorder="1" applyAlignment="1">
      <alignment horizontal="center"/>
    </xf>
    <xf numFmtId="173" fontId="69" fillId="37" borderId="42" xfId="0" applyNumberFormat="1" applyFont="1" applyFill="1" applyBorder="1" applyAlignment="1">
      <alignment horizontal="center"/>
    </xf>
    <xf numFmtId="167" fontId="69" fillId="37" borderId="42" xfId="0" applyNumberFormat="1" applyFont="1" applyFill="1" applyBorder="1" applyAlignment="1">
      <alignment horizontal="center"/>
    </xf>
    <xf numFmtId="10" fontId="69" fillId="37" borderId="42" xfId="102" applyNumberFormat="1" applyFont="1" applyFill="1" applyBorder="1" applyAlignment="1">
      <alignment horizontal="center"/>
    </xf>
    <xf numFmtId="3" fontId="69" fillId="37" borderId="42" xfId="0" applyNumberFormat="1" applyFont="1" applyFill="1" applyBorder="1" applyAlignment="1">
      <alignment horizontal="center"/>
    </xf>
    <xf numFmtId="166" fontId="69" fillId="37" borderId="42" xfId="0" applyNumberFormat="1" applyFont="1" applyFill="1" applyBorder="1" applyAlignment="1">
      <alignment horizontal="center"/>
    </xf>
    <xf numFmtId="167" fontId="0" fillId="37" borderId="45" xfId="0" applyNumberFormat="1" applyFill="1" applyBorder="1" applyAlignment="1">
      <alignment horizontal="center"/>
    </xf>
    <xf numFmtId="169" fontId="0" fillId="37" borderId="45" xfId="0" applyNumberFormat="1" applyFill="1" applyBorder="1" applyAlignment="1">
      <alignment horizontal="center"/>
    </xf>
    <xf numFmtId="1" fontId="60" fillId="37" borderId="0" xfId="0" applyNumberFormat="1" applyFont="1" applyFill="1" applyBorder="1" applyAlignment="1">
      <alignment horizontal="center"/>
    </xf>
    <xf numFmtId="0" fontId="23" fillId="37" borderId="33" xfId="0" applyFont="1" applyFill="1" applyBorder="1" applyAlignment="1">
      <alignment horizontal="center"/>
    </xf>
    <xf numFmtId="0" fontId="0" fillId="37" borderId="47" xfId="0" applyFill="1" applyBorder="1"/>
    <xf numFmtId="1" fontId="0" fillId="37" borderId="47" xfId="0" applyNumberFormat="1" applyFill="1" applyBorder="1" applyAlignment="1">
      <alignment horizontal="center"/>
    </xf>
    <xf numFmtId="0" fontId="0" fillId="37" borderId="0" xfId="0" applyFont="1" applyFill="1" applyBorder="1" applyAlignment="1">
      <alignment horizontal="left" indent="3"/>
    </xf>
    <xf numFmtId="0" fontId="52" fillId="37" borderId="33" xfId="0" applyFont="1" applyFill="1" applyBorder="1" applyAlignment="1">
      <alignment horizontal="center" vertical="center"/>
    </xf>
    <xf numFmtId="0" fontId="50" fillId="37" borderId="0" xfId="0" applyFont="1" applyFill="1" applyAlignment="1">
      <alignment vertical="center"/>
    </xf>
    <xf numFmtId="0" fontId="51" fillId="37" borderId="0" xfId="0" applyFont="1" applyFill="1" applyAlignment="1">
      <alignment vertical="center"/>
    </xf>
    <xf numFmtId="0" fontId="50" fillId="37" borderId="0" xfId="0" applyFont="1" applyFill="1" applyAlignment="1">
      <alignment horizontal="left" vertical="center" indent="1"/>
    </xf>
    <xf numFmtId="0" fontId="50" fillId="37" borderId="22" xfId="0" applyFont="1" applyFill="1" applyBorder="1" applyAlignment="1">
      <alignment horizontal="left" vertical="center" indent="1"/>
    </xf>
    <xf numFmtId="0" fontId="0" fillId="37" borderId="0" xfId="0" applyFont="1" applyFill="1"/>
    <xf numFmtId="0" fontId="52" fillId="37" borderId="46" xfId="0" applyFont="1" applyFill="1" applyBorder="1" applyAlignment="1">
      <alignment vertical="center"/>
    </xf>
    <xf numFmtId="0" fontId="52" fillId="37" borderId="46" xfId="0" applyFont="1" applyFill="1" applyBorder="1" applyAlignment="1">
      <alignment horizontal="center" vertical="center"/>
    </xf>
    <xf numFmtId="0" fontId="53" fillId="37" borderId="0" xfId="0" applyFont="1" applyFill="1"/>
    <xf numFmtId="3" fontId="50" fillId="37" borderId="0" xfId="0" applyNumberFormat="1" applyFont="1" applyFill="1" applyAlignment="1">
      <alignment horizontal="center" vertical="center"/>
    </xf>
    <xf numFmtId="3" fontId="0" fillId="37" borderId="0" xfId="0" applyNumberFormat="1" applyFont="1" applyFill="1" applyAlignment="1">
      <alignment horizontal="center"/>
    </xf>
    <xf numFmtId="3" fontId="53" fillId="37" borderId="0" xfId="0" applyNumberFormat="1" applyFont="1" applyFill="1"/>
    <xf numFmtId="0" fontId="50" fillId="37" borderId="0" xfId="0" applyFont="1" applyFill="1" applyBorder="1" applyAlignment="1">
      <alignment horizontal="left" vertical="center" indent="1"/>
    </xf>
    <xf numFmtId="3" fontId="0" fillId="37" borderId="0" xfId="0" applyNumberFormat="1" applyFont="1" applyFill="1" applyBorder="1" applyAlignment="1">
      <alignment horizontal="center"/>
    </xf>
    <xf numFmtId="0" fontId="52" fillId="37" borderId="22" xfId="0" applyFont="1" applyFill="1" applyBorder="1" applyAlignment="1">
      <alignment vertical="center"/>
    </xf>
    <xf numFmtId="3" fontId="52" fillId="37" borderId="22" xfId="0" applyNumberFormat="1" applyFont="1" applyFill="1" applyBorder="1" applyAlignment="1">
      <alignment horizontal="center" vertical="center"/>
    </xf>
    <xf numFmtId="4" fontId="52" fillId="37" borderId="22" xfId="0" applyNumberFormat="1" applyFont="1" applyFill="1" applyBorder="1" applyAlignment="1">
      <alignment horizontal="center" vertical="center"/>
    </xf>
    <xf numFmtId="3" fontId="23" fillId="37" borderId="22" xfId="0" applyNumberFormat="1" applyFont="1" applyFill="1" applyBorder="1" applyAlignment="1">
      <alignment horizontal="center"/>
    </xf>
    <xf numFmtId="3" fontId="70" fillId="37" borderId="0" xfId="0" applyNumberFormat="1" applyFont="1" applyFill="1" applyAlignment="1">
      <alignment horizontal="center"/>
    </xf>
    <xf numFmtId="3" fontId="70" fillId="37" borderId="22" xfId="0" applyNumberFormat="1" applyFont="1" applyFill="1" applyBorder="1" applyAlignment="1">
      <alignment horizontal="center"/>
    </xf>
    <xf numFmtId="169" fontId="70" fillId="37" borderId="0" xfId="0" applyNumberFormat="1" applyFont="1" applyFill="1" applyAlignment="1">
      <alignment horizontal="center"/>
    </xf>
    <xf numFmtId="170" fontId="70" fillId="37" borderId="0" xfId="0" applyNumberFormat="1" applyFont="1" applyFill="1" applyAlignment="1">
      <alignment horizontal="center"/>
    </xf>
    <xf numFmtId="169" fontId="70" fillId="37" borderId="22" xfId="0" applyNumberFormat="1" applyFont="1" applyFill="1" applyBorder="1" applyAlignment="1">
      <alignment horizontal="center"/>
    </xf>
    <xf numFmtId="169" fontId="70" fillId="37" borderId="0" xfId="0" applyNumberFormat="1" applyFont="1" applyFill="1" applyAlignment="1">
      <alignment horizontal="center" vertical="center"/>
    </xf>
    <xf numFmtId="10" fontId="70" fillId="37" borderId="0" xfId="0" applyNumberFormat="1" applyFont="1" applyFill="1" applyAlignment="1">
      <alignment horizontal="center" vertical="center"/>
    </xf>
    <xf numFmtId="0" fontId="71" fillId="37" borderId="0" xfId="0" applyFont="1" applyFill="1"/>
    <xf numFmtId="9" fontId="70" fillId="37" borderId="0" xfId="0" applyNumberFormat="1" applyFont="1" applyFill="1" applyAlignment="1">
      <alignment horizontal="center" vertical="center"/>
    </xf>
    <xf numFmtId="3" fontId="70" fillId="37" borderId="22" xfId="0" applyNumberFormat="1" applyFont="1" applyFill="1" applyBorder="1" applyAlignment="1">
      <alignment horizontal="center" vertical="center"/>
    </xf>
    <xf numFmtId="0" fontId="23" fillId="37" borderId="44" xfId="0" applyFont="1" applyFill="1" applyBorder="1" applyAlignment="1">
      <alignment horizontal="left"/>
    </xf>
    <xf numFmtId="167" fontId="0" fillId="37" borderId="45" xfId="0" applyNumberFormat="1" applyFill="1" applyBorder="1" applyAlignment="1">
      <alignment horizontal="left"/>
    </xf>
    <xf numFmtId="3" fontId="72" fillId="37" borderId="0" xfId="0" applyNumberFormat="1" applyFont="1" applyFill="1" applyBorder="1" applyAlignment="1">
      <alignment horizontal="center"/>
    </xf>
    <xf numFmtId="3" fontId="58" fillId="37" borderId="0" xfId="0" applyNumberFormat="1" applyFont="1" applyFill="1" applyBorder="1" applyAlignment="1">
      <alignment horizontal="center"/>
    </xf>
    <xf numFmtId="3" fontId="58" fillId="37" borderId="22" xfId="0" applyNumberFormat="1" applyFont="1" applyFill="1" applyBorder="1" applyAlignment="1">
      <alignment horizontal="center"/>
    </xf>
    <xf numFmtId="0" fontId="0" fillId="37" borderId="44" xfId="0" applyFill="1" applyBorder="1"/>
    <xf numFmtId="3" fontId="66" fillId="37" borderId="0" xfId="0" applyNumberFormat="1" applyFont="1" applyFill="1"/>
    <xf numFmtId="0" fontId="57" fillId="37" borderId="0" xfId="0" applyFont="1" applyFill="1" applyBorder="1" applyAlignment="1">
      <alignment horizontal="center"/>
    </xf>
    <xf numFmtId="0" fontId="0" fillId="37" borderId="0" xfId="0" applyFont="1" applyFill="1" applyBorder="1"/>
    <xf numFmtId="3" fontId="41" fillId="0" borderId="0" xfId="0" applyNumberFormat="1" applyFont="1"/>
    <xf numFmtId="1" fontId="41" fillId="0" borderId="0" xfId="0" applyNumberFormat="1" applyFont="1" applyBorder="1" applyAlignment="1">
      <alignment horizontal="right" indent="1"/>
    </xf>
    <xf numFmtId="167" fontId="41" fillId="37" borderId="0" xfId="0" applyNumberFormat="1" applyFont="1" applyFill="1" applyBorder="1"/>
    <xf numFmtId="167" fontId="0" fillId="37" borderId="22" xfId="0" applyNumberFormat="1" applyFill="1" applyBorder="1"/>
    <xf numFmtId="0" fontId="23" fillId="37" borderId="46" xfId="0" applyFont="1" applyFill="1" applyBorder="1" applyAlignment="1">
      <alignment horizontal="center" vertical="center"/>
    </xf>
    <xf numFmtId="0" fontId="23" fillId="37" borderId="46" xfId="0" applyFont="1" applyFill="1" applyBorder="1" applyAlignment="1">
      <alignment horizontal="center" vertical="center" wrapText="1"/>
    </xf>
    <xf numFmtId="168" fontId="59" fillId="37" borderId="0" xfId="102" applyNumberFormat="1" applyFont="1" applyFill="1" applyBorder="1"/>
    <xf numFmtId="168" fontId="41" fillId="37" borderId="0" xfId="102" applyNumberFormat="1" applyFont="1" applyFill="1" applyBorder="1"/>
    <xf numFmtId="168" fontId="41" fillId="37" borderId="22" xfId="102" applyNumberFormat="1" applyFont="1" applyFill="1" applyBorder="1"/>
    <xf numFmtId="0" fontId="23" fillId="37" borderId="50" xfId="0" applyFont="1" applyFill="1" applyBorder="1" applyAlignment="1"/>
    <xf numFmtId="0" fontId="23" fillId="37" borderId="44" xfId="0" applyFont="1" applyFill="1" applyBorder="1" applyAlignment="1"/>
    <xf numFmtId="0" fontId="23" fillId="37" borderId="51" xfId="0" applyFont="1" applyFill="1" applyBorder="1" applyAlignment="1">
      <alignment horizontal="center" vertical="center" wrapText="1"/>
    </xf>
    <xf numFmtId="0" fontId="0" fillId="37" borderId="37" xfId="0" applyFill="1" applyBorder="1"/>
    <xf numFmtId="10" fontId="23" fillId="37" borderId="37" xfId="102" applyNumberFormat="1" applyFont="1" applyFill="1" applyBorder="1"/>
    <xf numFmtId="10" fontId="41" fillId="37" borderId="37" xfId="102" applyNumberFormat="1" applyFont="1" applyFill="1" applyBorder="1"/>
    <xf numFmtId="170" fontId="68" fillId="37" borderId="45" xfId="0" applyNumberFormat="1" applyFont="1" applyFill="1" applyBorder="1"/>
    <xf numFmtId="43" fontId="23" fillId="37" borderId="0" xfId="49" applyNumberFormat="1" applyFont="1" applyFill="1" applyBorder="1"/>
    <xf numFmtId="43" fontId="4" fillId="37" borderId="0" xfId="49" applyNumberFormat="1" applyFont="1" applyFill="1" applyBorder="1"/>
    <xf numFmtId="43" fontId="4" fillId="37" borderId="22" xfId="49" applyNumberFormat="1" applyFont="1" applyFill="1" applyBorder="1"/>
    <xf numFmtId="3" fontId="0" fillId="37" borderId="0" xfId="0" applyNumberFormat="1" applyFill="1" applyBorder="1"/>
    <xf numFmtId="3" fontId="0" fillId="37" borderId="22" xfId="0" applyNumberFormat="1" applyFill="1" applyBorder="1"/>
    <xf numFmtId="0" fontId="0" fillId="37" borderId="33" xfId="0" applyFill="1" applyBorder="1"/>
    <xf numFmtId="3" fontId="23" fillId="37" borderId="0" xfId="0" applyNumberFormat="1" applyFont="1" applyFill="1" applyBorder="1"/>
    <xf numFmtId="0" fontId="73" fillId="37" borderId="0" xfId="0" applyFont="1" applyFill="1" applyBorder="1"/>
    <xf numFmtId="15" fontId="0" fillId="37" borderId="0" xfId="0" applyNumberFormat="1" applyFill="1" applyBorder="1"/>
    <xf numFmtId="49" fontId="0" fillId="37" borderId="0" xfId="0" applyNumberFormat="1" applyFill="1" applyBorder="1" applyAlignment="1">
      <alignment horizontal="center"/>
    </xf>
    <xf numFmtId="0" fontId="63" fillId="0" borderId="0" xfId="0" applyFont="1" applyAlignment="1">
      <alignment horizontal="center"/>
    </xf>
    <xf numFmtId="0" fontId="63" fillId="0" borderId="0" xfId="0" applyFont="1"/>
    <xf numFmtId="0" fontId="63" fillId="24" borderId="0" xfId="0" applyFont="1" applyFill="1"/>
    <xf numFmtId="0" fontId="74" fillId="29" borderId="0" xfId="0" applyFont="1" applyFill="1"/>
    <xf numFmtId="0" fontId="63" fillId="29" borderId="0" xfId="0" applyFont="1" applyFill="1" applyAlignment="1">
      <alignment horizontal="center"/>
    </xf>
    <xf numFmtId="2" fontId="75" fillId="35" borderId="0" xfId="0" applyNumberFormat="1" applyFont="1" applyFill="1"/>
    <xf numFmtId="2" fontId="75" fillId="35" borderId="0" xfId="0" applyNumberFormat="1" applyFont="1" applyFill="1" applyAlignment="1">
      <alignment horizontal="center"/>
    </xf>
    <xf numFmtId="2" fontId="75" fillId="35" borderId="22" xfId="0" applyNumberFormat="1" applyFont="1" applyFill="1" applyBorder="1"/>
    <xf numFmtId="2" fontId="75" fillId="35" borderId="22" xfId="0" applyNumberFormat="1" applyFont="1" applyFill="1" applyBorder="1" applyAlignment="1">
      <alignment horizontal="center"/>
    </xf>
    <xf numFmtId="0" fontId="63" fillId="0" borderId="0" xfId="0" applyFont="1" applyFill="1"/>
    <xf numFmtId="0" fontId="76" fillId="0" borderId="0" xfId="0" applyFont="1"/>
    <xf numFmtId="0" fontId="75" fillId="29" borderId="0" xfId="0" applyFont="1" applyFill="1"/>
    <xf numFmtId="0" fontId="77" fillId="24" borderId="33" xfId="68" applyFont="1" applyFill="1" applyBorder="1" applyAlignment="1">
      <alignment horizontal="right"/>
    </xf>
    <xf numFmtId="0" fontId="77" fillId="24" borderId="33" xfId="68" applyFont="1" applyFill="1" applyBorder="1" applyAlignment="1">
      <alignment horizontal="center"/>
    </xf>
    <xf numFmtId="0" fontId="78" fillId="24" borderId="0" xfId="0" applyFont="1" applyFill="1" applyBorder="1" applyAlignment="1">
      <alignment horizontal="right"/>
    </xf>
    <xf numFmtId="166" fontId="78" fillId="24" borderId="0" xfId="0" applyNumberFormat="1" applyFont="1" applyFill="1" applyBorder="1"/>
    <xf numFmtId="0" fontId="78" fillId="24" borderId="0" xfId="68" applyFont="1" applyFill="1" applyAlignment="1">
      <alignment horizontal="center"/>
    </xf>
    <xf numFmtId="166" fontId="79" fillId="24" borderId="0" xfId="0" applyNumberFormat="1" applyFont="1" applyFill="1" applyBorder="1"/>
    <xf numFmtId="0" fontId="78" fillId="24" borderId="22" xfId="0" applyFont="1" applyFill="1" applyBorder="1" applyAlignment="1">
      <alignment horizontal="right"/>
    </xf>
    <xf numFmtId="166" fontId="78" fillId="24" borderId="22" xfId="0" applyNumberFormat="1" applyFont="1" applyFill="1" applyBorder="1"/>
    <xf numFmtId="166" fontId="79" fillId="24" borderId="22" xfId="0" applyNumberFormat="1" applyFont="1" applyFill="1" applyBorder="1"/>
    <xf numFmtId="0" fontId="78" fillId="24" borderId="22" xfId="68" applyFont="1" applyFill="1" applyBorder="1" applyAlignment="1">
      <alignment horizontal="center"/>
    </xf>
    <xf numFmtId="0" fontId="78" fillId="24" borderId="0" xfId="0" applyFont="1" applyFill="1" applyBorder="1"/>
    <xf numFmtId="0" fontId="78" fillId="24" borderId="33" xfId="68" applyFont="1" applyFill="1" applyBorder="1"/>
    <xf numFmtId="0" fontId="77" fillId="24" borderId="33" xfId="68" applyFont="1" applyFill="1" applyBorder="1"/>
    <xf numFmtId="0" fontId="78" fillId="24" borderId="0" xfId="68" applyFont="1" applyFill="1" applyBorder="1" applyAlignment="1">
      <alignment horizontal="right"/>
    </xf>
    <xf numFmtId="2" fontId="78" fillId="24" borderId="0" xfId="68" applyNumberFormat="1" applyFont="1" applyFill="1" applyBorder="1"/>
    <xf numFmtId="0" fontId="78" fillId="24" borderId="0" xfId="68" applyFont="1" applyFill="1"/>
    <xf numFmtId="2" fontId="78" fillId="24" borderId="0" xfId="0" applyNumberFormat="1" applyFont="1" applyFill="1" applyBorder="1"/>
    <xf numFmtId="2" fontId="78" fillId="0" borderId="0" xfId="67" applyNumberFormat="1" applyFont="1" applyFill="1" applyBorder="1"/>
    <xf numFmtId="0" fontId="78" fillId="0" borderId="0" xfId="68" applyFont="1" applyFill="1" applyBorder="1" applyAlignment="1">
      <alignment horizontal="right"/>
    </xf>
    <xf numFmtId="2" fontId="78" fillId="0" borderId="0" xfId="68" applyNumberFormat="1" applyFont="1" applyFill="1" applyBorder="1"/>
    <xf numFmtId="0" fontId="77" fillId="24" borderId="0" xfId="68" applyFont="1" applyFill="1" applyBorder="1" applyAlignment="1">
      <alignment horizontal="right"/>
    </xf>
    <xf numFmtId="0" fontId="77" fillId="24" borderId="0" xfId="68" applyFont="1" applyFill="1" applyBorder="1"/>
    <xf numFmtId="166" fontId="79" fillId="24" borderId="0" xfId="0" applyNumberFormat="1" applyFont="1" applyFill="1" applyBorder="1" applyAlignment="1">
      <alignment horizontal="right"/>
    </xf>
    <xf numFmtId="2" fontId="78" fillId="24" borderId="0" xfId="0" applyNumberFormat="1" applyFont="1" applyFill="1" applyBorder="1" applyAlignment="1">
      <alignment horizontal="right"/>
    </xf>
    <xf numFmtId="0" fontId="78" fillId="24" borderId="0" xfId="68" applyFont="1" applyFill="1" applyBorder="1"/>
    <xf numFmtId="0" fontId="78" fillId="24" borderId="0" xfId="68" applyFont="1" applyFill="1" applyBorder="1" applyAlignment="1">
      <alignment horizontal="center"/>
    </xf>
    <xf numFmtId="167" fontId="78" fillId="24" borderId="22" xfId="0" applyNumberFormat="1" applyFont="1" applyFill="1" applyBorder="1" applyAlignment="1">
      <alignment horizontal="right"/>
    </xf>
    <xf numFmtId="0" fontId="78" fillId="24" borderId="22" xfId="68" applyFont="1" applyFill="1" applyBorder="1"/>
    <xf numFmtId="0" fontId="77" fillId="24" borderId="0" xfId="0" applyFont="1" applyFill="1" applyBorder="1" applyAlignment="1">
      <alignment horizontal="right"/>
    </xf>
    <xf numFmtId="167" fontId="78" fillId="24" borderId="0" xfId="0" applyNumberFormat="1" applyFont="1" applyFill="1" applyBorder="1" applyAlignment="1">
      <alignment horizontal="right"/>
    </xf>
    <xf numFmtId="166" fontId="78" fillId="24" borderId="0" xfId="0" applyNumberFormat="1" applyFont="1" applyFill="1" applyBorder="1" applyAlignment="1">
      <alignment horizontal="right"/>
    </xf>
    <xf numFmtId="0" fontId="78" fillId="0" borderId="0" xfId="68" applyFont="1" applyFill="1" applyAlignment="1">
      <alignment horizontal="center"/>
    </xf>
    <xf numFmtId="0" fontId="78" fillId="0" borderId="0" xfId="68" applyFont="1" applyFill="1"/>
    <xf numFmtId="166" fontId="78" fillId="24" borderId="22" xfId="0" applyNumberFormat="1" applyFont="1" applyFill="1" applyBorder="1" applyAlignment="1">
      <alignment horizontal="right"/>
    </xf>
    <xf numFmtId="173" fontId="79" fillId="24" borderId="0" xfId="0" applyNumberFormat="1" applyFont="1" applyFill="1" applyBorder="1" applyAlignment="1">
      <alignment horizontal="right"/>
    </xf>
    <xf numFmtId="173" fontId="78" fillId="24" borderId="0" xfId="0" applyNumberFormat="1" applyFont="1" applyFill="1" applyBorder="1" applyAlignment="1">
      <alignment horizontal="right"/>
    </xf>
    <xf numFmtId="2" fontId="79" fillId="24" borderId="0" xfId="0" applyNumberFormat="1" applyFont="1" applyFill="1" applyBorder="1"/>
    <xf numFmtId="1" fontId="79" fillId="24" borderId="0" xfId="0" applyNumberFormat="1" applyFont="1" applyFill="1" applyBorder="1" applyAlignment="1">
      <alignment horizontal="right"/>
    </xf>
    <xf numFmtId="1" fontId="78" fillId="24" borderId="0" xfId="0" applyNumberFormat="1" applyFont="1" applyFill="1" applyBorder="1" applyAlignment="1">
      <alignment horizontal="right"/>
    </xf>
    <xf numFmtId="2" fontId="74" fillId="35" borderId="22" xfId="0" applyNumberFormat="1" applyFont="1" applyFill="1" applyBorder="1"/>
    <xf numFmtId="0" fontId="23" fillId="37" borderId="33" xfId="0" applyFont="1" applyFill="1" applyBorder="1" applyAlignment="1">
      <alignment horizontal="center"/>
    </xf>
    <xf numFmtId="166" fontId="81" fillId="24" borderId="0" xfId="0" applyNumberFormat="1" applyFont="1" applyFill="1" applyBorder="1"/>
    <xf numFmtId="0" fontId="82" fillId="24" borderId="0" xfId="0" applyFont="1" applyFill="1" applyAlignment="1">
      <alignment horizontal="center"/>
    </xf>
    <xf numFmtId="0" fontId="82" fillId="24" borderId="22" xfId="0" applyFont="1" applyFill="1" applyBorder="1" applyAlignment="1">
      <alignment horizontal="center"/>
    </xf>
    <xf numFmtId="0" fontId="58" fillId="37" borderId="45" xfId="0" applyFont="1" applyFill="1" applyBorder="1" applyAlignment="1">
      <alignment horizontal="center"/>
    </xf>
    <xf numFmtId="3" fontId="0" fillId="37" borderId="0" xfId="0" applyNumberFormat="1" applyFill="1" applyAlignment="1">
      <alignment horizontal="center" vertical="center"/>
    </xf>
    <xf numFmtId="3" fontId="0" fillId="37" borderId="22" xfId="0" applyNumberFormat="1" applyFill="1" applyBorder="1" applyAlignment="1">
      <alignment horizontal="center" vertical="center"/>
    </xf>
    <xf numFmtId="169" fontId="23" fillId="37" borderId="22" xfId="0" applyNumberFormat="1" applyFont="1" applyFill="1" applyBorder="1" applyAlignment="1">
      <alignment horizontal="center"/>
    </xf>
    <xf numFmtId="4" fontId="23" fillId="37" borderId="22" xfId="0" applyNumberFormat="1" applyFont="1" applyFill="1" applyBorder="1" applyAlignment="1">
      <alignment horizontal="center"/>
    </xf>
    <xf numFmtId="3" fontId="23" fillId="37" borderId="35" xfId="0" applyNumberFormat="1" applyFont="1" applyFill="1" applyBorder="1" applyAlignment="1">
      <alignment horizontal="center" vertical="center"/>
    </xf>
    <xf numFmtId="0" fontId="60" fillId="37" borderId="0" xfId="0" applyFont="1" applyFill="1"/>
    <xf numFmtId="169" fontId="0" fillId="0" borderId="0" xfId="0" applyNumberFormat="1"/>
    <xf numFmtId="3" fontId="23" fillId="37" borderId="0" xfId="0" applyNumberFormat="1" applyFont="1" applyFill="1" applyBorder="1" applyAlignment="1">
      <alignment horizontal="center"/>
    </xf>
    <xf numFmtId="4" fontId="0" fillId="37" borderId="45" xfId="0" applyNumberFormat="1" applyFill="1" applyBorder="1" applyAlignment="1">
      <alignment horizontal="center"/>
    </xf>
    <xf numFmtId="0" fontId="40" fillId="0" borderId="44" xfId="0" applyFont="1" applyBorder="1" applyAlignment="1">
      <alignment vertical="center"/>
    </xf>
    <xf numFmtId="0" fontId="0" fillId="0" borderId="44" xfId="0" applyFont="1" applyBorder="1" applyAlignment="1">
      <alignment horizontal="right"/>
    </xf>
    <xf numFmtId="3" fontId="23" fillId="0" borderId="0" xfId="0" applyNumberFormat="1" applyFont="1" applyBorder="1" applyAlignment="1"/>
    <xf numFmtId="3" fontId="0" fillId="0" borderId="0" xfId="0" applyNumberFormat="1" applyFont="1" applyBorder="1" applyAlignment="1"/>
    <xf numFmtId="3" fontId="0" fillId="37" borderId="0" xfId="0" applyNumberFormat="1" applyFill="1" applyBorder="1" applyAlignment="1">
      <alignment horizontal="right"/>
    </xf>
    <xf numFmtId="3" fontId="41" fillId="37" borderId="22" xfId="0" applyNumberFormat="1" applyFont="1" applyFill="1" applyBorder="1" applyAlignment="1">
      <alignment horizontal="center"/>
    </xf>
    <xf numFmtId="4" fontId="41" fillId="37" borderId="22" xfId="0" applyNumberFormat="1" applyFont="1" applyFill="1" applyBorder="1" applyAlignment="1">
      <alignment horizontal="center"/>
    </xf>
    <xf numFmtId="3" fontId="41" fillId="37" borderId="22" xfId="0" applyNumberFormat="1" applyFont="1" applyFill="1" applyBorder="1" applyAlignment="1">
      <alignment horizontal="center" vertical="center"/>
    </xf>
    <xf numFmtId="0" fontId="0" fillId="37" borderId="0" xfId="0" applyFill="1" applyBorder="1" applyAlignment="1">
      <alignment horizontal="left" vertical="center" wrapText="1"/>
    </xf>
    <xf numFmtId="9" fontId="0" fillId="37" borderId="0" xfId="0" applyNumberFormat="1" applyFill="1" applyBorder="1" applyAlignment="1">
      <alignment horizontal="right" vertical="center" wrapText="1"/>
    </xf>
    <xf numFmtId="9" fontId="0" fillId="37" borderId="22" xfId="0" applyNumberFormat="1" applyFill="1" applyBorder="1" applyAlignment="1">
      <alignment horizontal="right" vertical="center" wrapText="1"/>
    </xf>
    <xf numFmtId="0" fontId="85" fillId="37" borderId="0" xfId="0" applyFont="1" applyFill="1" applyAlignment="1">
      <alignment horizontal="left" vertical="center"/>
    </xf>
    <xf numFmtId="167" fontId="23" fillId="37" borderId="40" xfId="0" applyNumberFormat="1" applyFont="1" applyFill="1" applyBorder="1" applyAlignment="1">
      <alignment horizontal="center"/>
    </xf>
    <xf numFmtId="167" fontId="23" fillId="37" borderId="22" xfId="0" applyNumberFormat="1" applyFont="1" applyFill="1" applyBorder="1" applyAlignment="1">
      <alignment horizontal="center"/>
    </xf>
    <xf numFmtId="0" fontId="0" fillId="37" borderId="47" xfId="0" applyFill="1" applyBorder="1" applyAlignment="1">
      <alignment horizontal="right"/>
    </xf>
    <xf numFmtId="2" fontId="0" fillId="37" borderId="0" xfId="0" applyNumberFormat="1" applyFill="1" applyAlignment="1">
      <alignment horizontal="right"/>
    </xf>
    <xf numFmtId="2" fontId="0" fillId="37" borderId="22" xfId="0" applyNumberFormat="1" applyFill="1" applyBorder="1" applyAlignment="1">
      <alignment horizontal="right"/>
    </xf>
    <xf numFmtId="0" fontId="0" fillId="37" borderId="44" xfId="0" applyFill="1" applyBorder="1" applyAlignment="1">
      <alignment horizontal="right"/>
    </xf>
    <xf numFmtId="2" fontId="23" fillId="37" borderId="22" xfId="0" applyNumberFormat="1" applyFont="1" applyFill="1" applyBorder="1" applyAlignment="1">
      <alignment horizontal="right"/>
    </xf>
    <xf numFmtId="0" fontId="0" fillId="37" borderId="0" xfId="0" applyFill="1" applyBorder="1" applyAlignment="1">
      <alignment horizontal="left" vertical="center"/>
    </xf>
    <xf numFmtId="0" fontId="86" fillId="0" borderId="0" xfId="87" applyFont="1" applyAlignment="1">
      <alignment horizontal="left" vertical="center"/>
    </xf>
    <xf numFmtId="0" fontId="86" fillId="0" borderId="0" xfId="87" applyFont="1" applyAlignment="1">
      <alignment horizontal="centerContinuous" vertical="center"/>
    </xf>
    <xf numFmtId="0" fontId="86" fillId="0" borderId="0" xfId="87" applyFont="1" applyFill="1" applyAlignment="1">
      <alignment horizontal="centerContinuous" vertical="center"/>
    </xf>
    <xf numFmtId="0" fontId="87" fillId="0" borderId="0" xfId="87" applyFont="1" applyFill="1" applyAlignment="1">
      <alignment vertical="center"/>
    </xf>
    <xf numFmtId="0" fontId="3" fillId="0" borderId="0" xfId="87" applyFont="1" applyFill="1" applyAlignment="1">
      <alignment vertical="center"/>
    </xf>
    <xf numFmtId="3" fontId="0" fillId="0" borderId="0" xfId="88" applyFont="1" applyAlignment="1">
      <alignment vertical="center"/>
    </xf>
    <xf numFmtId="0" fontId="3" fillId="0" borderId="0" xfId="87" applyFont="1" applyAlignment="1">
      <alignment horizontal="left" vertical="center"/>
    </xf>
    <xf numFmtId="0" fontId="3" fillId="0" borderId="0" xfId="87" applyFont="1" applyAlignment="1">
      <alignment vertical="center"/>
    </xf>
    <xf numFmtId="0" fontId="89" fillId="0" borderId="22" xfId="87" applyFont="1" applyFill="1" applyBorder="1" applyAlignment="1">
      <alignment horizontal="center" vertical="center"/>
    </xf>
    <xf numFmtId="0" fontId="89" fillId="0" borderId="0" xfId="87" applyFont="1" applyFill="1" applyAlignment="1">
      <alignment horizontal="center" vertical="center"/>
    </xf>
    <xf numFmtId="0" fontId="86" fillId="39" borderId="34" xfId="87" applyFont="1" applyFill="1" applyBorder="1" applyAlignment="1">
      <alignment horizontal="centerContinuous" vertical="center"/>
    </xf>
    <xf numFmtId="0" fontId="86" fillId="39" borderId="35" xfId="87" applyFont="1" applyFill="1" applyBorder="1" applyAlignment="1">
      <alignment horizontal="centerContinuous" vertical="center"/>
    </xf>
    <xf numFmtId="0" fontId="86" fillId="39" borderId="36" xfId="87" applyFont="1" applyFill="1" applyBorder="1" applyAlignment="1">
      <alignment horizontal="centerContinuous" vertical="center"/>
    </xf>
    <xf numFmtId="0" fontId="77" fillId="39" borderId="42" xfId="89" applyFont="1" applyFill="1" applyBorder="1" applyAlignment="1">
      <alignment horizontal="centerContinuous" vertical="center"/>
    </xf>
    <xf numFmtId="0" fontId="77" fillId="40" borderId="34" xfId="87" applyFont="1" applyFill="1" applyBorder="1" applyAlignment="1">
      <alignment horizontal="centerContinuous" vertical="center"/>
    </xf>
    <xf numFmtId="0" fontId="93" fillId="0" borderId="0" xfId="87" applyFont="1" applyFill="1" applyAlignment="1">
      <alignment vertical="center"/>
    </xf>
    <xf numFmtId="0" fontId="77" fillId="39" borderId="38" xfId="89" applyFont="1" applyFill="1" applyBorder="1" applyAlignment="1">
      <alignment horizontal="center" vertical="center" wrapText="1"/>
    </xf>
    <xf numFmtId="3" fontId="78" fillId="0" borderId="53" xfId="90" applyNumberFormat="1" applyFont="1" applyFill="1" applyBorder="1" applyAlignment="1">
      <alignment horizontal="left" vertical="center"/>
    </xf>
    <xf numFmtId="3" fontId="87" fillId="0" borderId="53" xfId="90" applyNumberFormat="1" applyFont="1" applyFill="1" applyBorder="1" applyAlignment="1">
      <alignment horizontal="left" vertical="center"/>
    </xf>
    <xf numFmtId="3" fontId="78" fillId="0" borderId="38" xfId="90" applyNumberFormat="1" applyFont="1" applyFill="1" applyBorder="1" applyAlignment="1">
      <alignment horizontal="left" vertical="center"/>
    </xf>
    <xf numFmtId="3" fontId="78" fillId="0" borderId="38" xfId="90" applyNumberFormat="1" applyFont="1" applyFill="1" applyBorder="1" applyAlignment="1">
      <alignment horizontal="center" vertical="center"/>
    </xf>
    <xf numFmtId="0" fontId="78" fillId="0" borderId="38" xfId="89" applyFont="1" applyFill="1" applyBorder="1" applyAlignment="1">
      <alignment horizontal="left" vertical="center"/>
    </xf>
    <xf numFmtId="170" fontId="78" fillId="0" borderId="38" xfId="90" applyNumberFormat="1" applyFont="1" applyFill="1" applyBorder="1" applyAlignment="1">
      <alignment horizontal="center" vertical="center"/>
    </xf>
    <xf numFmtId="3" fontId="78" fillId="0" borderId="38" xfId="89" applyNumberFormat="1" applyFont="1" applyFill="1" applyBorder="1" applyAlignment="1">
      <alignment horizontal="center" vertical="center"/>
    </xf>
    <xf numFmtId="0" fontId="96" fillId="0" borderId="0" xfId="87" applyFont="1" applyAlignment="1">
      <alignment vertical="center"/>
    </xf>
    <xf numFmtId="3" fontId="78" fillId="0" borderId="38" xfId="89" quotePrefix="1" applyNumberFormat="1" applyFont="1" applyFill="1" applyBorder="1" applyAlignment="1">
      <alignment horizontal="center" vertical="center"/>
    </xf>
    <xf numFmtId="168" fontId="78" fillId="0" borderId="38" xfId="102" applyNumberFormat="1" applyFont="1" applyFill="1" applyBorder="1" applyAlignment="1">
      <alignment horizontal="center" vertical="center"/>
    </xf>
    <xf numFmtId="9" fontId="78" fillId="0" borderId="38" xfId="102" applyNumberFormat="1" applyFont="1" applyFill="1" applyBorder="1" applyAlignment="1">
      <alignment horizontal="center" vertical="center"/>
    </xf>
    <xf numFmtId="10" fontId="78" fillId="0" borderId="38" xfId="102" applyNumberFormat="1" applyFont="1" applyFill="1" applyBorder="1" applyAlignment="1">
      <alignment horizontal="center" vertical="center"/>
    </xf>
    <xf numFmtId="0" fontId="3" fillId="0" borderId="38" xfId="87" applyFont="1" applyFill="1" applyBorder="1" applyAlignment="1">
      <alignment vertical="center"/>
    </xf>
    <xf numFmtId="3" fontId="78" fillId="0" borderId="54" xfId="90" applyNumberFormat="1" applyFont="1" applyFill="1" applyBorder="1" applyAlignment="1">
      <alignment horizontal="center" vertical="center"/>
    </xf>
    <xf numFmtId="0" fontId="78" fillId="0" borderId="39" xfId="89" applyFont="1" applyFill="1" applyBorder="1" applyAlignment="1">
      <alignment vertical="center"/>
    </xf>
    <xf numFmtId="0" fontId="78" fillId="0" borderId="39" xfId="89" applyFont="1" applyFill="1" applyBorder="1" applyAlignment="1">
      <alignment horizontal="left" vertical="center"/>
    </xf>
    <xf numFmtId="0" fontId="87" fillId="0" borderId="39" xfId="89" applyFont="1" applyFill="1" applyBorder="1" applyAlignment="1">
      <alignment horizontal="left" vertical="center"/>
    </xf>
    <xf numFmtId="0" fontId="77" fillId="0" borderId="0" xfId="91" applyFont="1" applyFill="1" applyAlignment="1">
      <alignment vertical="center"/>
    </xf>
    <xf numFmtId="0" fontId="99" fillId="0" borderId="0" xfId="87" applyFont="1" applyFill="1" applyAlignment="1">
      <alignment vertical="center"/>
    </xf>
    <xf numFmtId="0" fontId="3" fillId="0" borderId="0" xfId="87" quotePrefix="1" applyFont="1" applyAlignment="1">
      <alignment vertical="center" wrapText="1"/>
    </xf>
    <xf numFmtId="0" fontId="3" fillId="0" borderId="0" xfId="87" quotePrefix="1" applyFont="1" applyFill="1" applyAlignment="1">
      <alignment vertical="center" wrapText="1"/>
    </xf>
    <xf numFmtId="0" fontId="87" fillId="0" borderId="0" xfId="87" quotePrefix="1" applyFont="1" applyFill="1" applyAlignment="1">
      <alignment vertical="center" wrapText="1"/>
    </xf>
    <xf numFmtId="9" fontId="0" fillId="0" borderId="0" xfId="102" applyFont="1" applyFill="1" applyAlignment="1">
      <alignment vertical="center"/>
    </xf>
    <xf numFmtId="166" fontId="81" fillId="24" borderId="0" xfId="0" applyNumberFormat="1" applyFont="1" applyFill="1" applyBorder="1" applyAlignment="1">
      <alignment horizontal="right"/>
    </xf>
    <xf numFmtId="49" fontId="106" fillId="0" borderId="0" xfId="97" applyNumberFormat="1" applyFont="1" applyFill="1" applyBorder="1" applyAlignment="1">
      <alignment vertical="center"/>
    </xf>
    <xf numFmtId="49" fontId="11" fillId="0" borderId="0" xfId="97" applyNumberFormat="1" applyFont="1" applyFill="1" applyBorder="1" applyAlignment="1">
      <alignment horizontal="left" vertical="center"/>
    </xf>
    <xf numFmtId="0" fontId="11" fillId="0" borderId="33" xfId="97" applyFont="1" applyFill="1" applyBorder="1" applyAlignment="1">
      <alignment horizontal="center" vertical="center" wrapText="1"/>
    </xf>
    <xf numFmtId="0" fontId="106" fillId="0" borderId="69" xfId="97" applyFont="1" applyFill="1" applyBorder="1" applyAlignment="1">
      <alignment horizontal="left" vertical="center" wrapText="1"/>
    </xf>
    <xf numFmtId="0" fontId="106" fillId="0" borderId="69" xfId="97" applyFont="1" applyFill="1" applyBorder="1" applyAlignment="1">
      <alignment horizontal="left" vertical="center"/>
    </xf>
    <xf numFmtId="0" fontId="106" fillId="0" borderId="70" xfId="97" applyFont="1" applyFill="1" applyBorder="1" applyAlignment="1">
      <alignment horizontal="left" vertical="center"/>
    </xf>
    <xf numFmtId="0" fontId="106" fillId="0" borderId="71" xfId="97" applyFont="1" applyFill="1" applyBorder="1" applyAlignment="1">
      <alignment horizontal="left" vertical="center" wrapText="1"/>
    </xf>
    <xf numFmtId="0" fontId="106" fillId="0" borderId="71" xfId="97" applyFont="1" applyFill="1" applyBorder="1" applyAlignment="1">
      <alignment horizontal="left" vertical="center"/>
    </xf>
    <xf numFmtId="0" fontId="106" fillId="0" borderId="72" xfId="97" applyFont="1" applyFill="1" applyBorder="1" applyAlignment="1">
      <alignment horizontal="left" vertical="center"/>
    </xf>
    <xf numFmtId="0" fontId="11" fillId="0" borderId="67" xfId="97" applyFont="1" applyFill="1" applyBorder="1" applyAlignment="1">
      <alignment horizontal="center" vertical="center" wrapText="1"/>
    </xf>
    <xf numFmtId="0" fontId="106" fillId="0" borderId="67" xfId="97" applyFont="1" applyFill="1" applyBorder="1" applyAlignment="1">
      <alignment horizontal="center" vertical="center" wrapText="1"/>
    </xf>
    <xf numFmtId="0" fontId="11" fillId="0" borderId="73" xfId="97" applyFont="1" applyFill="1" applyBorder="1" applyAlignment="1">
      <alignment horizontal="left" vertical="center" wrapText="1"/>
    </xf>
    <xf numFmtId="0" fontId="11" fillId="0" borderId="74" xfId="97" applyFont="1" applyFill="1" applyBorder="1" applyAlignment="1">
      <alignment horizontal="left" vertical="center" wrapText="1"/>
    </xf>
    <xf numFmtId="0" fontId="106" fillId="0" borderId="70" xfId="97" applyFont="1" applyFill="1" applyBorder="1" applyAlignment="1">
      <alignment horizontal="left" vertical="center" wrapText="1"/>
    </xf>
    <xf numFmtId="0" fontId="106" fillId="0" borderId="72" xfId="97" applyFont="1" applyFill="1" applyBorder="1" applyAlignment="1">
      <alignment horizontal="left" vertical="center" wrapText="1"/>
    </xf>
    <xf numFmtId="3" fontId="109" fillId="0" borderId="76" xfId="96" applyNumberFormat="1" applyFont="1" applyFill="1" applyBorder="1" applyAlignment="1">
      <alignment horizontal="center" vertical="center" wrapText="1"/>
    </xf>
    <xf numFmtId="49" fontId="106" fillId="0" borderId="56" xfId="97" applyNumberFormat="1" applyFont="1" applyFill="1" applyBorder="1" applyAlignment="1">
      <alignment vertical="center"/>
    </xf>
    <xf numFmtId="0" fontId="115" fillId="0" borderId="47" xfId="97" applyFont="1" applyFill="1" applyBorder="1" applyAlignment="1">
      <alignment horizontal="right" vertical="center"/>
    </xf>
    <xf numFmtId="3" fontId="115" fillId="0" borderId="47" xfId="97" applyNumberFormat="1" applyFont="1" applyFill="1" applyBorder="1" applyAlignment="1">
      <alignment horizontal="right" vertical="center"/>
    </xf>
    <xf numFmtId="0" fontId="115" fillId="0" borderId="0" xfId="97" applyFont="1" applyFill="1" applyBorder="1" applyAlignment="1">
      <alignment horizontal="right" vertical="center"/>
    </xf>
    <xf numFmtId="3" fontId="115" fillId="0" borderId="0" xfId="97" applyNumberFormat="1" applyFont="1" applyFill="1" applyBorder="1" applyAlignment="1">
      <alignment horizontal="right" vertical="center"/>
    </xf>
    <xf numFmtId="0" fontId="115" fillId="0" borderId="56" xfId="97" applyFont="1" applyFill="1" applyBorder="1" applyAlignment="1">
      <alignment horizontal="right" vertical="center"/>
    </xf>
    <xf numFmtId="3" fontId="115" fillId="0" borderId="56" xfId="97" applyNumberFormat="1" applyFont="1" applyFill="1" applyBorder="1" applyAlignment="1">
      <alignment horizontal="right" vertical="center"/>
    </xf>
    <xf numFmtId="0" fontId="110" fillId="0" borderId="0" xfId="96" applyFont="1" applyFill="1" applyBorder="1" applyAlignment="1">
      <alignment vertical="center"/>
    </xf>
    <xf numFmtId="0" fontId="106" fillId="0" borderId="0" xfId="96" applyFont="1" applyFill="1" applyBorder="1" applyAlignment="1">
      <alignment horizontal="left" vertical="center"/>
    </xf>
    <xf numFmtId="4" fontId="111" fillId="0" borderId="67" xfId="96" applyNumberFormat="1" applyFont="1" applyFill="1" applyBorder="1" applyAlignment="1">
      <alignment horizontal="right" vertical="center" shrinkToFit="1"/>
    </xf>
    <xf numFmtId="0" fontId="106" fillId="0" borderId="33" xfId="96" applyFont="1" applyFill="1" applyBorder="1" applyAlignment="1">
      <alignment horizontal="left" vertical="center"/>
    </xf>
    <xf numFmtId="0" fontId="115" fillId="0" borderId="33" xfId="96" applyFont="1" applyFill="1" applyBorder="1" applyAlignment="1">
      <alignment horizontal="left" vertical="center"/>
    </xf>
    <xf numFmtId="0" fontId="106" fillId="0" borderId="0" xfId="96" applyFont="1" applyFill="1" applyBorder="1" applyAlignment="1">
      <alignment vertical="center"/>
    </xf>
    <xf numFmtId="0" fontId="110" fillId="0" borderId="0" xfId="96" applyFont="1" applyFill="1" applyBorder="1" applyAlignment="1">
      <alignment horizontal="left" vertical="center"/>
    </xf>
    <xf numFmtId="0" fontId="109" fillId="0" borderId="0" xfId="96" applyFont="1" applyFill="1" applyBorder="1" applyAlignment="1">
      <alignment horizontal="left" vertical="center"/>
    </xf>
    <xf numFmtId="3" fontId="109" fillId="0" borderId="0" xfId="96" applyNumberFormat="1" applyFont="1" applyFill="1" applyBorder="1" applyAlignment="1">
      <alignment horizontal="left" vertical="center"/>
    </xf>
    <xf numFmtId="3" fontId="37" fillId="0" borderId="67" xfId="96" applyNumberFormat="1" applyFont="1" applyFill="1" applyBorder="1" applyAlignment="1">
      <alignment horizontal="right" vertical="center"/>
    </xf>
    <xf numFmtId="173" fontId="37" fillId="0" borderId="75" xfId="96" applyNumberFormat="1" applyFont="1" applyFill="1" applyBorder="1" applyAlignment="1">
      <alignment horizontal="right" vertical="center"/>
    </xf>
    <xf numFmtId="0" fontId="37" fillId="0" borderId="0" xfId="96" applyFont="1" applyFill="1" applyBorder="1" applyAlignment="1">
      <alignment horizontal="left" vertical="center"/>
    </xf>
    <xf numFmtId="0" fontId="11" fillId="0" borderId="0" xfId="96" applyFont="1" applyFill="1" applyBorder="1" applyAlignment="1">
      <alignment horizontal="left" vertical="center"/>
    </xf>
    <xf numFmtId="0" fontId="116" fillId="0" borderId="0" xfId="96" applyFont="1" applyFill="1" applyBorder="1" applyAlignment="1">
      <alignment horizontal="left" vertical="center"/>
    </xf>
    <xf numFmtId="173" fontId="106" fillId="0" borderId="0" xfId="96" applyNumberFormat="1" applyFont="1" applyFill="1" applyBorder="1" applyAlignment="1">
      <alignment horizontal="left" vertical="center"/>
    </xf>
    <xf numFmtId="0" fontId="69" fillId="0" borderId="0" xfId="96" applyFont="1" applyFill="1" applyBorder="1" applyAlignment="1">
      <alignment horizontal="left" vertical="center"/>
    </xf>
    <xf numFmtId="3" fontId="69" fillId="0" borderId="0" xfId="96" applyNumberFormat="1" applyFont="1" applyFill="1" applyBorder="1" applyAlignment="1">
      <alignment horizontal="left" vertical="center"/>
    </xf>
    <xf numFmtId="173" fontId="109" fillId="0" borderId="0" xfId="96" applyNumberFormat="1" applyFont="1" applyFill="1" applyBorder="1" applyAlignment="1">
      <alignment horizontal="left" vertical="center"/>
    </xf>
    <xf numFmtId="3" fontId="37" fillId="0" borderId="0" xfId="96" applyNumberFormat="1" applyFont="1" applyFill="1" applyBorder="1" applyAlignment="1">
      <alignment horizontal="left" vertical="center"/>
    </xf>
    <xf numFmtId="166" fontId="109" fillId="0" borderId="0" xfId="96" applyNumberFormat="1" applyFont="1" applyFill="1" applyBorder="1" applyAlignment="1">
      <alignment horizontal="right" vertical="center"/>
    </xf>
    <xf numFmtId="3" fontId="109" fillId="0" borderId="0" xfId="96" applyNumberFormat="1" applyFont="1" applyFill="1" applyBorder="1" applyAlignment="1">
      <alignment horizontal="right" vertical="center"/>
    </xf>
    <xf numFmtId="49" fontId="37" fillId="0" borderId="0" xfId="96" applyNumberFormat="1" applyFont="1" applyFill="1" applyBorder="1" applyAlignment="1">
      <alignment horizontal="left" vertical="center"/>
    </xf>
    <xf numFmtId="0" fontId="25" fillId="0" borderId="0" xfId="97" applyFont="1" applyFill="1" applyBorder="1" applyAlignment="1">
      <alignment horizontal="left" vertical="center"/>
    </xf>
    <xf numFmtId="0" fontId="106" fillId="0" borderId="0" xfId="97" applyFont="1" applyFill="1" applyBorder="1" applyAlignment="1">
      <alignment horizontal="left" vertical="center" wrapText="1"/>
    </xf>
    <xf numFmtId="0" fontId="26" fillId="0" borderId="0" xfId="97" applyFont="1" applyFill="1" applyBorder="1" applyAlignment="1">
      <alignment horizontal="left" vertical="center"/>
    </xf>
    <xf numFmtId="0" fontId="11" fillId="0" borderId="62" xfId="97" applyFont="1" applyFill="1" applyBorder="1" applyAlignment="1">
      <alignment horizontal="left" vertical="center"/>
    </xf>
    <xf numFmtId="0" fontId="11" fillId="0" borderId="35" xfId="97" applyFont="1" applyFill="1" applyBorder="1" applyAlignment="1">
      <alignment horizontal="left" vertical="center" wrapText="1"/>
    </xf>
    <xf numFmtId="0" fontId="106" fillId="0" borderId="67" xfId="97" applyFont="1" applyFill="1" applyBorder="1" applyAlignment="1">
      <alignment horizontal="left" vertical="center" wrapText="1"/>
    </xf>
    <xf numFmtId="0" fontId="11" fillId="0" borderId="67" xfId="97" applyFont="1" applyFill="1" applyBorder="1" applyAlignment="1">
      <alignment horizontal="left" vertical="center" wrapText="1"/>
    </xf>
    <xf numFmtId="3" fontId="106" fillId="0" borderId="67" xfId="97" applyNumberFormat="1" applyFont="1" applyFill="1" applyBorder="1" applyAlignment="1">
      <alignment horizontal="right" vertical="center" wrapText="1" shrinkToFit="1"/>
    </xf>
    <xf numFmtId="166" fontId="106" fillId="0" borderId="67" xfId="97" applyNumberFormat="1" applyFont="1" applyFill="1" applyBorder="1" applyAlignment="1">
      <alignment horizontal="right" vertical="center" wrapText="1" shrinkToFit="1"/>
    </xf>
    <xf numFmtId="0" fontId="106" fillId="0" borderId="71" xfId="97" applyFont="1" applyFill="1" applyBorder="1" applyAlignment="1">
      <alignment horizontal="center" vertical="center" wrapText="1"/>
    </xf>
    <xf numFmtId="0" fontId="106" fillId="0" borderId="69" xfId="97" applyFont="1" applyFill="1" applyBorder="1" applyAlignment="1">
      <alignment horizontal="center" vertical="center" wrapText="1"/>
    </xf>
    <xf numFmtId="0" fontId="106" fillId="0" borderId="68" xfId="97" applyFont="1" applyFill="1" applyBorder="1" applyAlignment="1">
      <alignment horizontal="center" vertical="center" wrapText="1"/>
    </xf>
    <xf numFmtId="0" fontId="11" fillId="0" borderId="74" xfId="97" applyFont="1" applyFill="1" applyBorder="1" applyAlignment="1">
      <alignment horizontal="left" vertical="center"/>
    </xf>
    <xf numFmtId="0" fontId="11" fillId="0" borderId="75" xfId="97" applyFont="1" applyFill="1" applyBorder="1" applyAlignment="1">
      <alignment horizontal="left" vertical="center" wrapText="1"/>
    </xf>
    <xf numFmtId="0" fontId="11" fillId="0" borderId="75" xfId="97" applyFont="1" applyFill="1" applyBorder="1" applyAlignment="1">
      <alignment horizontal="center" vertical="center" wrapText="1"/>
    </xf>
    <xf numFmtId="0" fontId="11" fillId="0" borderId="73" xfId="97" applyFont="1" applyFill="1" applyBorder="1" applyAlignment="1">
      <alignment horizontal="center" vertical="center" wrapText="1"/>
    </xf>
    <xf numFmtId="0" fontId="47" fillId="0" borderId="67" xfId="97" applyFont="1" applyFill="1" applyBorder="1" applyAlignment="1">
      <alignment horizontal="center" vertical="center" wrapText="1"/>
    </xf>
    <xf numFmtId="167" fontId="108" fillId="0" borderId="67" xfId="97" applyNumberFormat="1" applyFont="1" applyFill="1" applyBorder="1" applyAlignment="1">
      <alignment horizontal="right" vertical="center" wrapText="1" shrinkToFit="1"/>
    </xf>
    <xf numFmtId="0" fontId="106" fillId="0" borderId="0" xfId="97" applyFont="1" applyFill="1" applyBorder="1" applyAlignment="1">
      <alignment horizontal="left" vertical="center"/>
    </xf>
    <xf numFmtId="49" fontId="11" fillId="0" borderId="33" xfId="97" applyNumberFormat="1" applyFont="1" applyFill="1" applyBorder="1" applyAlignment="1">
      <alignment vertical="center"/>
    </xf>
    <xf numFmtId="0" fontId="11" fillId="0" borderId="33" xfId="97" applyFont="1" applyFill="1" applyBorder="1" applyAlignment="1">
      <alignment vertical="center"/>
    </xf>
    <xf numFmtId="49" fontId="106" fillId="0" borderId="47" xfId="97" applyNumberFormat="1" applyFont="1" applyFill="1" applyBorder="1" applyAlignment="1">
      <alignment vertical="center"/>
    </xf>
    <xf numFmtId="49" fontId="11" fillId="0" borderId="22" xfId="97" applyNumberFormat="1" applyFont="1" applyFill="1" applyBorder="1" applyAlignment="1">
      <alignment vertical="center"/>
    </xf>
    <xf numFmtId="0" fontId="115" fillId="0" borderId="22" xfId="97" applyFont="1" applyFill="1" applyBorder="1" applyAlignment="1">
      <alignment horizontal="right" vertical="center"/>
    </xf>
    <xf numFmtId="3" fontId="115" fillId="0" borderId="22" xfId="97" applyNumberFormat="1" applyFont="1" applyFill="1" applyBorder="1" applyAlignment="1">
      <alignment horizontal="right" vertical="center"/>
    </xf>
    <xf numFmtId="49" fontId="11" fillId="0" borderId="56" xfId="97" applyNumberFormat="1" applyFont="1" applyFill="1" applyBorder="1" applyAlignment="1">
      <alignment horizontal="left" vertical="center"/>
    </xf>
    <xf numFmtId="49" fontId="11" fillId="0" borderId="0" xfId="97" applyNumberFormat="1" applyFont="1" applyFill="1" applyBorder="1" applyAlignment="1">
      <alignment vertical="center"/>
    </xf>
    <xf numFmtId="49" fontId="106" fillId="0" borderId="0" xfId="97" applyNumberFormat="1" applyFont="1" applyFill="1" applyBorder="1" applyAlignment="1">
      <alignment horizontal="left" vertical="center"/>
    </xf>
    <xf numFmtId="49" fontId="11" fillId="0" borderId="22" xfId="97" applyNumberFormat="1" applyFont="1" applyFill="1" applyBorder="1" applyAlignment="1">
      <alignment horizontal="left" vertical="center"/>
    </xf>
    <xf numFmtId="49" fontId="106" fillId="0" borderId="22" xfId="97" applyNumberFormat="1" applyFont="1" applyFill="1" applyBorder="1" applyAlignment="1">
      <alignment horizontal="left" vertical="center"/>
    </xf>
    <xf numFmtId="49" fontId="106" fillId="0" borderId="56" xfId="97" applyNumberFormat="1" applyFont="1" applyFill="1" applyBorder="1" applyAlignment="1">
      <alignment horizontal="left" vertical="center"/>
    </xf>
    <xf numFmtId="3" fontId="106" fillId="0" borderId="0" xfId="97" applyNumberFormat="1" applyFont="1" applyFill="1" applyBorder="1" applyAlignment="1">
      <alignment horizontal="left" vertical="center"/>
    </xf>
    <xf numFmtId="3" fontId="37" fillId="0" borderId="61" xfId="96" applyNumberFormat="1" applyFont="1" applyFill="1" applyBorder="1" applyAlignment="1">
      <alignment horizontal="center" vertical="center" wrapText="1"/>
    </xf>
    <xf numFmtId="0" fontId="109" fillId="0" borderId="61" xfId="96" applyFont="1" applyFill="1" applyBorder="1" applyAlignment="1">
      <alignment horizontal="center" vertical="center" wrapText="1"/>
    </xf>
    <xf numFmtId="0" fontId="23" fillId="37" borderId="33" xfId="0" applyFont="1" applyFill="1" applyBorder="1" applyAlignment="1">
      <alignment horizontal="center"/>
    </xf>
    <xf numFmtId="167" fontId="106" fillId="0" borderId="0" xfId="96" applyNumberFormat="1" applyFont="1" applyFill="1" applyBorder="1" applyAlignment="1">
      <alignment horizontal="left" vertical="center"/>
    </xf>
    <xf numFmtId="167" fontId="109" fillId="0" borderId="0" xfId="96" applyNumberFormat="1" applyFont="1" applyFill="1" applyBorder="1" applyAlignment="1">
      <alignment horizontal="right" vertical="center"/>
    </xf>
    <xf numFmtId="167" fontId="106" fillId="0" borderId="0" xfId="97" applyNumberFormat="1" applyFont="1" applyFill="1" applyBorder="1" applyAlignment="1">
      <alignment horizontal="left" vertical="center" wrapText="1"/>
    </xf>
    <xf numFmtId="167" fontId="11" fillId="0" borderId="35" xfId="97" applyNumberFormat="1" applyFont="1" applyFill="1" applyBorder="1" applyAlignment="1">
      <alignment horizontal="left" vertical="center" wrapText="1"/>
    </xf>
    <xf numFmtId="167" fontId="11" fillId="0" borderId="67" xfId="97" applyNumberFormat="1" applyFont="1" applyFill="1" applyBorder="1" applyAlignment="1">
      <alignment horizontal="center" vertical="center" wrapText="1"/>
    </xf>
    <xf numFmtId="167" fontId="106" fillId="0" borderId="67" xfId="97" applyNumberFormat="1" applyFont="1" applyFill="1" applyBorder="1" applyAlignment="1">
      <alignment horizontal="right" vertical="center" wrapText="1" shrinkToFit="1"/>
    </xf>
    <xf numFmtId="167" fontId="106" fillId="0" borderId="69" xfId="97" applyNumberFormat="1" applyFont="1" applyFill="1" applyBorder="1" applyAlignment="1">
      <alignment horizontal="center" vertical="center" wrapText="1"/>
    </xf>
    <xf numFmtId="167" fontId="11" fillId="0" borderId="75" xfId="97" applyNumberFormat="1" applyFont="1" applyFill="1" applyBorder="1" applyAlignment="1">
      <alignment horizontal="center" vertical="center" wrapText="1"/>
    </xf>
    <xf numFmtId="169" fontId="116" fillId="0" borderId="0" xfId="96" applyNumberFormat="1" applyFont="1" applyFill="1" applyBorder="1" applyAlignment="1">
      <alignment horizontal="left" vertical="center"/>
    </xf>
    <xf numFmtId="0" fontId="106" fillId="0" borderId="77" xfId="97" applyFont="1" applyFill="1" applyBorder="1" applyAlignment="1">
      <alignment horizontal="center" vertical="center" wrapText="1"/>
    </xf>
    <xf numFmtId="167" fontId="106" fillId="0" borderId="67" xfId="97" applyNumberFormat="1" applyFont="1" applyFill="1" applyBorder="1" applyAlignment="1">
      <alignment horizontal="center" vertical="center" wrapText="1"/>
    </xf>
    <xf numFmtId="167" fontId="115" fillId="0" borderId="67" xfId="97" applyNumberFormat="1" applyFont="1" applyFill="1" applyBorder="1" applyAlignment="1">
      <alignment horizontal="center" vertical="center" wrapText="1" shrinkToFit="1"/>
    </xf>
    <xf numFmtId="167" fontId="115" fillId="0" borderId="67" xfId="97" applyNumberFormat="1" applyFont="1" applyFill="1" applyBorder="1" applyAlignment="1">
      <alignment horizontal="right" vertical="center" wrapText="1" shrinkToFit="1"/>
    </xf>
    <xf numFmtId="167" fontId="106" fillId="0" borderId="71" xfId="97" applyNumberFormat="1" applyFont="1" applyFill="1" applyBorder="1" applyAlignment="1">
      <alignment horizontal="center" vertical="center" wrapText="1"/>
    </xf>
    <xf numFmtId="167" fontId="106" fillId="0" borderId="71" xfId="97" applyNumberFormat="1" applyFont="1" applyFill="1" applyBorder="1" applyAlignment="1">
      <alignment horizontal="left" vertical="center" wrapText="1"/>
    </xf>
    <xf numFmtId="167" fontId="106" fillId="0" borderId="69" xfId="97" applyNumberFormat="1" applyFont="1" applyFill="1" applyBorder="1" applyAlignment="1">
      <alignment horizontal="left" vertical="center" wrapText="1"/>
    </xf>
    <xf numFmtId="179" fontId="109" fillId="0" borderId="61" xfId="96" applyNumberFormat="1" applyFont="1" applyFill="1" applyBorder="1" applyAlignment="1">
      <alignment horizontal="right" vertical="center"/>
    </xf>
    <xf numFmtId="179" fontId="109" fillId="0" borderId="73" xfId="96" applyNumberFormat="1" applyFont="1" applyFill="1" applyBorder="1" applyAlignment="1">
      <alignment horizontal="right" vertical="center" shrinkToFit="1"/>
    </xf>
    <xf numFmtId="4" fontId="114" fillId="0" borderId="0" xfId="96" applyNumberFormat="1" applyFont="1" applyFill="1" applyBorder="1" applyAlignment="1">
      <alignment vertical="center" shrinkToFit="1"/>
    </xf>
    <xf numFmtId="3" fontId="114" fillId="0" borderId="0" xfId="96" applyNumberFormat="1" applyFont="1" applyFill="1" applyBorder="1" applyAlignment="1">
      <alignment horizontal="right" vertical="center"/>
    </xf>
    <xf numFmtId="0" fontId="73" fillId="37" borderId="0" xfId="0" applyFont="1" applyFill="1"/>
    <xf numFmtId="0" fontId="2" fillId="37" borderId="0" xfId="98" applyFill="1"/>
    <xf numFmtId="0" fontId="78" fillId="37" borderId="0" xfId="98" applyFont="1" applyFill="1"/>
    <xf numFmtId="0" fontId="122" fillId="37" borderId="0" xfId="98" applyFont="1" applyFill="1"/>
    <xf numFmtId="0" fontId="78" fillId="37" borderId="0" xfId="98" applyFont="1" applyFill="1" applyBorder="1"/>
    <xf numFmtId="0" fontId="77" fillId="37" borderId="0" xfId="98" applyFont="1" applyFill="1" applyBorder="1" applyAlignment="1">
      <alignment horizontal="right"/>
    </xf>
    <xf numFmtId="0" fontId="78" fillId="37" borderId="0" xfId="98" applyFont="1" applyFill="1" applyBorder="1" applyAlignment="1">
      <alignment horizontal="right"/>
    </xf>
    <xf numFmtId="166" fontId="78" fillId="37" borderId="0" xfId="98" applyNumberFormat="1" applyFont="1" applyFill="1"/>
    <xf numFmtId="167" fontId="78" fillId="37" borderId="0" xfId="98" applyNumberFormat="1" applyFont="1" applyFill="1" applyBorder="1" applyAlignment="1">
      <alignment horizontal="center" vertical="center"/>
    </xf>
    <xf numFmtId="167" fontId="78" fillId="37" borderId="0" xfId="98" applyNumberFormat="1" applyFont="1" applyFill="1"/>
    <xf numFmtId="2" fontId="78" fillId="37" borderId="0" xfId="98" applyNumberFormat="1" applyFont="1" applyFill="1" applyAlignment="1">
      <alignment horizontal="center"/>
    </xf>
    <xf numFmtId="1" fontId="78" fillId="37" borderId="0" xfId="98" applyNumberFormat="1" applyFont="1" applyFill="1" applyAlignment="1">
      <alignment horizontal="center"/>
    </xf>
    <xf numFmtId="0" fontId="125" fillId="37" borderId="0" xfId="98" applyFont="1" applyFill="1"/>
    <xf numFmtId="0" fontId="126" fillId="37" borderId="0" xfId="98" applyFont="1" applyFill="1"/>
    <xf numFmtId="0" fontId="127" fillId="37" borderId="0" xfId="99" applyFont="1" applyFill="1"/>
    <xf numFmtId="0" fontId="77" fillId="37" borderId="0" xfId="98" applyFont="1" applyFill="1"/>
    <xf numFmtId="0" fontId="77" fillId="37" borderId="12" xfId="98" applyFont="1" applyFill="1" applyBorder="1" applyAlignment="1">
      <alignment horizontal="center" wrapText="1"/>
    </xf>
    <xf numFmtId="0" fontId="77" fillId="37" borderId="13" xfId="98" applyFont="1" applyFill="1" applyBorder="1" applyAlignment="1">
      <alignment horizontal="center" wrapText="1"/>
    </xf>
    <xf numFmtId="0" fontId="77" fillId="37" borderId="0" xfId="98" applyFont="1" applyFill="1" applyBorder="1" applyAlignment="1">
      <alignment horizontal="center" wrapText="1"/>
    </xf>
    <xf numFmtId="0" fontId="78" fillId="37" borderId="78" xfId="98" applyFont="1" applyFill="1" applyBorder="1"/>
    <xf numFmtId="0" fontId="78" fillId="37" borderId="61" xfId="98" applyFont="1" applyFill="1" applyBorder="1"/>
    <xf numFmtId="0" fontId="78" fillId="37" borderId="79" xfId="98" applyFont="1" applyFill="1" applyBorder="1"/>
    <xf numFmtId="0" fontId="78" fillId="37" borderId="80" xfId="98" applyFont="1" applyFill="1" applyBorder="1"/>
    <xf numFmtId="0" fontId="78" fillId="37" borderId="81" xfId="98" applyFont="1" applyFill="1" applyBorder="1"/>
    <xf numFmtId="0" fontId="78" fillId="37" borderId="82" xfId="98" applyFont="1" applyFill="1" applyBorder="1"/>
    <xf numFmtId="0" fontId="78" fillId="37" borderId="12" xfId="98" applyFont="1" applyFill="1" applyBorder="1"/>
    <xf numFmtId="0" fontId="77" fillId="37" borderId="11" xfId="98" applyFont="1" applyFill="1" applyBorder="1" applyAlignment="1">
      <alignment horizontal="center" wrapText="1"/>
    </xf>
    <xf numFmtId="9" fontId="78" fillId="37" borderId="78" xfId="98" applyNumberFormat="1" applyFont="1" applyFill="1" applyBorder="1"/>
    <xf numFmtId="9" fontId="78" fillId="37" borderId="80" xfId="98" applyNumberFormat="1" applyFont="1" applyFill="1" applyBorder="1"/>
    <xf numFmtId="0" fontId="77" fillId="37" borderId="28" xfId="98" applyFont="1" applyFill="1" applyBorder="1" applyAlignment="1">
      <alignment horizontal="center" wrapText="1"/>
    </xf>
    <xf numFmtId="0" fontId="77" fillId="37" borderId="25" xfId="98" applyFont="1" applyFill="1" applyBorder="1" applyAlignment="1">
      <alignment horizontal="center" wrapText="1"/>
    </xf>
    <xf numFmtId="0" fontId="78" fillId="37" borderId="63" xfId="98" applyFont="1" applyFill="1" applyBorder="1"/>
    <xf numFmtId="0" fontId="78" fillId="37" borderId="83" xfId="98" applyFont="1" applyFill="1" applyBorder="1"/>
    <xf numFmtId="0" fontId="78" fillId="37" borderId="58" xfId="98" applyFont="1" applyFill="1" applyBorder="1"/>
    <xf numFmtId="0" fontId="78" fillId="37" borderId="85" xfId="98" applyFont="1" applyFill="1" applyBorder="1"/>
    <xf numFmtId="2" fontId="78" fillId="37" borderId="0" xfId="98" applyNumberFormat="1" applyFont="1" applyFill="1"/>
    <xf numFmtId="0" fontId="77" fillId="37" borderId="29" xfId="98" applyFont="1" applyFill="1" applyBorder="1" applyAlignment="1">
      <alignment horizontal="center" wrapText="1"/>
    </xf>
    <xf numFmtId="1" fontId="78" fillId="37" borderId="81" xfId="98" applyNumberFormat="1" applyFont="1" applyFill="1" applyBorder="1"/>
    <xf numFmtId="0" fontId="123" fillId="37" borderId="86" xfId="98" applyFont="1" applyFill="1" applyBorder="1"/>
    <xf numFmtId="0" fontId="78" fillId="37" borderId="54" xfId="98" applyFont="1" applyFill="1" applyBorder="1"/>
    <xf numFmtId="2" fontId="78" fillId="37" borderId="81" xfId="98" applyNumberFormat="1" applyFont="1" applyFill="1" applyBorder="1"/>
    <xf numFmtId="167" fontId="78" fillId="37" borderId="0" xfId="98" applyNumberFormat="1" applyFont="1" applyFill="1" applyBorder="1" applyAlignment="1">
      <alignment horizontal="center"/>
    </xf>
    <xf numFmtId="0" fontId="119" fillId="37" borderId="0" xfId="98" applyFont="1" applyFill="1"/>
    <xf numFmtId="0" fontId="129" fillId="37" borderId="0" xfId="98" applyFont="1" applyFill="1"/>
    <xf numFmtId="9" fontId="78" fillId="37" borderId="0" xfId="98" applyNumberFormat="1" applyFont="1" applyFill="1"/>
    <xf numFmtId="3" fontId="78" fillId="37" borderId="0" xfId="98" applyNumberFormat="1" applyFont="1" applyFill="1"/>
    <xf numFmtId="180" fontId="41" fillId="37" borderId="0" xfId="100" applyNumberFormat="1" applyFont="1" applyFill="1"/>
    <xf numFmtId="181" fontId="78" fillId="37" borderId="0" xfId="98" applyNumberFormat="1" applyFont="1" applyFill="1"/>
    <xf numFmtId="0" fontId="78" fillId="37" borderId="0" xfId="98" applyFont="1" applyFill="1" applyAlignment="1">
      <alignment horizontal="center"/>
    </xf>
    <xf numFmtId="10" fontId="78" fillId="37" borderId="0" xfId="98" applyNumberFormat="1" applyFont="1" applyFill="1" applyAlignment="1">
      <alignment horizontal="center"/>
    </xf>
    <xf numFmtId="9" fontId="78" fillId="37" borderId="0" xfId="98" applyNumberFormat="1" applyFont="1" applyFill="1" applyAlignment="1">
      <alignment horizontal="center"/>
    </xf>
    <xf numFmtId="181" fontId="78" fillId="37" borderId="0" xfId="98" applyNumberFormat="1" applyFont="1" applyFill="1" applyAlignment="1">
      <alignment horizontal="center"/>
    </xf>
    <xf numFmtId="3" fontId="78" fillId="37" borderId="0" xfId="98" applyNumberFormat="1" applyFont="1" applyFill="1" applyAlignment="1">
      <alignment horizontal="center"/>
    </xf>
    <xf numFmtId="167" fontId="78" fillId="37" borderId="0" xfId="98" applyNumberFormat="1" applyFont="1" applyFill="1" applyAlignment="1">
      <alignment horizontal="center"/>
    </xf>
    <xf numFmtId="0" fontId="78" fillId="37" borderId="33" xfId="98" applyFont="1" applyFill="1" applyBorder="1"/>
    <xf numFmtId="9" fontId="78" fillId="37" borderId="33" xfId="98" applyNumberFormat="1" applyFont="1" applyFill="1" applyBorder="1" applyAlignment="1">
      <alignment horizontal="center" wrapText="1"/>
    </xf>
    <xf numFmtId="0" fontId="78" fillId="37" borderId="33" xfId="98" applyFont="1" applyFill="1" applyBorder="1" applyAlignment="1">
      <alignment horizontal="center" wrapText="1"/>
    </xf>
    <xf numFmtId="10" fontId="78" fillId="37" borderId="45" xfId="98" applyNumberFormat="1" applyFont="1" applyFill="1" applyBorder="1" applyAlignment="1">
      <alignment horizontal="center"/>
    </xf>
    <xf numFmtId="181" fontId="78" fillId="37" borderId="45" xfId="98" applyNumberFormat="1" applyFont="1" applyFill="1" applyBorder="1" applyAlignment="1">
      <alignment horizontal="center"/>
    </xf>
    <xf numFmtId="3" fontId="78" fillId="37" borderId="45" xfId="98" applyNumberFormat="1" applyFont="1" applyFill="1" applyBorder="1" applyAlignment="1">
      <alignment horizontal="center"/>
    </xf>
    <xf numFmtId="169" fontId="78" fillId="37" borderId="45" xfId="98" applyNumberFormat="1" applyFont="1" applyFill="1" applyBorder="1" applyAlignment="1">
      <alignment horizontal="center"/>
    </xf>
    <xf numFmtId="167" fontId="78" fillId="37" borderId="45" xfId="98" applyNumberFormat="1" applyFont="1" applyFill="1" applyBorder="1" applyAlignment="1">
      <alignment horizontal="center"/>
    </xf>
    <xf numFmtId="9" fontId="78" fillId="37" borderId="0" xfId="98" applyNumberFormat="1" applyFont="1" applyFill="1" applyBorder="1" applyAlignment="1">
      <alignment horizontal="center"/>
    </xf>
    <xf numFmtId="181" fontId="78" fillId="37" borderId="0" xfId="98" applyNumberFormat="1" applyFont="1" applyFill="1" applyBorder="1" applyAlignment="1">
      <alignment horizontal="center"/>
    </xf>
    <xf numFmtId="3" fontId="78" fillId="37" borderId="0" xfId="98" applyNumberFormat="1" applyFont="1" applyFill="1" applyBorder="1" applyAlignment="1">
      <alignment horizontal="center"/>
    </xf>
    <xf numFmtId="169" fontId="78" fillId="37" borderId="0" xfId="98" applyNumberFormat="1" applyFont="1" applyFill="1" applyBorder="1" applyAlignment="1">
      <alignment horizontal="center"/>
    </xf>
    <xf numFmtId="0" fontId="78" fillId="37" borderId="0" xfId="98" applyFont="1" applyFill="1" applyBorder="1" applyAlignment="1">
      <alignment horizontal="center"/>
    </xf>
    <xf numFmtId="10" fontId="41" fillId="37" borderId="0" xfId="100" applyNumberFormat="1" applyFont="1" applyFill="1" applyBorder="1" applyAlignment="1">
      <alignment horizontal="center"/>
    </xf>
    <xf numFmtId="0" fontId="77" fillId="37" borderId="33" xfId="98" applyFont="1" applyFill="1" applyBorder="1"/>
    <xf numFmtId="0" fontId="77" fillId="37" borderId="33" xfId="98" applyFont="1" applyFill="1" applyBorder="1" applyAlignment="1">
      <alignment wrapText="1"/>
    </xf>
    <xf numFmtId="0" fontId="78" fillId="37" borderId="35" xfId="98" applyFont="1" applyFill="1" applyBorder="1"/>
    <xf numFmtId="3" fontId="78" fillId="37" borderId="35" xfId="98" applyNumberFormat="1" applyFont="1" applyFill="1" applyBorder="1"/>
    <xf numFmtId="0" fontId="77" fillId="37" borderId="33" xfId="98" applyFont="1" applyFill="1" applyBorder="1" applyAlignment="1">
      <alignment horizontal="center" wrapText="1"/>
    </xf>
    <xf numFmtId="167" fontId="78" fillId="37" borderId="35" xfId="98" applyNumberFormat="1" applyFont="1" applyFill="1" applyBorder="1"/>
    <xf numFmtId="9" fontId="78" fillId="37" borderId="35" xfId="98" applyNumberFormat="1" applyFont="1" applyFill="1" applyBorder="1"/>
    <xf numFmtId="10" fontId="128" fillId="37" borderId="45" xfId="98" applyNumberFormat="1" applyFont="1" applyFill="1" applyBorder="1" applyAlignment="1">
      <alignment horizontal="center"/>
    </xf>
    <xf numFmtId="0" fontId="128" fillId="37" borderId="45" xfId="98" applyFont="1" applyFill="1" applyBorder="1"/>
    <xf numFmtId="9" fontId="128" fillId="37" borderId="45" xfId="98" applyNumberFormat="1" applyFont="1" applyFill="1" applyBorder="1" applyAlignment="1">
      <alignment horizontal="center"/>
    </xf>
    <xf numFmtId="0" fontId="128" fillId="37" borderId="45" xfId="98" applyFont="1" applyFill="1" applyBorder="1" applyAlignment="1">
      <alignment horizontal="center"/>
    </xf>
    <xf numFmtId="0" fontId="27" fillId="0" borderId="87" xfId="0" applyFont="1" applyBorder="1"/>
    <xf numFmtId="173" fontId="27" fillId="24" borderId="0" xfId="0" applyNumberFormat="1" applyFont="1" applyFill="1" applyBorder="1" applyAlignment="1">
      <alignment horizontal="center"/>
    </xf>
    <xf numFmtId="173" fontId="27" fillId="24" borderId="16" xfId="0" applyNumberFormat="1" applyFont="1" applyFill="1" applyBorder="1" applyAlignment="1">
      <alignment horizontal="center"/>
    </xf>
    <xf numFmtId="173" fontId="28" fillId="24" borderId="25" xfId="0" applyNumberFormat="1" applyFont="1" applyFill="1" applyBorder="1" applyAlignment="1">
      <alignment horizontal="center" wrapText="1"/>
    </xf>
    <xf numFmtId="173" fontId="27" fillId="24" borderId="19" xfId="0" applyNumberFormat="1" applyFont="1" applyFill="1" applyBorder="1" applyAlignment="1">
      <alignment horizontal="center"/>
    </xf>
    <xf numFmtId="173" fontId="28" fillId="24" borderId="23" xfId="0" applyNumberFormat="1" applyFont="1" applyFill="1" applyBorder="1" applyAlignment="1">
      <alignment horizontal="center" wrapText="1"/>
    </xf>
    <xf numFmtId="0" fontId="27" fillId="0" borderId="0" xfId="0" applyFont="1" applyBorder="1" applyAlignment="1">
      <alignment horizontal="center"/>
    </xf>
    <xf numFmtId="0" fontId="27" fillId="42" borderId="15" xfId="0" applyFont="1" applyFill="1" applyBorder="1"/>
    <xf numFmtId="165" fontId="27" fillId="42" borderId="0" xfId="49" applyNumberFormat="1" applyFont="1" applyFill="1" applyBorder="1"/>
    <xf numFmtId="165" fontId="32" fillId="43" borderId="0" xfId="49" applyNumberFormat="1" applyFont="1" applyFill="1" applyBorder="1"/>
    <xf numFmtId="168" fontId="32" fillId="43" borderId="0" xfId="102" applyNumberFormat="1" applyFont="1" applyFill="1" applyBorder="1"/>
    <xf numFmtId="3" fontId="27" fillId="42" borderId="16" xfId="49" applyNumberFormat="1" applyFont="1" applyFill="1" applyBorder="1"/>
    <xf numFmtId="172" fontId="27" fillId="42" borderId="0" xfId="49" applyNumberFormat="1" applyFont="1" applyFill="1" applyBorder="1"/>
    <xf numFmtId="166" fontId="27" fillId="42" borderId="17" xfId="49" applyNumberFormat="1" applyFont="1" applyFill="1" applyBorder="1" applyAlignment="1">
      <alignment horizontal="center"/>
    </xf>
    <xf numFmtId="165" fontId="27" fillId="42" borderId="15" xfId="49" applyNumberFormat="1" applyFont="1" applyFill="1" applyBorder="1"/>
    <xf numFmtId="167" fontId="27" fillId="42" borderId="16" xfId="0" applyNumberFormat="1" applyFont="1" applyFill="1" applyBorder="1" applyAlignment="1">
      <alignment horizontal="center"/>
    </xf>
    <xf numFmtId="167" fontId="27" fillId="42" borderId="15" xfId="0" applyNumberFormat="1" applyFont="1" applyFill="1" applyBorder="1" applyAlignment="1">
      <alignment horizontal="center"/>
    </xf>
    <xf numFmtId="3" fontId="27" fillId="42" borderId="0" xfId="0" applyNumberFormat="1" applyFont="1" applyFill="1" applyBorder="1" applyAlignment="1">
      <alignment horizontal="center" wrapText="1"/>
    </xf>
    <xf numFmtId="173" fontId="27" fillId="42" borderId="16" xfId="0" applyNumberFormat="1" applyFont="1" applyFill="1" applyBorder="1" applyAlignment="1">
      <alignment horizontal="center"/>
    </xf>
    <xf numFmtId="2" fontId="27" fillId="42" borderId="0" xfId="0" applyNumberFormat="1" applyFont="1" applyFill="1" applyBorder="1" applyAlignment="1">
      <alignment horizontal="center" wrapText="1"/>
    </xf>
    <xf numFmtId="170" fontId="27" fillId="42" borderId="27" xfId="0" applyNumberFormat="1" applyFont="1" applyFill="1" applyBorder="1" applyAlignment="1">
      <alignment horizontal="center" wrapText="1"/>
    </xf>
    <xf numFmtId="0" fontId="27" fillId="42" borderId="0" xfId="0" applyFont="1" applyFill="1" applyBorder="1"/>
    <xf numFmtId="165" fontId="27" fillId="43" borderId="0" xfId="49" applyNumberFormat="1" applyFont="1" applyFill="1" applyBorder="1"/>
    <xf numFmtId="168" fontId="27" fillId="43" borderId="0" xfId="102" applyNumberFormat="1" applyFont="1" applyFill="1" applyBorder="1"/>
    <xf numFmtId="1" fontId="27" fillId="42" borderId="17" xfId="49" applyNumberFormat="1" applyFont="1" applyFill="1" applyBorder="1" applyAlignment="1">
      <alignment horizontal="center"/>
    </xf>
    <xf numFmtId="165" fontId="65" fillId="43" borderId="0" xfId="49" applyNumberFormat="1" applyFont="1" applyFill="1" applyBorder="1"/>
    <xf numFmtId="168" fontId="65" fillId="43" borderId="0" xfId="102" applyNumberFormat="1" applyFont="1" applyFill="1" applyBorder="1"/>
    <xf numFmtId="0" fontId="23" fillId="0" borderId="46" xfId="0" applyFont="1" applyBorder="1"/>
    <xf numFmtId="0" fontId="0" fillId="37" borderId="22" xfId="0" applyFill="1" applyBorder="1" applyAlignment="1">
      <alignment horizontal="left" vertical="center" wrapText="1"/>
    </xf>
    <xf numFmtId="0" fontId="85" fillId="0" borderId="0" xfId="0" applyFont="1" applyAlignment="1">
      <alignment horizontal="left" vertical="center"/>
    </xf>
    <xf numFmtId="0" fontId="0" fillId="37" borderId="56" xfId="0" applyFill="1" applyBorder="1"/>
    <xf numFmtId="4" fontId="78" fillId="37" borderId="0" xfId="98" applyNumberFormat="1" applyFont="1" applyFill="1" applyBorder="1" applyAlignment="1">
      <alignment horizontal="right"/>
    </xf>
    <xf numFmtId="3" fontId="78" fillId="37" borderId="0" xfId="98" applyNumberFormat="1" applyFont="1" applyFill="1" applyBorder="1" applyAlignment="1">
      <alignment horizontal="right"/>
    </xf>
    <xf numFmtId="0" fontId="41" fillId="37" borderId="0" xfId="0" applyFont="1" applyFill="1" applyAlignment="1">
      <alignment horizontal="center"/>
    </xf>
    <xf numFmtId="0" fontId="78" fillId="37" borderId="0" xfId="98" applyFont="1" applyFill="1" applyBorder="1" applyAlignment="1">
      <alignment horizontal="left" indent="1"/>
    </xf>
    <xf numFmtId="0" fontId="81" fillId="37" borderId="61" xfId="98" applyFont="1" applyFill="1" applyBorder="1"/>
    <xf numFmtId="0" fontId="81" fillId="37" borderId="79" xfId="98" applyFont="1" applyFill="1" applyBorder="1"/>
    <xf numFmtId="0" fontId="81" fillId="37" borderId="58" xfId="98" applyFont="1" applyFill="1" applyBorder="1"/>
    <xf numFmtId="173" fontId="81" fillId="37" borderId="58" xfId="98" applyNumberFormat="1" applyFont="1" applyFill="1" applyBorder="1"/>
    <xf numFmtId="2" fontId="81" fillId="37" borderId="58" xfId="98" applyNumberFormat="1" applyFont="1" applyFill="1" applyBorder="1"/>
    <xf numFmtId="0" fontId="81" fillId="37" borderId="84" xfId="98" applyFont="1" applyFill="1" applyBorder="1"/>
    <xf numFmtId="0" fontId="81" fillId="37" borderId="81" xfId="98" applyFont="1" applyFill="1" applyBorder="1"/>
    <xf numFmtId="0" fontId="81" fillId="37" borderId="82" xfId="98" applyFont="1" applyFill="1" applyBorder="1"/>
    <xf numFmtId="167" fontId="81" fillId="37" borderId="58" xfId="98" applyNumberFormat="1" applyFont="1" applyFill="1" applyBorder="1"/>
    <xf numFmtId="167" fontId="81" fillId="37" borderId="81" xfId="98" applyNumberFormat="1" applyFont="1" applyFill="1" applyBorder="1"/>
    <xf numFmtId="2" fontId="81" fillId="37" borderId="61" xfId="98" applyNumberFormat="1" applyFont="1" applyFill="1" applyBorder="1"/>
    <xf numFmtId="180" fontId="41" fillId="37" borderId="33" xfId="100" applyNumberFormat="1" applyFont="1" applyFill="1" applyBorder="1"/>
    <xf numFmtId="3" fontId="81" fillId="37" borderId="33" xfId="98" applyNumberFormat="1" applyFont="1" applyFill="1" applyBorder="1"/>
    <xf numFmtId="0" fontId="46" fillId="37" borderId="0" xfId="98" applyNumberFormat="1" applyFont="1" applyFill="1" applyBorder="1" applyAlignment="1"/>
    <xf numFmtId="0" fontId="2" fillId="37" borderId="0" xfId="98" applyNumberFormat="1" applyFont="1" applyFill="1" applyBorder="1" applyAlignment="1"/>
    <xf numFmtId="0" fontId="11" fillId="37" borderId="0" xfId="101" applyNumberFormat="1" applyFont="1" applyFill="1" applyBorder="1" applyAlignment="1"/>
    <xf numFmtId="0" fontId="47" fillId="37" borderId="0" xfId="98" applyNumberFormat="1" applyFont="1" applyFill="1" applyBorder="1" applyAlignment="1"/>
    <xf numFmtId="0" fontId="2" fillId="37" borderId="56" xfId="98" applyNumberFormat="1" applyFont="1" applyFill="1" applyBorder="1" applyAlignment="1"/>
    <xf numFmtId="0" fontId="47" fillId="37" borderId="55" xfId="98" applyNumberFormat="1" applyFont="1" applyFill="1" applyBorder="1" applyAlignment="1"/>
    <xf numFmtId="0" fontId="47" fillId="37" borderId="56" xfId="98" applyNumberFormat="1" applyFont="1" applyFill="1" applyBorder="1" applyAlignment="1"/>
    <xf numFmtId="0" fontId="47" fillId="37" borderId="58" xfId="98" applyNumberFormat="1" applyFont="1" applyFill="1" applyBorder="1" applyAlignment="1"/>
    <xf numFmtId="0" fontId="2" fillId="37" borderId="37" xfId="98" applyNumberFormat="1" applyFont="1" applyFill="1" applyBorder="1" applyAlignment="1"/>
    <xf numFmtId="0" fontId="47" fillId="37" borderId="37" xfId="98" applyNumberFormat="1" applyFont="1" applyFill="1" applyBorder="1" applyAlignment="1"/>
    <xf numFmtId="0" fontId="47" fillId="37" borderId="38" xfId="98" applyNumberFormat="1" applyFont="1" applyFill="1" applyBorder="1" applyAlignment="1"/>
    <xf numFmtId="0" fontId="47" fillId="37" borderId="56" xfId="98" applyNumberFormat="1" applyFont="1" applyFill="1" applyBorder="1" applyAlignment="1">
      <alignment horizontal="left"/>
    </xf>
    <xf numFmtId="167" fontId="2" fillId="37" borderId="55" xfId="98" applyNumberFormat="1" applyFont="1" applyFill="1" applyBorder="1" applyAlignment="1">
      <alignment horizontal="left"/>
    </xf>
    <xf numFmtId="167" fontId="2" fillId="37" borderId="56" xfId="98" applyNumberFormat="1" applyFont="1" applyFill="1" applyBorder="1" applyAlignment="1">
      <alignment horizontal="left"/>
    </xf>
    <xf numFmtId="167" fontId="2" fillId="37" borderId="58" xfId="98" applyNumberFormat="1" applyFont="1" applyFill="1" applyBorder="1" applyAlignment="1">
      <alignment horizontal="left"/>
    </xf>
    <xf numFmtId="0" fontId="47" fillId="37" borderId="22" xfId="98" applyNumberFormat="1" applyFont="1" applyFill="1" applyBorder="1" applyAlignment="1">
      <alignment horizontal="left"/>
    </xf>
    <xf numFmtId="167" fontId="2" fillId="37" borderId="41" xfId="98" applyNumberFormat="1" applyFont="1" applyFill="1" applyBorder="1" applyAlignment="1">
      <alignment horizontal="left"/>
    </xf>
    <xf numFmtId="167" fontId="2" fillId="37" borderId="22" xfId="98" applyNumberFormat="1" applyFont="1" applyFill="1" applyBorder="1" applyAlignment="1">
      <alignment horizontal="left"/>
    </xf>
    <xf numFmtId="167" fontId="2" fillId="37" borderId="39" xfId="98" applyNumberFormat="1" applyFont="1" applyFill="1" applyBorder="1" applyAlignment="1">
      <alignment horizontal="left"/>
    </xf>
    <xf numFmtId="0" fontId="130" fillId="0" borderId="0" xfId="0" applyFont="1"/>
    <xf numFmtId="0" fontId="131" fillId="37" borderId="0" xfId="98" applyFont="1" applyFill="1" applyBorder="1" applyAlignment="1">
      <alignment horizontal="right"/>
    </xf>
    <xf numFmtId="0" fontId="131" fillId="37" borderId="0" xfId="98" applyFont="1" applyFill="1"/>
    <xf numFmtId="0" fontId="77" fillId="37" borderId="35" xfId="98" applyFont="1" applyFill="1" applyBorder="1"/>
    <xf numFmtId="3" fontId="77" fillId="37" borderId="35" xfId="98" applyNumberFormat="1" applyFont="1" applyFill="1" applyBorder="1"/>
    <xf numFmtId="180" fontId="59" fillId="37" borderId="35" xfId="100" applyNumberFormat="1" applyFont="1" applyFill="1" applyBorder="1"/>
    <xf numFmtId="0" fontId="78" fillId="37" borderId="0" xfId="87" applyFont="1" applyFill="1" applyAlignment="1">
      <alignment horizontal="centerContinuous" vertical="center"/>
    </xf>
    <xf numFmtId="0" fontId="78" fillId="37" borderId="0" xfId="87" applyFont="1" applyFill="1" applyAlignment="1">
      <alignment vertical="center"/>
    </xf>
    <xf numFmtId="3" fontId="78" fillId="37" borderId="0" xfId="88" applyFont="1" applyFill="1" applyAlignment="1">
      <alignment vertical="center"/>
    </xf>
    <xf numFmtId="0" fontId="77" fillId="37" borderId="22" xfId="87" applyFont="1" applyFill="1" applyBorder="1" applyAlignment="1">
      <alignment horizontal="left" vertical="center"/>
    </xf>
    <xf numFmtId="0" fontId="77" fillId="37" borderId="22" xfId="87" applyFont="1" applyFill="1" applyBorder="1" applyAlignment="1">
      <alignment horizontal="center" vertical="center" wrapText="1"/>
    </xf>
    <xf numFmtId="0" fontId="77" fillId="37" borderId="22" xfId="92" applyFont="1" applyFill="1" applyBorder="1" applyAlignment="1">
      <alignment horizontal="center" vertical="center" wrapText="1"/>
    </xf>
    <xf numFmtId="0" fontId="77" fillId="37" borderId="55" xfId="87" applyFont="1" applyFill="1" applyBorder="1" applyAlignment="1">
      <alignment horizontal="centerContinuous" vertical="center"/>
    </xf>
    <xf numFmtId="0" fontId="78" fillId="37" borderId="56" xfId="87" applyFont="1" applyFill="1" applyBorder="1" applyAlignment="1">
      <alignment horizontal="centerContinuous" vertical="center"/>
    </xf>
    <xf numFmtId="0" fontId="78" fillId="37" borderId="57" xfId="87" applyFont="1" applyFill="1" applyBorder="1" applyAlignment="1">
      <alignment horizontal="centerContinuous" vertical="center"/>
    </xf>
    <xf numFmtId="0" fontId="77" fillId="37" borderId="39" xfId="87" applyFont="1" applyFill="1" applyBorder="1" applyAlignment="1">
      <alignment horizontal="centerContinuous" vertical="center"/>
    </xf>
    <xf numFmtId="0" fontId="78" fillId="37" borderId="38" xfId="87" applyFont="1" applyFill="1" applyBorder="1" applyAlignment="1">
      <alignment horizontal="centerContinuous" vertical="center"/>
    </xf>
    <xf numFmtId="0" fontId="95" fillId="37" borderId="0" xfId="87" applyFont="1" applyFill="1" applyAlignment="1">
      <alignment vertical="center"/>
    </xf>
    <xf numFmtId="0" fontId="77" fillId="37" borderId="59" xfId="92" applyFont="1" applyFill="1" applyBorder="1" applyAlignment="1">
      <alignment horizontal="center" vertical="center" wrapText="1"/>
    </xf>
    <xf numFmtId="0" fontId="77" fillId="37" borderId="60" xfId="92" applyFont="1" applyFill="1" applyBorder="1" applyAlignment="1">
      <alignment horizontal="center" vertical="center" wrapText="1"/>
    </xf>
    <xf numFmtId="0" fontId="78" fillId="37" borderId="37" xfId="87" applyFont="1" applyFill="1" applyBorder="1" applyAlignment="1">
      <alignment vertical="center"/>
    </xf>
    <xf numFmtId="0" fontId="78" fillId="37" borderId="38" xfId="87" applyFont="1" applyFill="1" applyBorder="1" applyAlignment="1">
      <alignment vertical="center"/>
    </xf>
    <xf numFmtId="3" fontId="78" fillId="37" borderId="54" xfId="87" applyNumberFormat="1" applyFont="1" applyFill="1" applyBorder="1" applyAlignment="1">
      <alignment horizontal="center" vertical="center"/>
    </xf>
    <xf numFmtId="3" fontId="78" fillId="37" borderId="38" xfId="87" applyNumberFormat="1" applyFont="1" applyFill="1" applyBorder="1" applyAlignment="1">
      <alignment horizontal="center" vertical="center"/>
    </xf>
    <xf numFmtId="9" fontId="78" fillId="37" borderId="53" xfId="102" applyFont="1" applyFill="1" applyBorder="1" applyAlignment="1">
      <alignment horizontal="center" vertical="center"/>
    </xf>
    <xf numFmtId="0" fontId="78" fillId="37" borderId="38" xfId="87" applyFont="1" applyFill="1" applyBorder="1" applyAlignment="1">
      <alignment horizontal="center" vertical="center"/>
    </xf>
    <xf numFmtId="9" fontId="78" fillId="37" borderId="38" xfId="102" applyFont="1" applyFill="1" applyBorder="1" applyAlignment="1">
      <alignment horizontal="center" vertical="center"/>
    </xf>
    <xf numFmtId="0" fontId="78" fillId="37" borderId="41" xfId="87" applyFont="1" applyFill="1" applyBorder="1" applyAlignment="1">
      <alignment vertical="center"/>
    </xf>
    <xf numFmtId="0" fontId="78" fillId="37" borderId="39" xfId="87" applyFont="1" applyFill="1" applyBorder="1" applyAlignment="1">
      <alignment vertical="center"/>
    </xf>
    <xf numFmtId="3" fontId="78" fillId="37" borderId="40" xfId="87" applyNumberFormat="1" applyFont="1" applyFill="1" applyBorder="1" applyAlignment="1">
      <alignment horizontal="center" vertical="center"/>
    </xf>
    <xf numFmtId="3" fontId="78" fillId="37" borderId="39" xfId="87" applyNumberFormat="1" applyFont="1" applyFill="1" applyBorder="1" applyAlignment="1">
      <alignment horizontal="center" vertical="center"/>
    </xf>
    <xf numFmtId="0" fontId="78" fillId="37" borderId="39" xfId="87" applyFont="1" applyFill="1" applyBorder="1" applyAlignment="1">
      <alignment horizontal="center" vertical="center"/>
    </xf>
    <xf numFmtId="9" fontId="78" fillId="37" borderId="39" xfId="102" applyFont="1" applyFill="1" applyBorder="1" applyAlignment="1">
      <alignment horizontal="center" vertical="center"/>
    </xf>
    <xf numFmtId="0" fontId="78" fillId="37" borderId="55" xfId="87" applyFont="1" applyFill="1" applyBorder="1" applyAlignment="1">
      <alignment vertical="center"/>
    </xf>
    <xf numFmtId="0" fontId="78" fillId="37" borderId="58" xfId="87" applyFont="1" applyFill="1" applyBorder="1" applyAlignment="1">
      <alignment vertical="center"/>
    </xf>
    <xf numFmtId="3" fontId="78" fillId="37" borderId="61" xfId="87" applyNumberFormat="1" applyFont="1" applyFill="1" applyBorder="1" applyAlignment="1">
      <alignment horizontal="center" vertical="center"/>
    </xf>
    <xf numFmtId="0" fontId="78" fillId="37" borderId="58" xfId="87" applyFont="1" applyFill="1" applyBorder="1" applyAlignment="1">
      <alignment horizontal="center" vertical="center"/>
    </xf>
    <xf numFmtId="9" fontId="78" fillId="37" borderId="58" xfId="102" applyFont="1" applyFill="1" applyBorder="1" applyAlignment="1">
      <alignment horizontal="center" vertical="center"/>
    </xf>
    <xf numFmtId="0" fontId="78" fillId="37" borderId="62" xfId="87" applyFont="1" applyFill="1" applyBorder="1" applyAlignment="1">
      <alignment vertical="center"/>
    </xf>
    <xf numFmtId="0" fontId="78" fillId="37" borderId="61" xfId="87" applyFont="1" applyFill="1" applyBorder="1" applyAlignment="1">
      <alignment vertical="center"/>
    </xf>
    <xf numFmtId="3" fontId="78" fillId="37" borderId="63" xfId="87" applyNumberFormat="1" applyFont="1" applyFill="1" applyBorder="1" applyAlignment="1">
      <alignment horizontal="center" vertical="center"/>
    </xf>
    <xf numFmtId="9" fontId="78" fillId="37" borderId="61" xfId="102" applyFont="1" applyFill="1" applyBorder="1" applyAlignment="1">
      <alignment horizontal="center" vertical="center"/>
    </xf>
    <xf numFmtId="3" fontId="78" fillId="37" borderId="57" xfId="87" applyNumberFormat="1" applyFont="1" applyFill="1" applyBorder="1" applyAlignment="1">
      <alignment horizontal="center" vertical="center"/>
    </xf>
    <xf numFmtId="3" fontId="78" fillId="37" borderId="58" xfId="87" applyNumberFormat="1" applyFont="1" applyFill="1" applyBorder="1" applyAlignment="1">
      <alignment horizontal="center" vertical="center"/>
    </xf>
    <xf numFmtId="0" fontId="77" fillId="37" borderId="0" xfId="87" applyFont="1" applyFill="1" applyBorder="1" applyAlignment="1">
      <alignment horizontal="center" vertical="center" wrapText="1"/>
    </xf>
    <xf numFmtId="0" fontId="77" fillId="37" borderId="0" xfId="92" applyFont="1" applyFill="1" applyBorder="1" applyAlignment="1">
      <alignment horizontal="center" vertical="center" wrapText="1"/>
    </xf>
    <xf numFmtId="0" fontId="77" fillId="37" borderId="56" xfId="92" applyFont="1" applyFill="1" applyBorder="1" applyAlignment="1">
      <alignment horizontal="center" vertical="center" wrapText="1"/>
    </xf>
    <xf numFmtId="0" fontId="77" fillId="37" borderId="0" xfId="87" applyFont="1" applyFill="1" applyAlignment="1">
      <alignment vertical="center"/>
    </xf>
    <xf numFmtId="0" fontId="77" fillId="37" borderId="63" xfId="87" applyFont="1" applyFill="1" applyBorder="1" applyAlignment="1">
      <alignment horizontal="centerContinuous" vertical="center"/>
    </xf>
    <xf numFmtId="0" fontId="78" fillId="37" borderId="61" xfId="87" applyFont="1" applyFill="1" applyBorder="1" applyAlignment="1">
      <alignment horizontal="centerContinuous" vertical="center"/>
    </xf>
    <xf numFmtId="0" fontId="78" fillId="37" borderId="64" xfId="87" applyFont="1" applyFill="1" applyBorder="1" applyAlignment="1">
      <alignment vertical="center"/>
    </xf>
    <xf numFmtId="0" fontId="78" fillId="37" borderId="65" xfId="87" applyFont="1" applyFill="1" applyBorder="1" applyAlignment="1">
      <alignment horizontal="center" vertical="center"/>
    </xf>
    <xf numFmtId="9" fontId="78" fillId="37" borderId="65" xfId="102" applyNumberFormat="1" applyFont="1" applyFill="1" applyBorder="1" applyAlignment="1">
      <alignment horizontal="center" vertical="center"/>
    </xf>
    <xf numFmtId="9" fontId="78" fillId="37" borderId="66" xfId="102" applyNumberFormat="1" applyFont="1" applyFill="1" applyBorder="1" applyAlignment="1">
      <alignment horizontal="center" vertical="center"/>
    </xf>
    <xf numFmtId="3" fontId="78" fillId="37" borderId="38" xfId="102" applyNumberFormat="1" applyFont="1" applyFill="1" applyBorder="1" applyAlignment="1">
      <alignment horizontal="center" vertical="center"/>
    </xf>
    <xf numFmtId="177" fontId="78" fillId="37" borderId="54" xfId="102" applyNumberFormat="1" applyFont="1" applyFill="1" applyBorder="1" applyAlignment="1">
      <alignment horizontal="center" vertical="center"/>
    </xf>
    <xf numFmtId="0" fontId="78" fillId="37" borderId="58" xfId="102" applyNumberFormat="1" applyFont="1" applyFill="1" applyBorder="1" applyAlignment="1">
      <alignment horizontal="center" vertical="center"/>
    </xf>
    <xf numFmtId="3" fontId="78" fillId="37" borderId="54" xfId="102" applyNumberFormat="1" applyFont="1" applyFill="1" applyBorder="1" applyAlignment="1">
      <alignment horizontal="center" vertical="center"/>
    </xf>
    <xf numFmtId="171" fontId="78" fillId="37" borderId="54" xfId="102" applyNumberFormat="1" applyFont="1" applyFill="1" applyBorder="1" applyAlignment="1">
      <alignment horizontal="center" vertical="center"/>
    </xf>
    <xf numFmtId="0" fontId="78" fillId="37" borderId="38" xfId="102" applyNumberFormat="1" applyFont="1" applyFill="1" applyBorder="1" applyAlignment="1">
      <alignment horizontal="center" vertical="center"/>
    </xf>
    <xf numFmtId="170" fontId="78" fillId="37" borderId="54" xfId="102" applyNumberFormat="1" applyFont="1" applyFill="1" applyBorder="1" applyAlignment="1">
      <alignment horizontal="center" vertical="center"/>
    </xf>
    <xf numFmtId="4" fontId="78" fillId="37" borderId="54" xfId="102" applyNumberFormat="1" applyFont="1" applyFill="1" applyBorder="1" applyAlignment="1">
      <alignment horizontal="center" vertical="center"/>
    </xf>
    <xf numFmtId="167" fontId="78" fillId="37" borderId="38" xfId="102" applyNumberFormat="1" applyFont="1" applyFill="1" applyBorder="1" applyAlignment="1">
      <alignment horizontal="center" vertical="center"/>
    </xf>
    <xf numFmtId="167" fontId="78" fillId="37" borderId="54" xfId="102" applyNumberFormat="1" applyFont="1" applyFill="1" applyBorder="1" applyAlignment="1">
      <alignment horizontal="center" vertical="center"/>
    </xf>
    <xf numFmtId="2" fontId="78" fillId="37" borderId="38" xfId="102" applyNumberFormat="1" applyFont="1" applyFill="1" applyBorder="1" applyAlignment="1">
      <alignment horizontal="center" vertical="center"/>
    </xf>
    <xf numFmtId="2" fontId="78" fillId="37" borderId="54" xfId="102" applyNumberFormat="1" applyFont="1" applyFill="1" applyBorder="1" applyAlignment="1">
      <alignment horizontal="center" vertical="center"/>
    </xf>
    <xf numFmtId="3" fontId="78" fillId="37" borderId="38" xfId="88" applyFont="1" applyFill="1" applyBorder="1" applyAlignment="1">
      <alignment horizontal="center" vertical="center"/>
    </xf>
    <xf numFmtId="3" fontId="78" fillId="37" borderId="39" xfId="88" applyFont="1" applyFill="1" applyBorder="1" applyAlignment="1">
      <alignment horizontal="center" vertical="center"/>
    </xf>
    <xf numFmtId="167" fontId="78" fillId="37" borderId="39" xfId="102" applyNumberFormat="1" applyFont="1" applyFill="1" applyBorder="1" applyAlignment="1">
      <alignment horizontal="center" vertical="center"/>
    </xf>
    <xf numFmtId="167" fontId="78" fillId="37" borderId="40" xfId="102" applyNumberFormat="1" applyFont="1" applyFill="1" applyBorder="1" applyAlignment="1">
      <alignment horizontal="center" vertical="center"/>
    </xf>
    <xf numFmtId="0" fontId="78" fillId="37" borderId="39" xfId="102" applyNumberFormat="1" applyFont="1" applyFill="1" applyBorder="1" applyAlignment="1">
      <alignment horizontal="center" vertical="center"/>
    </xf>
    <xf numFmtId="0" fontId="78" fillId="37" borderId="0" xfId="87" applyFont="1" applyFill="1" applyBorder="1" applyAlignment="1">
      <alignment vertical="center"/>
    </xf>
    <xf numFmtId="0" fontId="77" fillId="37" borderId="60" xfId="87" applyNumberFormat="1" applyFont="1" applyFill="1" applyBorder="1" applyAlignment="1">
      <alignment vertical="center" wrapText="1"/>
    </xf>
    <xf numFmtId="0" fontId="77" fillId="37" borderId="59" xfId="87" applyFont="1" applyFill="1" applyBorder="1" applyAlignment="1">
      <alignment horizontal="center" vertical="center" wrapText="1"/>
    </xf>
    <xf numFmtId="0" fontId="77" fillId="37" borderId="60" xfId="87" applyFont="1" applyFill="1" applyBorder="1" applyAlignment="1">
      <alignment horizontal="center" vertical="center" wrapText="1"/>
    </xf>
    <xf numFmtId="0" fontId="77" fillId="37" borderId="38" xfId="87" applyFont="1" applyFill="1" applyBorder="1" applyAlignment="1">
      <alignment horizontal="centerContinuous" vertical="center"/>
    </xf>
    <xf numFmtId="0" fontId="77" fillId="37" borderId="54" xfId="87" applyFont="1" applyFill="1" applyBorder="1" applyAlignment="1">
      <alignment horizontal="centerContinuous" vertical="center"/>
    </xf>
    <xf numFmtId="0" fontId="78" fillId="37" borderId="0" xfId="87" applyFont="1" applyFill="1" applyBorder="1" applyAlignment="1">
      <alignment horizontal="centerContinuous" vertical="center"/>
    </xf>
    <xf numFmtId="0" fontId="78" fillId="37" borderId="22" xfId="87" applyFont="1" applyFill="1" applyBorder="1" applyAlignment="1">
      <alignment horizontal="centerContinuous" vertical="center"/>
    </xf>
    <xf numFmtId="0" fontId="78" fillId="37" borderId="39" xfId="87" applyFont="1" applyFill="1" applyBorder="1" applyAlignment="1">
      <alignment horizontal="centerContinuous" vertical="center"/>
    </xf>
    <xf numFmtId="171" fontId="78" fillId="37" borderId="0" xfId="87" applyNumberFormat="1" applyFont="1" applyFill="1" applyAlignment="1">
      <alignment vertical="center"/>
    </xf>
    <xf numFmtId="0" fontId="77" fillId="37" borderId="58" xfId="87" applyFont="1" applyFill="1" applyBorder="1" applyAlignment="1">
      <alignment horizontal="centerContinuous" vertical="center"/>
    </xf>
    <xf numFmtId="0" fontId="77" fillId="37" borderId="57" xfId="87" applyFont="1" applyFill="1" applyBorder="1" applyAlignment="1">
      <alignment horizontal="centerContinuous" vertical="center"/>
    </xf>
    <xf numFmtId="0" fontId="78" fillId="37" borderId="58" xfId="87" applyFont="1" applyFill="1" applyBorder="1" applyAlignment="1">
      <alignment horizontal="centerContinuous" vertical="center"/>
    </xf>
    <xf numFmtId="2" fontId="78" fillId="37" borderId="58" xfId="87" applyNumberFormat="1" applyFont="1" applyFill="1" applyBorder="1" applyAlignment="1">
      <alignment horizontal="centerContinuous" vertical="center"/>
    </xf>
    <xf numFmtId="0" fontId="77" fillId="37" borderId="40" xfId="87" applyFont="1" applyFill="1" applyBorder="1" applyAlignment="1">
      <alignment horizontal="centerContinuous" vertical="center"/>
    </xf>
    <xf numFmtId="0" fontId="78" fillId="37" borderId="54" xfId="87" applyFont="1" applyFill="1" applyBorder="1" applyAlignment="1">
      <alignment horizontal="center" vertical="center"/>
    </xf>
    <xf numFmtId="0" fontId="78" fillId="37" borderId="41" xfId="87" applyFont="1" applyFill="1" applyBorder="1" applyAlignment="1">
      <alignment horizontal="centerContinuous" vertical="center"/>
    </xf>
    <xf numFmtId="0" fontId="78" fillId="37" borderId="14" xfId="87" applyFont="1" applyFill="1" applyBorder="1" applyAlignment="1">
      <alignment vertical="center"/>
    </xf>
    <xf numFmtId="0" fontId="78" fillId="37" borderId="20" xfId="87" applyFont="1" applyFill="1" applyBorder="1" applyAlignment="1">
      <alignment vertical="center"/>
    </xf>
    <xf numFmtId="0" fontId="77" fillId="37" borderId="0" xfId="91" applyFont="1" applyFill="1" applyAlignment="1">
      <alignment vertical="center"/>
    </xf>
    <xf numFmtId="0" fontId="78" fillId="37" borderId="0" xfId="91" applyFont="1" applyFill="1" applyAlignment="1">
      <alignment horizontal="left" vertical="center"/>
    </xf>
    <xf numFmtId="0" fontId="78" fillId="37" borderId="0" xfId="91" applyNumberFormat="1" applyFont="1" applyFill="1" applyAlignment="1">
      <alignment horizontal="left" vertical="center"/>
    </xf>
    <xf numFmtId="0" fontId="78" fillId="37" borderId="0" xfId="91" applyFont="1" applyFill="1" applyAlignment="1">
      <alignment vertical="center" wrapText="1"/>
    </xf>
    <xf numFmtId="0" fontId="78" fillId="37" borderId="0" xfId="93" applyFont="1" applyFill="1" applyAlignment="1">
      <alignment horizontal="right" vertical="center"/>
    </xf>
    <xf numFmtId="3" fontId="78" fillId="37" borderId="0" xfId="93" applyNumberFormat="1" applyFont="1" applyFill="1" applyAlignment="1">
      <alignment horizontal="center" vertical="center"/>
    </xf>
    <xf numFmtId="0" fontId="78" fillId="37" borderId="0" xfId="87" applyFont="1" applyFill="1" applyBorder="1" applyAlignment="1">
      <alignment horizontal="right" vertical="center"/>
    </xf>
    <xf numFmtId="3" fontId="78" fillId="37" borderId="0" xfId="102" applyNumberFormat="1" applyFont="1" applyFill="1" applyAlignment="1">
      <alignment horizontal="center" vertical="center"/>
    </xf>
    <xf numFmtId="49" fontId="95" fillId="37" borderId="0" xfId="94" quotePrefix="1" applyNumberFormat="1" applyFont="1" applyFill="1" applyAlignment="1">
      <alignment horizontal="left" vertical="center"/>
    </xf>
    <xf numFmtId="168" fontId="78" fillId="37" borderId="0" xfId="95" applyNumberFormat="1" applyFont="1" applyFill="1" applyAlignment="1">
      <alignment horizontal="center" vertical="center"/>
    </xf>
    <xf numFmtId="0" fontId="78" fillId="37" borderId="0" xfId="87" applyFont="1" applyFill="1" applyAlignment="1">
      <alignment horizontal="right" vertical="center"/>
    </xf>
    <xf numFmtId="170" fontId="78" fillId="37" borderId="0" xfId="102" applyNumberFormat="1" applyFont="1" applyFill="1" applyAlignment="1">
      <alignment horizontal="center" vertical="center"/>
    </xf>
    <xf numFmtId="0" fontId="78" fillId="37" borderId="0" xfId="91" applyFont="1" applyFill="1" applyAlignment="1">
      <alignment vertical="center"/>
    </xf>
    <xf numFmtId="0" fontId="78" fillId="37" borderId="0" xfId="94" applyFont="1" applyFill="1" applyAlignment="1">
      <alignment horizontal="left" vertical="center"/>
    </xf>
    <xf numFmtId="0" fontId="78" fillId="37" borderId="0" xfId="87" quotePrefix="1" applyFont="1" applyFill="1" applyAlignment="1">
      <alignment horizontal="left" vertical="center" wrapText="1"/>
    </xf>
    <xf numFmtId="0" fontId="78" fillId="37" borderId="0" xfId="87" applyFont="1" applyFill="1" applyAlignment="1">
      <alignment horizontal="left" vertical="center"/>
    </xf>
    <xf numFmtId="0" fontId="78" fillId="37" borderId="0" xfId="91" quotePrefix="1" applyFont="1" applyFill="1" applyAlignment="1">
      <alignment horizontal="left" vertical="center"/>
    </xf>
    <xf numFmtId="9" fontId="78" fillId="37" borderId="0" xfId="87" applyNumberFormat="1" applyFont="1" applyFill="1" applyBorder="1" applyAlignment="1">
      <alignment vertical="center"/>
    </xf>
    <xf numFmtId="177" fontId="78" fillId="37" borderId="0" xfId="102" applyNumberFormat="1" applyFont="1" applyFill="1" applyAlignment="1">
      <alignment vertical="center"/>
    </xf>
    <xf numFmtId="0" fontId="129" fillId="37" borderId="0" xfId="87" applyFont="1" applyFill="1" applyAlignment="1">
      <alignment horizontal="left" vertical="center"/>
    </xf>
    <xf numFmtId="172" fontId="78" fillId="37" borderId="53" xfId="87" applyNumberFormat="1" applyFont="1" applyFill="1" applyBorder="1" applyAlignment="1">
      <alignment horizontal="right" vertical="center"/>
    </xf>
    <xf numFmtId="172" fontId="78" fillId="37" borderId="38" xfId="87" applyNumberFormat="1" applyFont="1" applyFill="1" applyBorder="1" applyAlignment="1">
      <alignment horizontal="right" vertical="center"/>
    </xf>
    <xf numFmtId="172" fontId="78" fillId="37" borderId="39" xfId="87" applyNumberFormat="1" applyFont="1" applyFill="1" applyBorder="1" applyAlignment="1">
      <alignment horizontal="right" vertical="center"/>
    </xf>
    <xf numFmtId="172" fontId="78" fillId="37" borderId="58" xfId="87" applyNumberFormat="1" applyFont="1" applyFill="1" applyBorder="1" applyAlignment="1">
      <alignment horizontal="right" vertical="center"/>
    </xf>
    <xf numFmtId="172" fontId="78" fillId="37" borderId="61" xfId="87" applyNumberFormat="1" applyFont="1" applyFill="1" applyBorder="1" applyAlignment="1">
      <alignment horizontal="right" vertical="center"/>
    </xf>
    <xf numFmtId="182" fontId="78" fillId="37" borderId="61" xfId="87" applyNumberFormat="1" applyFont="1" applyFill="1" applyBorder="1" applyAlignment="1">
      <alignment horizontal="right" vertical="center"/>
    </xf>
    <xf numFmtId="182" fontId="78" fillId="37" borderId="0" xfId="87" applyNumberFormat="1" applyFont="1" applyFill="1" applyBorder="1" applyAlignment="1">
      <alignment horizontal="center" vertical="center"/>
    </xf>
    <xf numFmtId="182" fontId="78" fillId="37" borderId="38" xfId="87" applyNumberFormat="1" applyFont="1" applyFill="1" applyBorder="1" applyAlignment="1">
      <alignment horizontal="center" vertical="center"/>
    </xf>
    <xf numFmtId="182" fontId="77" fillId="37" borderId="38" xfId="87" applyNumberFormat="1" applyFont="1" applyFill="1" applyBorder="1" applyAlignment="1">
      <alignment horizontal="center" vertical="center"/>
    </xf>
    <xf numFmtId="4" fontId="131" fillId="37" borderId="0" xfId="98" applyNumberFormat="1" applyFont="1" applyFill="1" applyBorder="1" applyAlignment="1">
      <alignment horizontal="right"/>
    </xf>
    <xf numFmtId="3" fontId="131" fillId="37" borderId="0" xfId="98" applyNumberFormat="1" applyFont="1" applyFill="1" applyBorder="1" applyAlignment="1">
      <alignment horizontal="right"/>
    </xf>
    <xf numFmtId="0" fontId="47" fillId="0" borderId="34" xfId="0" applyNumberFormat="1" applyFont="1" applyFill="1" applyBorder="1" applyAlignment="1"/>
    <xf numFmtId="0" fontId="45" fillId="0" borderId="0" xfId="0" applyFont="1" applyFill="1"/>
    <xf numFmtId="0" fontId="45" fillId="0" borderId="38" xfId="0" applyNumberFormat="1" applyFont="1" applyBorder="1" applyAlignment="1">
      <alignment horizontal="center" vertical="center"/>
    </xf>
    <xf numFmtId="0" fontId="47" fillId="0" borderId="42" xfId="0" applyNumberFormat="1" applyFont="1" applyBorder="1" applyAlignment="1">
      <alignment horizontal="center" vertical="center" wrapText="1"/>
    </xf>
    <xf numFmtId="0" fontId="47" fillId="37" borderId="42" xfId="0" applyNumberFormat="1" applyFont="1" applyFill="1" applyBorder="1" applyAlignment="1">
      <alignment horizontal="center" vertical="center" wrapText="1"/>
    </xf>
    <xf numFmtId="0" fontId="47" fillId="0" borderId="42" xfId="0" applyNumberFormat="1" applyFont="1" applyFill="1" applyBorder="1" applyAlignment="1">
      <alignment horizontal="center" vertical="center" wrapText="1"/>
    </xf>
    <xf numFmtId="0" fontId="45" fillId="0" borderId="0" xfId="0" applyFont="1" applyAlignment="1">
      <alignment horizontal="center" vertical="center"/>
    </xf>
    <xf numFmtId="169" fontId="132" fillId="0" borderId="35" xfId="0" applyNumberFormat="1" applyFont="1" applyFill="1" applyBorder="1" applyAlignment="1"/>
    <xf numFmtId="169" fontId="132" fillId="0" borderId="36" xfId="0" applyNumberFormat="1" applyFont="1" applyFill="1" applyBorder="1" applyAlignment="1"/>
    <xf numFmtId="0" fontId="23" fillId="37" borderId="0" xfId="0" applyFont="1" applyFill="1" applyBorder="1" applyAlignment="1">
      <alignment horizontal="left" indent="1"/>
    </xf>
    <xf numFmtId="0" fontId="23" fillId="37" borderId="0" xfId="0" applyFont="1" applyFill="1" applyAlignment="1">
      <alignment horizontal="left" indent="1"/>
    </xf>
    <xf numFmtId="3" fontId="23" fillId="37" borderId="0" xfId="0" applyNumberFormat="1" applyFont="1" applyFill="1" applyAlignment="1">
      <alignment horizontal="center"/>
    </xf>
    <xf numFmtId="169" fontId="23" fillId="37" borderId="0" xfId="0" applyNumberFormat="1" applyFont="1" applyFill="1" applyAlignment="1">
      <alignment horizontal="center"/>
    </xf>
    <xf numFmtId="169" fontId="23" fillId="37" borderId="0" xfId="0" applyNumberFormat="1" applyFont="1" applyFill="1" applyBorder="1" applyAlignment="1">
      <alignment horizontal="center"/>
    </xf>
    <xf numFmtId="0" fontId="35" fillId="24" borderId="0" xfId="0" applyFont="1" applyFill="1"/>
    <xf numFmtId="3" fontId="0" fillId="0" borderId="35" xfId="0" applyNumberFormat="1" applyBorder="1" applyAlignment="1">
      <alignment horizontal="center"/>
    </xf>
    <xf numFmtId="0" fontId="86" fillId="44" borderId="61" xfId="0" applyFont="1" applyFill="1" applyBorder="1"/>
    <xf numFmtId="0" fontId="134" fillId="0" borderId="38" xfId="0" applyFont="1" applyFill="1" applyBorder="1" applyAlignment="1">
      <alignment horizontal="left" indent="1"/>
    </xf>
    <xf numFmtId="0" fontId="86" fillId="44" borderId="58" xfId="0" applyFont="1" applyFill="1" applyBorder="1"/>
    <xf numFmtId="0" fontId="134" fillId="0" borderId="39" xfId="0" applyFont="1" applyFill="1" applyBorder="1" applyAlignment="1">
      <alignment horizontal="left" indent="1"/>
    </xf>
    <xf numFmtId="0" fontId="86" fillId="44" borderId="58" xfId="0" applyFont="1" applyFill="1" applyBorder="1" applyAlignment="1">
      <alignment horizontal="left"/>
    </xf>
    <xf numFmtId="0" fontId="86" fillId="44" borderId="38" xfId="0" applyFont="1" applyFill="1" applyBorder="1" applyAlignment="1">
      <alignment horizontal="left"/>
    </xf>
    <xf numFmtId="0" fontId="134" fillId="0" borderId="52" xfId="0" applyFont="1" applyFill="1" applyBorder="1" applyAlignment="1">
      <alignment horizontal="left" indent="1"/>
    </xf>
    <xf numFmtId="0" fontId="135" fillId="45" borderId="39" xfId="0" applyFont="1" applyFill="1" applyBorder="1" applyAlignment="1">
      <alignment horizontal="left"/>
    </xf>
    <xf numFmtId="0" fontId="135" fillId="45" borderId="93" xfId="0" applyFont="1" applyFill="1" applyBorder="1" applyAlignment="1">
      <alignment horizontal="center" wrapText="1"/>
    </xf>
    <xf numFmtId="3" fontId="86" fillId="44" borderId="61" xfId="0" applyNumberFormat="1" applyFont="1" applyFill="1" applyBorder="1"/>
    <xf numFmtId="3" fontId="134" fillId="0" borderId="37" xfId="0" applyNumberFormat="1" applyFont="1" applyBorder="1"/>
    <xf numFmtId="3" fontId="86" fillId="44" borderId="55" xfId="0" applyNumberFormat="1" applyFont="1" applyFill="1" applyBorder="1"/>
    <xf numFmtId="3" fontId="134" fillId="0" borderId="41" xfId="0" applyNumberFormat="1" applyFont="1" applyBorder="1"/>
    <xf numFmtId="3" fontId="86" fillId="44" borderId="37" xfId="0" applyNumberFormat="1" applyFont="1" applyFill="1" applyBorder="1"/>
    <xf numFmtId="0" fontId="134" fillId="0" borderId="51" xfId="0" applyFont="1" applyBorder="1"/>
    <xf numFmtId="0" fontId="135" fillId="45" borderId="41" xfId="0" applyFont="1" applyFill="1" applyBorder="1"/>
    <xf numFmtId="0" fontId="135" fillId="45" borderId="95" xfId="0" applyFont="1" applyFill="1" applyBorder="1" applyAlignment="1">
      <alignment horizontal="center" wrapText="1"/>
    </xf>
    <xf numFmtId="10" fontId="86" fillId="44" borderId="61" xfId="0" applyNumberFormat="1" applyFont="1" applyFill="1" applyBorder="1"/>
    <xf numFmtId="181" fontId="86" fillId="44" borderId="61" xfId="0" applyNumberFormat="1" applyFont="1" applyFill="1" applyBorder="1"/>
    <xf numFmtId="10" fontId="134" fillId="0" borderId="0" xfId="0" applyNumberFormat="1" applyFont="1" applyBorder="1"/>
    <xf numFmtId="0" fontId="86" fillId="44" borderId="56" xfId="0" applyFont="1" applyFill="1" applyBorder="1"/>
    <xf numFmtId="181" fontId="0" fillId="0" borderId="0" xfId="102" applyNumberFormat="1" applyFont="1" applyBorder="1"/>
    <xf numFmtId="181" fontId="0" fillId="0" borderId="22" xfId="102" applyNumberFormat="1" applyFont="1" applyBorder="1"/>
    <xf numFmtId="0" fontId="134" fillId="0" borderId="22" xfId="0" applyFont="1" applyBorder="1"/>
    <xf numFmtId="0" fontId="134" fillId="0" borderId="0" xfId="0" applyFont="1" applyBorder="1"/>
    <xf numFmtId="0" fontId="86" fillId="44" borderId="0" xfId="0" applyFont="1" applyFill="1" applyBorder="1"/>
    <xf numFmtId="0" fontId="134" fillId="0" borderId="46" xfId="0" applyFont="1" applyBorder="1"/>
    <xf numFmtId="0" fontId="135" fillId="45" borderId="22" xfId="0" applyFont="1" applyFill="1" applyBorder="1"/>
    <xf numFmtId="0" fontId="135" fillId="45" borderId="97" xfId="0" applyFont="1" applyFill="1" applyBorder="1" applyAlignment="1">
      <alignment horizontal="center" wrapText="1"/>
    </xf>
    <xf numFmtId="3" fontId="134" fillId="0" borderId="54" xfId="0" applyNumberFormat="1" applyFont="1" applyBorder="1"/>
    <xf numFmtId="3" fontId="86" fillId="44" borderId="57" xfId="0" applyNumberFormat="1" applyFont="1" applyFill="1" applyBorder="1"/>
    <xf numFmtId="3" fontId="0" fillId="0" borderId="54" xfId="0" applyNumberFormat="1" applyBorder="1"/>
    <xf numFmtId="3" fontId="0" fillId="0" borderId="40" xfId="0" applyNumberFormat="1" applyBorder="1"/>
    <xf numFmtId="0" fontId="134" fillId="0" borderId="40" xfId="0" applyFont="1" applyBorder="1"/>
    <xf numFmtId="0" fontId="134" fillId="0" borderId="54" xfId="0" applyFont="1" applyBorder="1"/>
    <xf numFmtId="3" fontId="86" fillId="44" borderId="54" xfId="0" applyNumberFormat="1" applyFont="1" applyFill="1" applyBorder="1"/>
    <xf numFmtId="0" fontId="134" fillId="0" borderId="98" xfId="0" applyFont="1" applyBorder="1"/>
    <xf numFmtId="3" fontId="135" fillId="45" borderId="40" xfId="0" applyNumberFormat="1" applyFont="1" applyFill="1" applyBorder="1"/>
    <xf numFmtId="0" fontId="134" fillId="0" borderId="37" xfId="0" applyFont="1" applyBorder="1"/>
    <xf numFmtId="3" fontId="134" fillId="0" borderId="51" xfId="0" applyNumberFormat="1" applyFont="1" applyBorder="1"/>
    <xf numFmtId="3" fontId="134" fillId="0" borderId="0" xfId="0" applyNumberFormat="1" applyFont="1" applyBorder="1"/>
    <xf numFmtId="3" fontId="86" fillId="44" borderId="56" xfId="0" applyNumberFormat="1" applyFont="1" applyFill="1" applyBorder="1"/>
    <xf numFmtId="3" fontId="134" fillId="0" borderId="40" xfId="0" applyNumberFormat="1" applyFont="1" applyBorder="1"/>
    <xf numFmtId="3" fontId="134" fillId="0" borderId="54" xfId="0" applyNumberFormat="1" applyFont="1" applyFill="1" applyBorder="1"/>
    <xf numFmtId="3" fontId="134" fillId="0" borderId="98" xfId="0" applyNumberFormat="1" applyFont="1" applyBorder="1"/>
    <xf numFmtId="0" fontId="23" fillId="0" borderId="33" xfId="0" applyFont="1" applyBorder="1" applyAlignment="1">
      <alignment wrapText="1"/>
    </xf>
    <xf numFmtId="3" fontId="134" fillId="37" borderId="40" xfId="0" applyNumberFormat="1" applyFont="1" applyFill="1" applyBorder="1"/>
    <xf numFmtId="3" fontId="136" fillId="0" borderId="0" xfId="0" applyNumberFormat="1" applyFont="1"/>
    <xf numFmtId="0" fontId="136" fillId="0" borderId="0" xfId="0" applyFont="1"/>
    <xf numFmtId="0" fontId="137" fillId="45" borderId="93" xfId="0" applyFont="1" applyFill="1" applyBorder="1" applyAlignment="1">
      <alignment horizontal="center" wrapText="1"/>
    </xf>
    <xf numFmtId="0" fontId="137" fillId="45" borderId="95" xfId="0" applyFont="1" applyFill="1" applyBorder="1" applyAlignment="1">
      <alignment horizontal="center" wrapText="1"/>
    </xf>
    <xf numFmtId="0" fontId="137" fillId="45" borderId="97" xfId="0" applyFont="1" applyFill="1" applyBorder="1" applyAlignment="1">
      <alignment horizontal="center" wrapText="1"/>
    </xf>
    <xf numFmtId="3" fontId="137" fillId="44" borderId="61" xfId="0" applyNumberFormat="1" applyFont="1" applyFill="1" applyBorder="1"/>
    <xf numFmtId="10" fontId="137" fillId="44" borderId="61" xfId="0" applyNumberFormat="1" applyFont="1" applyFill="1" applyBorder="1"/>
    <xf numFmtId="181" fontId="137" fillId="44" borderId="61" xfId="0" applyNumberFormat="1" applyFont="1" applyFill="1" applyBorder="1"/>
    <xf numFmtId="3" fontId="138" fillId="0" borderId="37" xfId="0" applyNumberFormat="1" applyFont="1" applyBorder="1"/>
    <xf numFmtId="10" fontId="138" fillId="0" borderId="0" xfId="0" applyNumberFormat="1" applyFont="1" applyBorder="1"/>
    <xf numFmtId="3" fontId="138" fillId="0" borderId="54" xfId="0" applyNumberFormat="1" applyFont="1" applyBorder="1"/>
    <xf numFmtId="3" fontId="138" fillId="0" borderId="0" xfId="0" applyNumberFormat="1" applyFont="1" applyBorder="1"/>
    <xf numFmtId="3" fontId="137" fillId="44" borderId="55" xfId="0" applyNumberFormat="1" applyFont="1" applyFill="1" applyBorder="1"/>
    <xf numFmtId="0" fontId="137" fillId="44" borderId="56" xfId="0" applyFont="1" applyFill="1" applyBorder="1"/>
    <xf numFmtId="3" fontId="137" fillId="44" borderId="57" xfId="0" applyNumberFormat="1" applyFont="1" applyFill="1" applyBorder="1"/>
    <xf numFmtId="3" fontId="137" fillId="44" borderId="56" xfId="0" applyNumberFormat="1" applyFont="1" applyFill="1" applyBorder="1"/>
    <xf numFmtId="181" fontId="136" fillId="0" borderId="0" xfId="102" applyNumberFormat="1" applyFont="1" applyBorder="1"/>
    <xf numFmtId="3" fontId="136" fillId="0" borderId="54" xfId="0" applyNumberFormat="1" applyFont="1" applyBorder="1"/>
    <xf numFmtId="3" fontId="138" fillId="0" borderId="41" xfId="0" applyNumberFormat="1" applyFont="1" applyBorder="1"/>
    <xf numFmtId="181" fontId="136" fillId="0" borderId="22" xfId="102" applyNumberFormat="1" applyFont="1" applyBorder="1"/>
    <xf numFmtId="3" fontId="136" fillId="0" borderId="40" xfId="0" applyNumberFormat="1" applyFont="1" applyBorder="1"/>
    <xf numFmtId="0" fontId="138" fillId="0" borderId="22" xfId="0" applyFont="1" applyBorder="1"/>
    <xf numFmtId="3" fontId="138" fillId="0" borderId="40" xfId="0" applyNumberFormat="1" applyFont="1" applyBorder="1"/>
    <xf numFmtId="0" fontId="138" fillId="0" borderId="0" xfId="0" applyFont="1" applyBorder="1"/>
    <xf numFmtId="0" fontId="138" fillId="0" borderId="40" xfId="0" applyFont="1" applyBorder="1"/>
    <xf numFmtId="0" fontId="138" fillId="0" borderId="54" xfId="0" applyFont="1" applyBorder="1"/>
    <xf numFmtId="3" fontId="138" fillId="0" borderId="54" xfId="0" applyNumberFormat="1" applyFont="1" applyFill="1" applyBorder="1"/>
    <xf numFmtId="3" fontId="138" fillId="37" borderId="40" xfId="0" applyNumberFormat="1" applyFont="1" applyFill="1" applyBorder="1"/>
    <xf numFmtId="3" fontId="137" fillId="44" borderId="37" xfId="0" applyNumberFormat="1" applyFont="1" applyFill="1" applyBorder="1"/>
    <xf numFmtId="0" fontId="137" fillId="44" borderId="0" xfId="0" applyFont="1" applyFill="1" applyBorder="1"/>
    <xf numFmtId="3" fontId="137" fillId="44" borderId="54" xfId="0" applyNumberFormat="1" applyFont="1" applyFill="1" applyBorder="1"/>
    <xf numFmtId="0" fontId="138" fillId="0" borderId="37" xfId="0" applyFont="1" applyBorder="1"/>
    <xf numFmtId="0" fontId="138" fillId="0" borderId="51" xfId="0" applyFont="1" applyBorder="1"/>
    <xf numFmtId="0" fontId="138" fillId="0" borderId="46" xfId="0" applyFont="1" applyBorder="1"/>
    <xf numFmtId="0" fontId="138" fillId="0" borderId="98" xfId="0" applyFont="1" applyBorder="1"/>
    <xf numFmtId="3" fontId="138" fillId="0" borderId="51" xfId="0" applyNumberFormat="1" applyFont="1" applyBorder="1"/>
    <xf numFmtId="3" fontId="138" fillId="0" borderId="98" xfId="0" applyNumberFormat="1" applyFont="1" applyBorder="1"/>
    <xf numFmtId="0" fontId="137" fillId="45" borderId="41" xfId="0" applyFont="1" applyFill="1" applyBorder="1"/>
    <xf numFmtId="0" fontId="137" fillId="45" borderId="22" xfId="0" applyFont="1" applyFill="1" applyBorder="1"/>
    <xf numFmtId="3" fontId="137" fillId="45" borderId="40" xfId="0" applyNumberFormat="1" applyFont="1" applyFill="1" applyBorder="1"/>
    <xf numFmtId="0" fontId="23" fillId="0" borderId="59" xfId="0" applyFont="1" applyBorder="1" applyAlignment="1">
      <alignment horizontal="center" wrapText="1"/>
    </xf>
    <xf numFmtId="3" fontId="0" fillId="0" borderId="54" xfId="0" applyNumberFormat="1" applyBorder="1" applyAlignment="1">
      <alignment horizontal="center"/>
    </xf>
    <xf numFmtId="0" fontId="47" fillId="46" borderId="42" xfId="0" applyNumberFormat="1" applyFont="1" applyFill="1" applyBorder="1" applyAlignment="1">
      <alignment horizontal="center" vertical="center" wrapText="1"/>
    </xf>
    <xf numFmtId="0" fontId="122" fillId="37" borderId="0" xfId="98" applyFont="1" applyFill="1" applyAlignment="1"/>
    <xf numFmtId="0" fontId="78" fillId="37" borderId="0" xfId="98" applyFont="1" applyFill="1" applyAlignment="1"/>
    <xf numFmtId="2" fontId="81" fillId="37" borderId="79" xfId="98" applyNumberFormat="1" applyFont="1" applyFill="1" applyBorder="1"/>
    <xf numFmtId="2" fontId="81" fillId="37" borderId="84" xfId="98" applyNumberFormat="1" applyFont="1" applyFill="1" applyBorder="1"/>
    <xf numFmtId="2" fontId="81" fillId="37" borderId="82" xfId="98" applyNumberFormat="1" applyFont="1" applyFill="1" applyBorder="1"/>
    <xf numFmtId="2" fontId="81" fillId="37" borderId="81" xfId="98" applyNumberFormat="1" applyFont="1" applyFill="1" applyBorder="1"/>
    <xf numFmtId="0" fontId="77" fillId="37" borderId="89" xfId="98" applyFont="1" applyFill="1" applyBorder="1" applyAlignment="1">
      <alignment horizontal="center" wrapText="1"/>
    </xf>
    <xf numFmtId="0" fontId="77" fillId="37" borderId="90" xfId="98" applyFont="1" applyFill="1" applyBorder="1" applyAlignment="1">
      <alignment horizontal="center" wrapText="1"/>
    </xf>
    <xf numFmtId="0" fontId="77" fillId="37" borderId="91" xfId="98" applyFont="1" applyFill="1" applyBorder="1" applyAlignment="1">
      <alignment horizontal="center" wrapText="1"/>
    </xf>
    <xf numFmtId="0" fontId="96" fillId="37" borderId="61" xfId="98" applyFont="1" applyFill="1" applyBorder="1"/>
    <xf numFmtId="0" fontId="96" fillId="37" borderId="79" xfId="98" applyFont="1" applyFill="1" applyBorder="1"/>
    <xf numFmtId="9" fontId="68" fillId="37" borderId="33" xfId="102" applyFont="1" applyFill="1" applyBorder="1"/>
    <xf numFmtId="0" fontId="134" fillId="37" borderId="38" xfId="0" applyFont="1" applyFill="1" applyBorder="1" applyAlignment="1">
      <alignment horizontal="left" indent="1"/>
    </xf>
    <xf numFmtId="3" fontId="111" fillId="0" borderId="0" xfId="96" applyNumberFormat="1" applyFont="1" applyFill="1" applyBorder="1" applyAlignment="1">
      <alignment horizontal="right" vertical="center"/>
    </xf>
    <xf numFmtId="3" fontId="111" fillId="0" borderId="0" xfId="96" applyNumberFormat="1" applyFont="1" applyFill="1" applyBorder="1" applyAlignment="1">
      <alignment horizontal="right" vertical="center" shrinkToFit="1"/>
    </xf>
    <xf numFmtId="3" fontId="114" fillId="0" borderId="33" xfId="96" applyNumberFormat="1" applyFont="1" applyFill="1" applyBorder="1" applyAlignment="1">
      <alignment horizontal="right" vertical="center"/>
    </xf>
    <xf numFmtId="0" fontId="23" fillId="0" borderId="44" xfId="0" applyFont="1" applyBorder="1"/>
    <xf numFmtId="0" fontId="23" fillId="0" borderId="0" xfId="0" applyFont="1" applyBorder="1" applyAlignment="1">
      <alignment horizontal="center"/>
    </xf>
    <xf numFmtId="0" fontId="0" fillId="0" borderId="0" xfId="0" applyBorder="1" applyAlignment="1"/>
    <xf numFmtId="0" fontId="23" fillId="37" borderId="35" xfId="0" applyFont="1" applyFill="1" applyBorder="1" applyAlignment="1">
      <alignment horizontal="left"/>
    </xf>
    <xf numFmtId="3" fontId="23" fillId="37" borderId="35" xfId="0" applyNumberFormat="1" applyFont="1" applyFill="1" applyBorder="1" applyAlignment="1">
      <alignment horizontal="left" vertical="top"/>
    </xf>
    <xf numFmtId="0" fontId="36" fillId="0" borderId="0" xfId="96" applyFont="1" applyFill="1" applyBorder="1" applyAlignment="1">
      <alignment horizontal="left" vertical="center"/>
    </xf>
    <xf numFmtId="173" fontId="37" fillId="0" borderId="0" xfId="96" applyNumberFormat="1" applyFont="1" applyFill="1" applyBorder="1" applyAlignment="1">
      <alignment horizontal="left" vertical="center"/>
    </xf>
    <xf numFmtId="1" fontId="69" fillId="0" borderId="0" xfId="96" applyNumberFormat="1" applyFont="1" applyFill="1" applyBorder="1" applyAlignment="1">
      <alignment horizontal="center" vertical="center"/>
    </xf>
    <xf numFmtId="9" fontId="69" fillId="0" borderId="0" xfId="96" applyNumberFormat="1" applyFont="1" applyFill="1" applyBorder="1" applyAlignment="1">
      <alignment horizontal="center" vertical="center"/>
    </xf>
    <xf numFmtId="166" fontId="69" fillId="0" borderId="0" xfId="96" applyNumberFormat="1" applyFont="1" applyFill="1" applyBorder="1" applyAlignment="1">
      <alignment horizontal="right" vertical="center"/>
    </xf>
    <xf numFmtId="170" fontId="69" fillId="0" borderId="0" xfId="96" applyNumberFormat="1" applyFont="1" applyFill="1" applyBorder="1" applyAlignment="1">
      <alignment horizontal="right" vertical="center"/>
    </xf>
    <xf numFmtId="3" fontId="69" fillId="0" borderId="0" xfId="96" applyNumberFormat="1" applyFont="1" applyFill="1" applyBorder="1" applyAlignment="1">
      <alignment horizontal="right" vertical="center"/>
    </xf>
    <xf numFmtId="3" fontId="37" fillId="0" borderId="0" xfId="96" applyNumberFormat="1" applyFont="1" applyFill="1" applyBorder="1" applyAlignment="1">
      <alignment horizontal="right" vertical="center"/>
    </xf>
    <xf numFmtId="169" fontId="109" fillId="0" borderId="0" xfId="96" applyNumberFormat="1" applyFont="1" applyFill="1" applyBorder="1" applyAlignment="1">
      <alignment horizontal="right" vertical="center"/>
    </xf>
    <xf numFmtId="173" fontId="109" fillId="0" borderId="0" xfId="96" applyNumberFormat="1" applyFont="1" applyFill="1" applyBorder="1" applyAlignment="1">
      <alignment horizontal="right" vertical="center"/>
    </xf>
    <xf numFmtId="3" fontId="109" fillId="0" borderId="0" xfId="96" applyNumberFormat="1" applyFont="1" applyFill="1" applyBorder="1" applyAlignment="1">
      <alignment vertical="center"/>
    </xf>
    <xf numFmtId="178" fontId="109" fillId="0" borderId="0" xfId="96" applyNumberFormat="1" applyFont="1" applyFill="1" applyBorder="1" applyAlignment="1">
      <alignment horizontal="right" vertical="center"/>
    </xf>
    <xf numFmtId="179" fontId="109" fillId="0" borderId="0" xfId="96" applyNumberFormat="1" applyFont="1" applyFill="1" applyBorder="1" applyAlignment="1">
      <alignment horizontal="right" vertical="center"/>
    </xf>
    <xf numFmtId="169" fontId="109" fillId="0" borderId="0" xfId="96" applyNumberFormat="1" applyFont="1" applyFill="1" applyBorder="1" applyAlignment="1">
      <alignment horizontal="right" vertical="center" shrinkToFit="1"/>
    </xf>
    <xf numFmtId="166" fontId="117" fillId="0" borderId="0" xfId="96" applyNumberFormat="1" applyFont="1" applyFill="1" applyBorder="1" applyAlignment="1">
      <alignment horizontal="right" vertical="center"/>
    </xf>
    <xf numFmtId="3" fontId="37" fillId="37" borderId="0" xfId="96" applyNumberFormat="1" applyFont="1" applyFill="1" applyBorder="1" applyAlignment="1">
      <alignment horizontal="right" vertical="center"/>
    </xf>
    <xf numFmtId="170" fontId="37" fillId="0" borderId="0" xfId="96" applyNumberFormat="1" applyFont="1" applyFill="1" applyBorder="1" applyAlignment="1">
      <alignment horizontal="right" vertical="center"/>
    </xf>
    <xf numFmtId="169" fontId="69" fillId="0" borderId="0" xfId="96" applyNumberFormat="1" applyFont="1" applyFill="1" applyBorder="1" applyAlignment="1">
      <alignment horizontal="right" vertical="center"/>
    </xf>
    <xf numFmtId="173" fontId="37" fillId="0" borderId="0" xfId="96" applyNumberFormat="1" applyFont="1" applyFill="1" applyBorder="1" applyAlignment="1">
      <alignment horizontal="right" vertical="center"/>
    </xf>
    <xf numFmtId="2" fontId="69" fillId="0" borderId="0" xfId="96" applyNumberFormat="1" applyFont="1" applyFill="1" applyBorder="1" applyAlignment="1">
      <alignment horizontal="right" vertical="center"/>
    </xf>
    <xf numFmtId="3" fontId="109" fillId="0" borderId="0" xfId="96" applyNumberFormat="1" applyFont="1" applyFill="1" applyBorder="1" applyAlignment="1">
      <alignment horizontal="right" vertical="center" shrinkToFit="1"/>
    </xf>
    <xf numFmtId="0" fontId="37" fillId="0" borderId="33" xfId="96" applyFont="1" applyFill="1" applyBorder="1" applyAlignment="1">
      <alignment horizontal="left" vertical="center"/>
    </xf>
    <xf numFmtId="0" fontId="37" fillId="0" borderId="33" xfId="96" applyFont="1" applyFill="1" applyBorder="1" applyAlignment="1">
      <alignment horizontal="center" vertical="center"/>
    </xf>
    <xf numFmtId="0" fontId="109" fillId="0" borderId="33" xfId="96" applyFont="1" applyFill="1" applyBorder="1" applyAlignment="1">
      <alignment horizontal="center" vertical="center" wrapText="1"/>
    </xf>
    <xf numFmtId="0" fontId="37" fillId="0" borderId="33" xfId="96" applyFont="1" applyFill="1" applyBorder="1" applyAlignment="1">
      <alignment horizontal="center" vertical="center" wrapText="1"/>
    </xf>
    <xf numFmtId="3" fontId="37" fillId="0" borderId="33" xfId="96" applyNumberFormat="1" applyFont="1" applyFill="1" applyBorder="1" applyAlignment="1">
      <alignment horizontal="center" vertical="center" wrapText="1"/>
    </xf>
    <xf numFmtId="173" fontId="109" fillId="0" borderId="33" xfId="96" applyNumberFormat="1" applyFont="1" applyFill="1" applyBorder="1" applyAlignment="1">
      <alignment horizontal="center" vertical="center" wrapText="1"/>
    </xf>
    <xf numFmtId="3" fontId="109" fillId="0" borderId="33" xfId="96" applyNumberFormat="1" applyFont="1" applyFill="1" applyBorder="1" applyAlignment="1">
      <alignment horizontal="center" vertical="center" wrapText="1"/>
    </xf>
    <xf numFmtId="0" fontId="37" fillId="0" borderId="22" xfId="96" applyFont="1" applyFill="1" applyBorder="1" applyAlignment="1">
      <alignment horizontal="left" vertical="center"/>
    </xf>
    <xf numFmtId="3" fontId="109" fillId="0" borderId="22" xfId="96" applyNumberFormat="1" applyFont="1" applyFill="1" applyBorder="1" applyAlignment="1">
      <alignment horizontal="right" vertical="center"/>
    </xf>
    <xf numFmtId="173" fontId="109" fillId="0" borderId="22" xfId="96" applyNumberFormat="1" applyFont="1" applyFill="1" applyBorder="1" applyAlignment="1">
      <alignment horizontal="right" vertical="center"/>
    </xf>
    <xf numFmtId="0" fontId="109" fillId="0" borderId="35" xfId="96" applyFont="1" applyFill="1" applyBorder="1" applyAlignment="1">
      <alignment horizontal="left" vertical="center"/>
    </xf>
    <xf numFmtId="3" fontId="109" fillId="0" borderId="35" xfId="96" applyNumberFormat="1" applyFont="1" applyFill="1" applyBorder="1" applyAlignment="1">
      <alignment horizontal="left" vertical="center"/>
    </xf>
    <xf numFmtId="0" fontId="37" fillId="0" borderId="35" xfId="96" applyFont="1" applyFill="1" applyBorder="1" applyAlignment="1">
      <alignment horizontal="left" vertical="center"/>
    </xf>
    <xf numFmtId="3" fontId="37" fillId="0" borderId="35" xfId="96" applyNumberFormat="1" applyFont="1" applyFill="1" applyBorder="1" applyAlignment="1">
      <alignment horizontal="left" vertical="center"/>
    </xf>
    <xf numFmtId="3" fontId="109" fillId="0" borderId="35" xfId="96" applyNumberFormat="1" applyFont="1" applyFill="1" applyBorder="1" applyAlignment="1">
      <alignment horizontal="right" vertical="center"/>
    </xf>
    <xf numFmtId="173" fontId="109" fillId="0" borderId="35" xfId="96" applyNumberFormat="1" applyFont="1" applyFill="1" applyBorder="1" applyAlignment="1">
      <alignment horizontal="right" vertical="center"/>
    </xf>
    <xf numFmtId="173" fontId="109" fillId="0" borderId="35" xfId="96" applyNumberFormat="1" applyFont="1" applyFill="1" applyBorder="1" applyAlignment="1">
      <alignment vertical="center"/>
    </xf>
    <xf numFmtId="1" fontId="109" fillId="0" borderId="35" xfId="96" applyNumberFormat="1" applyFont="1" applyFill="1" applyBorder="1" applyAlignment="1">
      <alignment vertical="center"/>
    </xf>
    <xf numFmtId="3" fontId="109" fillId="0" borderId="35" xfId="96" applyNumberFormat="1" applyFont="1" applyFill="1" applyBorder="1" applyAlignment="1">
      <alignment horizontal="right" vertical="center" shrinkToFit="1"/>
    </xf>
    <xf numFmtId="0" fontId="144" fillId="0" borderId="0" xfId="96" applyFont="1" applyFill="1" applyBorder="1" applyAlignment="1">
      <alignment horizontal="left" vertical="center"/>
    </xf>
    <xf numFmtId="2" fontId="106" fillId="0" borderId="0" xfId="96" applyNumberFormat="1" applyFont="1" applyFill="1" applyBorder="1" applyAlignment="1">
      <alignment horizontal="left" vertical="center"/>
    </xf>
    <xf numFmtId="2" fontId="109" fillId="0" borderId="0" xfId="96" applyNumberFormat="1" applyFont="1" applyFill="1" applyBorder="1" applyAlignment="1">
      <alignment horizontal="left" vertical="center"/>
    </xf>
    <xf numFmtId="2" fontId="37" fillId="0" borderId="33" xfId="96" applyNumberFormat="1" applyFont="1" applyFill="1" applyBorder="1" applyAlignment="1">
      <alignment horizontal="center" vertical="center" wrapText="1"/>
    </xf>
    <xf numFmtId="2" fontId="37" fillId="0" borderId="0" xfId="96" applyNumberFormat="1" applyFont="1" applyFill="1" applyBorder="1" applyAlignment="1">
      <alignment horizontal="left" vertical="center"/>
    </xf>
    <xf numFmtId="2" fontId="69" fillId="37" borderId="0" xfId="96" applyNumberFormat="1" applyFont="1" applyFill="1" applyBorder="1" applyAlignment="1">
      <alignment horizontal="right" vertical="center"/>
    </xf>
    <xf numFmtId="2" fontId="109" fillId="0" borderId="35" xfId="96" applyNumberFormat="1" applyFont="1" applyFill="1" applyBorder="1" applyAlignment="1">
      <alignment horizontal="left" vertical="center"/>
    </xf>
    <xf numFmtId="2" fontId="109" fillId="0" borderId="0" xfId="96" applyNumberFormat="1" applyFont="1" applyFill="1" applyBorder="1" applyAlignment="1">
      <alignment horizontal="right" vertical="center"/>
    </xf>
    <xf numFmtId="2" fontId="106" fillId="0" borderId="0" xfId="97" applyNumberFormat="1" applyFont="1" applyFill="1" applyBorder="1" applyAlignment="1">
      <alignment horizontal="left" vertical="center" wrapText="1"/>
    </xf>
    <xf numFmtId="2" fontId="11" fillId="0" borderId="35" xfId="97" applyNumberFormat="1" applyFont="1" applyFill="1" applyBorder="1" applyAlignment="1">
      <alignment horizontal="left" vertical="center" wrapText="1"/>
    </xf>
    <xf numFmtId="2" fontId="11" fillId="0" borderId="67" xfId="97" applyNumberFormat="1" applyFont="1" applyFill="1" applyBorder="1" applyAlignment="1">
      <alignment horizontal="center" vertical="center" wrapText="1"/>
    </xf>
    <xf numFmtId="2" fontId="115" fillId="0" borderId="67" xfId="97" applyNumberFormat="1" applyFont="1" applyFill="1" applyBorder="1" applyAlignment="1">
      <alignment horizontal="right" vertical="center" wrapText="1" shrinkToFit="1"/>
    </xf>
    <xf numFmtId="2" fontId="106" fillId="0" borderId="71" xfId="97" applyNumberFormat="1" applyFont="1" applyFill="1" applyBorder="1" applyAlignment="1">
      <alignment horizontal="center" vertical="center" wrapText="1"/>
    </xf>
    <xf numFmtId="2" fontId="106" fillId="0" borderId="69" xfId="97" applyNumberFormat="1" applyFont="1" applyFill="1" applyBorder="1" applyAlignment="1">
      <alignment horizontal="center" vertical="center" wrapText="1"/>
    </xf>
    <xf numFmtId="2" fontId="11" fillId="0" borderId="75" xfId="97" applyNumberFormat="1" applyFont="1" applyFill="1" applyBorder="1" applyAlignment="1">
      <alignment horizontal="center" vertical="center" wrapText="1"/>
    </xf>
    <xf numFmtId="2" fontId="106" fillId="0" borderId="71" xfId="97" applyNumberFormat="1" applyFont="1" applyFill="1" applyBorder="1" applyAlignment="1">
      <alignment horizontal="left" vertical="center" wrapText="1"/>
    </xf>
    <xf numFmtId="2" fontId="106" fillId="0" borderId="69" xfId="97" applyNumberFormat="1" applyFont="1" applyFill="1" applyBorder="1" applyAlignment="1">
      <alignment horizontal="left" vertical="center" wrapText="1"/>
    </xf>
    <xf numFmtId="2" fontId="11" fillId="0" borderId="33" xfId="97" applyNumberFormat="1" applyFont="1" applyFill="1" applyBorder="1" applyAlignment="1">
      <alignment horizontal="center" vertical="center" wrapText="1"/>
    </xf>
    <xf numFmtId="2" fontId="115" fillId="0" borderId="47" xfId="97" applyNumberFormat="1" applyFont="1" applyFill="1" applyBorder="1" applyAlignment="1">
      <alignment horizontal="right" vertical="center"/>
    </xf>
    <xf numFmtId="2" fontId="115" fillId="0" borderId="0" xfId="97" applyNumberFormat="1" applyFont="1" applyFill="1" applyBorder="1" applyAlignment="1">
      <alignment horizontal="right" vertical="center"/>
    </xf>
    <xf numFmtId="2" fontId="115" fillId="0" borderId="22" xfId="97" applyNumberFormat="1" applyFont="1" applyFill="1" applyBorder="1" applyAlignment="1">
      <alignment horizontal="right" vertical="center"/>
    </xf>
    <xf numFmtId="2" fontId="115" fillId="0" borderId="56" xfId="97" applyNumberFormat="1" applyFont="1" applyFill="1" applyBorder="1" applyAlignment="1">
      <alignment horizontal="right" vertical="center"/>
    </xf>
    <xf numFmtId="2" fontId="106" fillId="0" borderId="0" xfId="97" applyNumberFormat="1" applyFont="1" applyFill="1" applyBorder="1" applyAlignment="1">
      <alignment horizontal="left" vertical="center"/>
    </xf>
    <xf numFmtId="0" fontId="106" fillId="0" borderId="58" xfId="96" applyFont="1" applyFill="1" applyBorder="1" applyAlignment="1">
      <alignment horizontal="left" vertical="center"/>
    </xf>
    <xf numFmtId="166" fontId="37" fillId="0" borderId="0" xfId="96" applyNumberFormat="1" applyFont="1" applyFill="1" applyBorder="1" applyAlignment="1">
      <alignment horizontal="right" vertical="center"/>
    </xf>
    <xf numFmtId="2" fontId="117" fillId="0" borderId="0" xfId="96" applyNumberFormat="1" applyFont="1" applyFill="1" applyBorder="1" applyAlignment="1">
      <alignment horizontal="center" vertical="center"/>
    </xf>
    <xf numFmtId="1" fontId="69" fillId="0" borderId="22" xfId="96" applyNumberFormat="1" applyFont="1" applyFill="1" applyBorder="1" applyAlignment="1">
      <alignment horizontal="center" vertical="center"/>
    </xf>
    <xf numFmtId="2" fontId="117" fillId="0" borderId="22" xfId="96" applyNumberFormat="1" applyFont="1" applyFill="1" applyBorder="1" applyAlignment="1">
      <alignment horizontal="center" vertical="center"/>
    </xf>
    <xf numFmtId="9" fontId="69" fillId="0" borderId="22" xfId="96" applyNumberFormat="1" applyFont="1" applyFill="1" applyBorder="1" applyAlignment="1">
      <alignment horizontal="center" vertical="center"/>
    </xf>
    <xf numFmtId="2" fontId="69" fillId="37" borderId="22" xfId="96" applyNumberFormat="1" applyFont="1" applyFill="1" applyBorder="1" applyAlignment="1">
      <alignment horizontal="right" vertical="center"/>
    </xf>
    <xf numFmtId="166" fontId="117" fillId="0" borderId="22" xfId="96" applyNumberFormat="1" applyFont="1" applyFill="1" applyBorder="1" applyAlignment="1">
      <alignment horizontal="right" vertical="center"/>
    </xf>
    <xf numFmtId="3" fontId="37" fillId="37" borderId="22" xfId="96" applyNumberFormat="1" applyFont="1" applyFill="1" applyBorder="1" applyAlignment="1">
      <alignment horizontal="right" vertical="center"/>
    </xf>
    <xf numFmtId="3" fontId="37" fillId="0" borderId="22" xfId="96" applyNumberFormat="1" applyFont="1" applyFill="1" applyBorder="1" applyAlignment="1">
      <alignment horizontal="right" vertical="center"/>
    </xf>
    <xf numFmtId="166" fontId="69" fillId="0" borderId="22" xfId="96" applyNumberFormat="1" applyFont="1" applyFill="1" applyBorder="1" applyAlignment="1">
      <alignment horizontal="right" vertical="center"/>
    </xf>
    <xf numFmtId="167" fontId="109" fillId="0" borderId="22" xfId="96" applyNumberFormat="1" applyFont="1" applyFill="1" applyBorder="1" applyAlignment="1">
      <alignment horizontal="right" vertical="center"/>
    </xf>
    <xf numFmtId="3" fontId="109" fillId="0" borderId="22" xfId="96" applyNumberFormat="1" applyFont="1" applyFill="1" applyBorder="1" applyAlignment="1">
      <alignment vertical="center"/>
    </xf>
    <xf numFmtId="178" fontId="109" fillId="0" borderId="22" xfId="96" applyNumberFormat="1" applyFont="1" applyFill="1" applyBorder="1" applyAlignment="1">
      <alignment horizontal="right" vertical="center"/>
    </xf>
    <xf numFmtId="179" fontId="109" fillId="0" borderId="22" xfId="96" applyNumberFormat="1" applyFont="1" applyFill="1" applyBorder="1" applyAlignment="1">
      <alignment horizontal="right" vertical="center"/>
    </xf>
    <xf numFmtId="169" fontId="109" fillId="0" borderId="22" xfId="96" applyNumberFormat="1" applyFont="1" applyFill="1" applyBorder="1" applyAlignment="1">
      <alignment horizontal="right" vertical="center" shrinkToFit="1"/>
    </xf>
    <xf numFmtId="2" fontId="109" fillId="0" borderId="35" xfId="96" applyNumberFormat="1" applyFont="1" applyFill="1" applyBorder="1" applyAlignment="1">
      <alignment horizontal="right" vertical="center"/>
    </xf>
    <xf numFmtId="0" fontId="106" fillId="0" borderId="35" xfId="96" applyFont="1" applyFill="1" applyBorder="1" applyAlignment="1">
      <alignment horizontal="left" vertical="center"/>
    </xf>
    <xf numFmtId="0" fontId="11" fillId="0" borderId="35" xfId="96" applyFont="1" applyFill="1" applyBorder="1" applyAlignment="1">
      <alignment horizontal="left" vertical="center"/>
    </xf>
    <xf numFmtId="3" fontId="37" fillId="0" borderId="35" xfId="96" applyNumberFormat="1" applyFont="1" applyFill="1" applyBorder="1" applyAlignment="1">
      <alignment horizontal="right" vertical="center"/>
    </xf>
    <xf numFmtId="166" fontId="69" fillId="0" borderId="35" xfId="96" applyNumberFormat="1" applyFont="1" applyFill="1" applyBorder="1" applyAlignment="1">
      <alignment horizontal="right" vertical="center"/>
    </xf>
    <xf numFmtId="167" fontId="109" fillId="0" borderId="35" xfId="96" applyNumberFormat="1" applyFont="1" applyFill="1" applyBorder="1" applyAlignment="1">
      <alignment horizontal="right" vertical="center"/>
    </xf>
    <xf numFmtId="1" fontId="109" fillId="0" borderId="35" xfId="96" applyNumberFormat="1" applyFont="1" applyFill="1" applyBorder="1" applyAlignment="1">
      <alignment horizontal="right" vertical="center"/>
    </xf>
    <xf numFmtId="169" fontId="109" fillId="0" borderId="35" xfId="96" applyNumberFormat="1" applyFont="1" applyFill="1" applyBorder="1" applyAlignment="1">
      <alignment horizontal="right" vertical="center" shrinkToFit="1"/>
    </xf>
    <xf numFmtId="1" fontId="69" fillId="0" borderId="0" xfId="96" applyNumberFormat="1" applyFont="1" applyFill="1" applyBorder="1" applyAlignment="1">
      <alignment horizontal="left" vertical="center"/>
    </xf>
    <xf numFmtId="9" fontId="69" fillId="0" borderId="0" xfId="96" applyNumberFormat="1" applyFont="1" applyFill="1" applyBorder="1" applyAlignment="1">
      <alignment horizontal="right" vertical="center"/>
    </xf>
    <xf numFmtId="2" fontId="69" fillId="0" borderId="22" xfId="96" applyNumberFormat="1" applyFont="1" applyFill="1" applyBorder="1" applyAlignment="1">
      <alignment horizontal="right" vertical="center"/>
    </xf>
    <xf numFmtId="3" fontId="69" fillId="0" borderId="22" xfId="96" applyNumberFormat="1" applyFont="1" applyFill="1" applyBorder="1" applyAlignment="1">
      <alignment horizontal="right" vertical="center"/>
    </xf>
    <xf numFmtId="166" fontId="109" fillId="0" borderId="35" xfId="96" applyNumberFormat="1" applyFont="1" applyFill="1" applyBorder="1" applyAlignment="1">
      <alignment horizontal="right" vertical="center"/>
    </xf>
    <xf numFmtId="178" fontId="109" fillId="0" borderId="35" xfId="96" applyNumberFormat="1" applyFont="1" applyFill="1" applyBorder="1" applyAlignment="1">
      <alignment horizontal="right" vertical="center"/>
    </xf>
    <xf numFmtId="1" fontId="69" fillId="0" borderId="22" xfId="96" applyNumberFormat="1" applyFont="1" applyFill="1" applyBorder="1" applyAlignment="1">
      <alignment horizontal="left" vertical="center"/>
    </xf>
    <xf numFmtId="9" fontId="69" fillId="0" borderId="22" xfId="96" applyNumberFormat="1" applyFont="1" applyFill="1" applyBorder="1" applyAlignment="1">
      <alignment horizontal="right" vertical="center"/>
    </xf>
    <xf numFmtId="49" fontId="106" fillId="0" borderId="56" xfId="97" applyNumberFormat="1" applyFont="1" applyFill="1" applyBorder="1" applyAlignment="1">
      <alignment horizontal="center" vertical="center" wrapText="1"/>
    </xf>
    <xf numFmtId="0" fontId="116" fillId="0" borderId="56" xfId="97" applyFont="1" applyFill="1" applyBorder="1" applyAlignment="1">
      <alignment horizontal="center" vertical="center" wrapText="1"/>
    </xf>
    <xf numFmtId="0" fontId="106" fillId="0" borderId="56" xfId="96" applyFont="1" applyFill="1" applyBorder="1" applyAlignment="1">
      <alignment horizontal="center" vertical="center"/>
    </xf>
    <xf numFmtId="49" fontId="106" fillId="0" borderId="22" xfId="97" applyNumberFormat="1" applyFont="1" applyFill="1" applyBorder="1" applyAlignment="1">
      <alignment horizontal="center" vertical="center" wrapText="1"/>
    </xf>
    <xf numFmtId="0" fontId="116" fillId="0" borderId="22" xfId="97" applyFont="1" applyFill="1" applyBorder="1" applyAlignment="1">
      <alignment horizontal="center" vertical="center" wrapText="1"/>
    </xf>
    <xf numFmtId="0" fontId="106" fillId="0" borderId="22" xfId="96" applyFont="1" applyFill="1" applyBorder="1" applyAlignment="1">
      <alignment horizontal="center" vertical="center"/>
    </xf>
    <xf numFmtId="0" fontId="108" fillId="0" borderId="35" xfId="96" applyFont="1" applyFill="1" applyBorder="1" applyAlignment="1">
      <alignment vertical="center"/>
    </xf>
    <xf numFmtId="3" fontId="106" fillId="0" borderId="0" xfId="97" applyNumberFormat="1" applyFont="1" applyFill="1" applyBorder="1" applyAlignment="1">
      <alignment horizontal="right" vertical="center"/>
    </xf>
    <xf numFmtId="2" fontId="106" fillId="0" borderId="0" xfId="97" applyNumberFormat="1" applyFont="1" applyFill="1" applyBorder="1" applyAlignment="1">
      <alignment horizontal="right" vertical="center"/>
    </xf>
    <xf numFmtId="3" fontId="106" fillId="0" borderId="0" xfId="97" applyNumberFormat="1" applyFont="1" applyFill="1" applyBorder="1" applyAlignment="1">
      <alignment horizontal="right" vertical="center" wrapText="1"/>
    </xf>
    <xf numFmtId="2" fontId="106" fillId="0" borderId="0" xfId="97" applyNumberFormat="1" applyFont="1" applyFill="1" applyBorder="1" applyAlignment="1">
      <alignment horizontal="right" vertical="center" wrapText="1"/>
    </xf>
    <xf numFmtId="3" fontId="106" fillId="0" borderId="0" xfId="96" applyNumberFormat="1" applyFont="1" applyFill="1" applyBorder="1" applyAlignment="1">
      <alignment horizontal="right" vertical="center"/>
    </xf>
    <xf numFmtId="2" fontId="106" fillId="0" borderId="0" xfId="96" applyNumberFormat="1" applyFont="1" applyFill="1" applyBorder="1" applyAlignment="1">
      <alignment horizontal="right" vertical="center"/>
    </xf>
    <xf numFmtId="3" fontId="108" fillId="0" borderId="35" xfId="96" applyNumberFormat="1" applyFont="1" applyFill="1" applyBorder="1" applyAlignment="1">
      <alignment horizontal="right" vertical="center"/>
    </xf>
    <xf numFmtId="2" fontId="108" fillId="0" borderId="35" xfId="96" applyNumberFormat="1" applyFont="1" applyFill="1" applyBorder="1" applyAlignment="1">
      <alignment horizontal="right" vertical="center"/>
    </xf>
    <xf numFmtId="0" fontId="132" fillId="0" borderId="33" xfId="0" applyFont="1" applyBorder="1" applyAlignment="1">
      <alignment vertical="center" wrapText="1"/>
    </xf>
    <xf numFmtId="4" fontId="106" fillId="0" borderId="0" xfId="96" applyNumberFormat="1" applyFont="1" applyFill="1" applyBorder="1" applyAlignment="1">
      <alignment vertical="center" shrinkToFit="1"/>
    </xf>
    <xf numFmtId="4" fontId="108" fillId="0" borderId="33" xfId="96" applyNumberFormat="1" applyFont="1" applyFill="1" applyBorder="1" applyAlignment="1">
      <alignment vertical="center" shrinkToFit="1"/>
    </xf>
    <xf numFmtId="4" fontId="108" fillId="0" borderId="0" xfId="96" applyNumberFormat="1" applyFont="1" applyFill="1" applyBorder="1" applyAlignment="1">
      <alignment vertical="center" shrinkToFit="1"/>
    </xf>
    <xf numFmtId="0" fontId="52" fillId="37" borderId="35" xfId="0" applyFont="1" applyFill="1" applyBorder="1" applyAlignment="1">
      <alignment horizontal="left" vertical="center" indent="1"/>
    </xf>
    <xf numFmtId="0" fontId="45" fillId="37" borderId="0" xfId="0" applyFont="1" applyFill="1"/>
    <xf numFmtId="0" fontId="140" fillId="37" borderId="0" xfId="98" applyFont="1" applyFill="1" applyAlignment="1">
      <alignment horizontal="left" vertical="top" wrapText="1"/>
    </xf>
    <xf numFmtId="0" fontId="140" fillId="37" borderId="0" xfId="98" applyFont="1" applyFill="1" applyAlignment="1">
      <alignment horizontal="left" vertical="top"/>
    </xf>
    <xf numFmtId="167" fontId="50" fillId="37" borderId="0" xfId="0" applyNumberFormat="1" applyFont="1" applyFill="1" applyAlignment="1">
      <alignment horizontal="right" vertical="center"/>
    </xf>
    <xf numFmtId="167" fontId="0" fillId="37" borderId="0" xfId="0" applyNumberFormat="1" applyFill="1" applyAlignment="1">
      <alignment horizontal="right" vertical="center"/>
    </xf>
    <xf numFmtId="4" fontId="50" fillId="37" borderId="0" xfId="0" applyNumberFormat="1" applyFont="1" applyFill="1" applyAlignment="1">
      <alignment horizontal="right" vertical="center"/>
    </xf>
    <xf numFmtId="167" fontId="0" fillId="37" borderId="0" xfId="0" applyNumberFormat="1" applyFont="1" applyFill="1" applyAlignment="1">
      <alignment horizontal="right"/>
    </xf>
    <xf numFmtId="167" fontId="52" fillId="37" borderId="35" xfId="0" applyNumberFormat="1" applyFont="1" applyFill="1" applyBorder="1" applyAlignment="1">
      <alignment horizontal="right" vertical="center"/>
    </xf>
    <xf numFmtId="167" fontId="50" fillId="37" borderId="22" xfId="0" applyNumberFormat="1" applyFont="1" applyFill="1" applyBorder="1" applyAlignment="1">
      <alignment horizontal="right" vertical="center"/>
    </xf>
    <xf numFmtId="0" fontId="23" fillId="37" borderId="33" xfId="0" applyFont="1" applyFill="1" applyBorder="1" applyAlignment="1">
      <alignment horizontal="center"/>
    </xf>
    <xf numFmtId="0" fontId="78" fillId="37" borderId="56" xfId="98" applyFont="1" applyFill="1" applyBorder="1"/>
    <xf numFmtId="0" fontId="122" fillId="37" borderId="56" xfId="98" applyFont="1" applyFill="1" applyBorder="1"/>
    <xf numFmtId="0" fontId="77" fillId="37" borderId="46" xfId="98" applyFont="1" applyFill="1" applyBorder="1" applyAlignment="1">
      <alignment horizontal="center" wrapText="1"/>
    </xf>
    <xf numFmtId="0" fontId="78" fillId="37" borderId="45" xfId="98" applyFont="1" applyFill="1" applyBorder="1" applyAlignment="1">
      <alignment horizontal="center"/>
    </xf>
    <xf numFmtId="167" fontId="128" fillId="37" borderId="45" xfId="98" applyNumberFormat="1" applyFont="1" applyFill="1" applyBorder="1" applyAlignment="1">
      <alignment horizontal="center"/>
    </xf>
    <xf numFmtId="0" fontId="78" fillId="37" borderId="45" xfId="98" applyFont="1" applyFill="1" applyBorder="1" applyAlignment="1">
      <alignment horizontal="center" wrapText="1"/>
    </xf>
    <xf numFmtId="0" fontId="128" fillId="37" borderId="45" xfId="98" applyFont="1" applyFill="1" applyBorder="1" applyAlignment="1">
      <alignment horizontal="center" wrapText="1"/>
    </xf>
    <xf numFmtId="0" fontId="78" fillId="37" borderId="22" xfId="98" applyFont="1" applyFill="1" applyBorder="1"/>
    <xf numFmtId="0" fontId="78" fillId="37" borderId="22" xfId="98" applyFont="1" applyFill="1" applyBorder="1" applyAlignment="1">
      <alignment horizontal="left" indent="1"/>
    </xf>
    <xf numFmtId="169" fontId="78" fillId="37" borderId="0" xfId="98" applyNumberFormat="1" applyFont="1" applyFill="1" applyBorder="1"/>
    <xf numFmtId="169" fontId="78" fillId="37" borderId="22" xfId="98" applyNumberFormat="1" applyFont="1" applyFill="1" applyBorder="1"/>
    <xf numFmtId="3" fontId="41" fillId="37" borderId="0" xfId="100" applyNumberFormat="1" applyFont="1" applyFill="1" applyBorder="1"/>
    <xf numFmtId="3" fontId="78" fillId="37" borderId="0" xfId="98" applyNumberFormat="1" applyFont="1" applyFill="1" applyBorder="1"/>
    <xf numFmtId="3" fontId="78" fillId="37" borderId="22" xfId="98" applyNumberFormat="1" applyFont="1" applyFill="1" applyBorder="1"/>
    <xf numFmtId="0" fontId="78" fillId="37" borderId="46" xfId="98" applyFont="1" applyFill="1" applyBorder="1"/>
    <xf numFmtId="0" fontId="77" fillId="37" borderId="46" xfId="98" applyFont="1" applyFill="1" applyBorder="1" applyAlignment="1">
      <alignment horizontal="center"/>
    </xf>
    <xf numFmtId="4" fontId="78" fillId="37" borderId="22" xfId="98" applyNumberFormat="1" applyFont="1" applyFill="1" applyBorder="1" applyAlignment="1">
      <alignment horizontal="right"/>
    </xf>
    <xf numFmtId="3" fontId="78" fillId="37" borderId="22" xfId="98" applyNumberFormat="1" applyFont="1" applyFill="1" applyBorder="1" applyAlignment="1">
      <alignment horizontal="right"/>
    </xf>
    <xf numFmtId="4" fontId="78" fillId="37" borderId="49" xfId="98" applyNumberFormat="1" applyFont="1" applyFill="1" applyBorder="1" applyAlignment="1">
      <alignment horizontal="right"/>
    </xf>
    <xf numFmtId="3" fontId="78" fillId="37" borderId="49" xfId="98" applyNumberFormat="1" applyFont="1" applyFill="1" applyBorder="1" applyAlignment="1">
      <alignment horizontal="right"/>
    </xf>
    <xf numFmtId="167" fontId="78" fillId="37" borderId="22" xfId="98" applyNumberFormat="1" applyFont="1" applyFill="1" applyBorder="1" applyAlignment="1">
      <alignment horizontal="center" vertical="center"/>
    </xf>
    <xf numFmtId="0" fontId="124" fillId="37" borderId="56" xfId="98" applyFont="1" applyFill="1" applyBorder="1"/>
    <xf numFmtId="0" fontId="77" fillId="37" borderId="46" xfId="98" applyFont="1" applyFill="1" applyBorder="1"/>
    <xf numFmtId="0" fontId="77" fillId="37" borderId="22" xfId="98" applyFont="1" applyFill="1" applyBorder="1"/>
    <xf numFmtId="0" fontId="77" fillId="37" borderId="22" xfId="98" applyFont="1" applyFill="1" applyBorder="1" applyAlignment="1">
      <alignment horizontal="center"/>
    </xf>
    <xf numFmtId="2" fontId="78" fillId="37" borderId="22" xfId="98" applyNumberFormat="1" applyFont="1" applyFill="1" applyBorder="1" applyAlignment="1">
      <alignment horizontal="center"/>
    </xf>
    <xf numFmtId="1" fontId="78" fillId="37" borderId="22" xfId="98" applyNumberFormat="1" applyFont="1" applyFill="1" applyBorder="1" applyAlignment="1">
      <alignment horizontal="center"/>
    </xf>
    <xf numFmtId="0" fontId="81" fillId="37" borderId="0" xfId="98" applyFont="1" applyFill="1" applyBorder="1"/>
    <xf numFmtId="173" fontId="81" fillId="37" borderId="0" xfId="98" applyNumberFormat="1" applyFont="1" applyFill="1" applyBorder="1"/>
    <xf numFmtId="167" fontId="81" fillId="37" borderId="0" xfId="98" applyNumberFormat="1" applyFont="1" applyFill="1" applyBorder="1"/>
    <xf numFmtId="2" fontId="81" fillId="37" borderId="0" xfId="98" applyNumberFormat="1" applyFont="1" applyFill="1" applyBorder="1"/>
    <xf numFmtId="0" fontId="77" fillId="37" borderId="33" xfId="98" applyFont="1" applyFill="1" applyBorder="1" applyAlignment="1">
      <alignment horizontal="left" wrapText="1"/>
    </xf>
    <xf numFmtId="0" fontId="81" fillId="37" borderId="22" xfId="98" applyFont="1" applyFill="1" applyBorder="1"/>
    <xf numFmtId="173" fontId="81" fillId="37" borderId="22" xfId="98" applyNumberFormat="1" applyFont="1" applyFill="1" applyBorder="1"/>
    <xf numFmtId="3" fontId="0" fillId="0" borderId="0" xfId="0" applyNumberFormat="1" applyBorder="1" applyAlignment="1"/>
    <xf numFmtId="4" fontId="0" fillId="37" borderId="0" xfId="0" applyNumberFormat="1" applyFont="1" applyFill="1" applyBorder="1" applyAlignment="1"/>
    <xf numFmtId="4" fontId="0" fillId="37" borderId="0" xfId="0" applyNumberFormat="1" applyFill="1" applyBorder="1" applyAlignment="1"/>
    <xf numFmtId="3" fontId="0" fillId="0" borderId="22" xfId="0" applyNumberFormat="1" applyBorder="1" applyAlignment="1"/>
    <xf numFmtId="4" fontId="0" fillId="37" borderId="0" xfId="0" applyNumberFormat="1" applyFont="1" applyFill="1" applyBorder="1" applyAlignment="1">
      <alignment horizontal="right" indent="1"/>
    </xf>
    <xf numFmtId="0" fontId="0" fillId="37" borderId="0" xfId="0" applyFill="1" applyBorder="1" applyAlignment="1"/>
    <xf numFmtId="0" fontId="0" fillId="37" borderId="22" xfId="0" applyFont="1" applyFill="1" applyBorder="1"/>
    <xf numFmtId="3" fontId="0" fillId="37" borderId="22" xfId="0" applyNumberFormat="1" applyFill="1" applyBorder="1" applyAlignment="1"/>
    <xf numFmtId="4" fontId="0" fillId="37" borderId="22" xfId="0" applyNumberFormat="1" applyFill="1" applyBorder="1" applyAlignment="1"/>
    <xf numFmtId="0" fontId="23" fillId="37" borderId="87" xfId="0" applyFont="1" applyFill="1" applyBorder="1"/>
    <xf numFmtId="0" fontId="0" fillId="37" borderId="22" xfId="0" applyFill="1" applyBorder="1" applyAlignment="1"/>
    <xf numFmtId="0" fontId="150" fillId="0" borderId="0" xfId="0" applyFont="1"/>
    <xf numFmtId="0" fontId="0" fillId="37" borderId="0" xfId="0" applyFill="1" applyBorder="1" applyAlignment="1">
      <alignment horizontal="left"/>
    </xf>
    <xf numFmtId="169" fontId="0" fillId="37" borderId="22" xfId="0" applyNumberFormat="1" applyFill="1" applyBorder="1" applyAlignment="1">
      <alignment horizontal="right"/>
    </xf>
    <xf numFmtId="169" fontId="0" fillId="37" borderId="0" xfId="0" applyNumberFormat="1" applyFill="1" applyBorder="1" applyAlignment="1">
      <alignment horizontal="right"/>
    </xf>
    <xf numFmtId="3" fontId="0" fillId="37" borderId="22" xfId="0" applyNumberFormat="1" applyFill="1" applyBorder="1" applyAlignment="1">
      <alignment horizontal="right"/>
    </xf>
    <xf numFmtId="3" fontId="23" fillId="0" borderId="49" xfId="0" applyNumberFormat="1" applyFont="1" applyBorder="1" applyAlignment="1">
      <alignment horizontal="right"/>
    </xf>
    <xf numFmtId="0" fontId="23" fillId="37" borderId="33" xfId="0" applyFont="1" applyFill="1" applyBorder="1" applyAlignment="1">
      <alignment horizontal="center"/>
    </xf>
    <xf numFmtId="0" fontId="23" fillId="0" borderId="44" xfId="0" applyFont="1" applyBorder="1" applyAlignment="1">
      <alignment horizontal="center"/>
    </xf>
    <xf numFmtId="0" fontId="0" fillId="37" borderId="0" xfId="0" applyFill="1" applyAlignment="1">
      <alignment horizontal="center" vertical="center"/>
    </xf>
    <xf numFmtId="0" fontId="124" fillId="37" borderId="56" xfId="98" applyFont="1" applyFill="1" applyBorder="1" applyAlignment="1"/>
    <xf numFmtId="0" fontId="41" fillId="0" borderId="0" xfId="0" applyFont="1" applyBorder="1" applyAlignment="1">
      <alignment horizontal="left" vertical="center" indent="2"/>
    </xf>
    <xf numFmtId="0" fontId="41" fillId="0" borderId="0" xfId="0" applyFont="1" applyFill="1" applyBorder="1" applyAlignment="1">
      <alignment horizontal="left" vertical="center" indent="2"/>
    </xf>
    <xf numFmtId="0" fontId="151" fillId="0" borderId="44" xfId="0" applyFont="1" applyBorder="1" applyAlignment="1">
      <alignment vertical="center"/>
    </xf>
    <xf numFmtId="0" fontId="59" fillId="0" borderId="0" xfId="0" applyFont="1" applyBorder="1" applyAlignment="1">
      <alignment horizontal="left" vertical="center" indent="1"/>
    </xf>
    <xf numFmtId="3" fontId="41" fillId="0" borderId="0" xfId="0" applyNumberFormat="1" applyFont="1" applyBorder="1" applyAlignment="1">
      <alignment horizontal="right"/>
    </xf>
    <xf numFmtId="0" fontId="23" fillId="37" borderId="56" xfId="0" applyFont="1" applyFill="1" applyBorder="1"/>
    <xf numFmtId="0" fontId="23" fillId="37" borderId="46" xfId="0" applyFont="1" applyFill="1" applyBorder="1" applyAlignment="1">
      <alignment horizontal="center" wrapText="1"/>
    </xf>
    <xf numFmtId="0" fontId="23" fillId="37" borderId="56" xfId="0" applyFont="1" applyFill="1" applyBorder="1" applyAlignment="1">
      <alignment horizontal="center"/>
    </xf>
    <xf numFmtId="3" fontId="23" fillId="0" borderId="0" xfId="0" applyNumberFormat="1" applyFont="1" applyBorder="1" applyAlignment="1">
      <alignment horizontal="center"/>
    </xf>
    <xf numFmtId="173" fontId="0" fillId="0" borderId="0" xfId="0" applyNumberFormat="1" applyFont="1" applyBorder="1" applyAlignment="1">
      <alignment horizontal="center"/>
    </xf>
    <xf numFmtId="0" fontId="0" fillId="0" borderId="44" xfId="0" applyFont="1" applyBorder="1" applyAlignment="1">
      <alignment horizontal="center"/>
    </xf>
    <xf numFmtId="0" fontId="23" fillId="0" borderId="49" xfId="0" applyFont="1" applyBorder="1" applyAlignment="1">
      <alignment horizontal="center"/>
    </xf>
    <xf numFmtId="2" fontId="0" fillId="0" borderId="0" xfId="0" applyNumberFormat="1" applyBorder="1" applyAlignment="1">
      <alignment horizontal="center" vertical="center"/>
    </xf>
    <xf numFmtId="2" fontId="60" fillId="0" borderId="0" xfId="0" applyNumberFormat="1" applyFont="1" applyAlignment="1">
      <alignment horizontal="center"/>
    </xf>
    <xf numFmtId="2" fontId="23" fillId="0" borderId="35" xfId="0" applyNumberFormat="1" applyFont="1" applyBorder="1" applyAlignment="1">
      <alignment horizontal="center"/>
    </xf>
    <xf numFmtId="0" fontId="0" fillId="0" borderId="35" xfId="0" applyFont="1" applyBorder="1" applyAlignment="1">
      <alignment horizontal="center"/>
    </xf>
    <xf numFmtId="169" fontId="111" fillId="0" borderId="0" xfId="96" applyNumberFormat="1" applyFont="1" applyFill="1" applyBorder="1" applyAlignment="1">
      <alignment horizontal="right" vertical="center"/>
    </xf>
    <xf numFmtId="169" fontId="111" fillId="0" borderId="0" xfId="96" applyNumberFormat="1" applyFont="1" applyFill="1" applyBorder="1" applyAlignment="1">
      <alignment horizontal="right" vertical="center" shrinkToFit="1"/>
    </xf>
    <xf numFmtId="169" fontId="114" fillId="0" borderId="33" xfId="96" applyNumberFormat="1" applyFont="1" applyFill="1" applyBorder="1" applyAlignment="1">
      <alignment horizontal="right" vertical="center"/>
    </xf>
    <xf numFmtId="4" fontId="111" fillId="0" borderId="0" xfId="96" applyNumberFormat="1" applyFont="1" applyFill="1" applyBorder="1" applyAlignment="1">
      <alignment horizontal="right" vertical="center"/>
    </xf>
    <xf numFmtId="4" fontId="111" fillId="0" borderId="0" xfId="96" applyNumberFormat="1" applyFont="1" applyFill="1" applyBorder="1" applyAlignment="1">
      <alignment horizontal="right" vertical="center" shrinkToFit="1"/>
    </xf>
    <xf numFmtId="4" fontId="114" fillId="0" borderId="33" xfId="96" applyNumberFormat="1" applyFont="1" applyFill="1" applyBorder="1" applyAlignment="1">
      <alignment horizontal="right" vertical="center"/>
    </xf>
    <xf numFmtId="4" fontId="114" fillId="0" borderId="0" xfId="96" applyNumberFormat="1" applyFont="1" applyFill="1" applyBorder="1" applyAlignment="1">
      <alignment horizontal="right" vertical="center"/>
    </xf>
    <xf numFmtId="0" fontId="23" fillId="0" borderId="0" xfId="0" applyFont="1" applyBorder="1" applyAlignment="1">
      <alignment horizontal="left" vertical="center" indent="2"/>
    </xf>
    <xf numFmtId="0" fontId="0" fillId="0" borderId="0" xfId="0" applyBorder="1" applyAlignment="1">
      <alignment horizontal="left" vertical="center" indent="4"/>
    </xf>
    <xf numFmtId="0" fontId="0" fillId="0" borderId="0" xfId="0" applyFill="1" applyBorder="1" applyAlignment="1">
      <alignment horizontal="left" vertical="center" indent="4"/>
    </xf>
    <xf numFmtId="0" fontId="0" fillId="37" borderId="0" xfId="0" applyFill="1" applyBorder="1" applyAlignment="1">
      <alignment horizontal="left" vertical="center" indent="4"/>
    </xf>
    <xf numFmtId="1" fontId="0" fillId="0" borderId="0" xfId="0" applyNumberFormat="1" applyFill="1" applyBorder="1" applyAlignment="1">
      <alignment horizontal="center"/>
    </xf>
    <xf numFmtId="10" fontId="0" fillId="0" borderId="0" xfId="102" applyNumberFormat="1" applyFont="1" applyBorder="1"/>
    <xf numFmtId="3" fontId="152" fillId="0" borderId="0" xfId="0" applyNumberFormat="1" applyFont="1"/>
    <xf numFmtId="2" fontId="23" fillId="0" borderId="0" xfId="0" applyNumberFormat="1" applyFont="1" applyAlignment="1">
      <alignment horizontal="left"/>
    </xf>
    <xf numFmtId="3" fontId="83" fillId="0" borderId="0" xfId="0" applyNumberFormat="1" applyFont="1" applyFill="1" applyBorder="1" applyAlignment="1">
      <alignment horizontal="center"/>
    </xf>
    <xf numFmtId="167" fontId="83" fillId="0" borderId="0" xfId="0" applyNumberFormat="1" applyFont="1" applyAlignment="1">
      <alignment horizontal="center"/>
    </xf>
    <xf numFmtId="167" fontId="83" fillId="0" borderId="0" xfId="0" applyNumberFormat="1" applyFont="1" applyBorder="1" applyAlignment="1">
      <alignment horizontal="center"/>
    </xf>
    <xf numFmtId="3" fontId="41" fillId="37" borderId="0" xfId="0" applyNumberFormat="1" applyFont="1" applyFill="1" applyAlignment="1">
      <alignment horizontal="center"/>
    </xf>
    <xf numFmtId="169" fontId="41" fillId="37" borderId="0" xfId="0" applyNumberFormat="1" applyFont="1" applyFill="1" applyAlignment="1">
      <alignment horizontal="center"/>
    </xf>
    <xf numFmtId="170" fontId="41" fillId="37" borderId="0" xfId="0" applyNumberFormat="1" applyFont="1" applyFill="1" applyAlignment="1">
      <alignment horizontal="center"/>
    </xf>
    <xf numFmtId="169" fontId="41" fillId="37" borderId="22" xfId="0" applyNumberFormat="1" applyFont="1" applyFill="1" applyBorder="1" applyAlignment="1">
      <alignment horizontal="center"/>
    </xf>
    <xf numFmtId="170" fontId="41" fillId="37" borderId="22" xfId="0" applyNumberFormat="1" applyFont="1" applyFill="1" applyBorder="1" applyAlignment="1">
      <alignment horizontal="center"/>
    </xf>
    <xf numFmtId="178" fontId="70" fillId="37" borderId="0" xfId="0" applyNumberFormat="1" applyFont="1" applyFill="1" applyAlignment="1">
      <alignment horizontal="center"/>
    </xf>
    <xf numFmtId="178" fontId="70" fillId="37" borderId="22" xfId="0" applyNumberFormat="1" applyFont="1" applyFill="1" applyBorder="1" applyAlignment="1">
      <alignment horizontal="center"/>
    </xf>
    <xf numFmtId="178" fontId="41" fillId="37" borderId="0" xfId="0" applyNumberFormat="1" applyFont="1" applyFill="1" applyAlignment="1">
      <alignment horizontal="center"/>
    </xf>
    <xf numFmtId="178" fontId="41" fillId="37" borderId="22" xfId="0" applyNumberFormat="1" applyFont="1" applyFill="1" applyBorder="1" applyAlignment="1">
      <alignment horizontal="center"/>
    </xf>
    <xf numFmtId="2" fontId="154" fillId="37" borderId="0" xfId="0" applyNumberFormat="1" applyFont="1" applyFill="1" applyBorder="1"/>
    <xf numFmtId="0" fontId="150" fillId="37" borderId="0" xfId="0" applyFont="1" applyFill="1" applyBorder="1"/>
    <xf numFmtId="1" fontId="41" fillId="37" borderId="48" xfId="0" applyNumberFormat="1" applyFont="1" applyFill="1" applyBorder="1" applyAlignment="1">
      <alignment horizontal="center"/>
    </xf>
    <xf numFmtId="0" fontId="70" fillId="37" borderId="0" xfId="0" applyFont="1" applyFill="1"/>
    <xf numFmtId="0" fontId="70" fillId="37" borderId="22" xfId="0" applyFont="1" applyFill="1" applyBorder="1"/>
    <xf numFmtId="0" fontId="70" fillId="37" borderId="0" xfId="0" applyFont="1" applyFill="1" applyBorder="1"/>
    <xf numFmtId="0" fontId="41" fillId="37" borderId="0" xfId="0" applyFont="1" applyFill="1"/>
    <xf numFmtId="0" fontId="41" fillId="37" borderId="22" xfId="0" applyFont="1" applyFill="1" applyBorder="1"/>
    <xf numFmtId="0" fontId="41" fillId="37" borderId="22" xfId="0" applyFont="1" applyFill="1" applyBorder="1" applyAlignment="1">
      <alignment horizontal="center"/>
    </xf>
    <xf numFmtId="3" fontId="70" fillId="37" borderId="44" xfId="0" applyNumberFormat="1" applyFont="1" applyFill="1" applyBorder="1" applyAlignment="1">
      <alignment horizontal="center"/>
    </xf>
    <xf numFmtId="178" fontId="70" fillId="37" borderId="44" xfId="0" applyNumberFormat="1" applyFont="1" applyFill="1" applyBorder="1" applyAlignment="1">
      <alignment horizontal="center"/>
    </xf>
    <xf numFmtId="0" fontId="41" fillId="37" borderId="0" xfId="0" applyFont="1" applyFill="1" applyBorder="1"/>
    <xf numFmtId="0" fontId="41" fillId="37" borderId="0" xfId="0" applyFont="1" applyFill="1" applyBorder="1" applyAlignment="1">
      <alignment horizontal="center"/>
    </xf>
    <xf numFmtId="178" fontId="41" fillId="37" borderId="0" xfId="0" applyNumberFormat="1" applyFont="1" applyFill="1" applyBorder="1" applyAlignment="1">
      <alignment horizontal="center"/>
    </xf>
    <xf numFmtId="0" fontId="59" fillId="37" borderId="99" xfId="0" applyFont="1" applyFill="1" applyBorder="1"/>
    <xf numFmtId="0" fontId="59" fillId="37" borderId="88" xfId="0" applyFont="1" applyFill="1" applyBorder="1" applyAlignment="1">
      <alignment horizontal="center"/>
    </xf>
    <xf numFmtId="0" fontId="41" fillId="37" borderId="88" xfId="0" applyFont="1" applyFill="1" applyBorder="1"/>
    <xf numFmtId="169" fontId="41" fillId="37" borderId="88" xfId="0" applyNumberFormat="1" applyFont="1" applyFill="1" applyBorder="1" applyAlignment="1">
      <alignment horizontal="center"/>
    </xf>
    <xf numFmtId="178" fontId="41" fillId="37" borderId="88" xfId="0" applyNumberFormat="1" applyFont="1" applyFill="1" applyBorder="1" applyAlignment="1">
      <alignment horizontal="center"/>
    </xf>
    <xf numFmtId="3" fontId="41" fillId="37" borderId="100" xfId="0" applyNumberFormat="1" applyFont="1" applyFill="1" applyBorder="1" applyAlignment="1">
      <alignment horizontal="center"/>
    </xf>
    <xf numFmtId="0" fontId="23" fillId="37" borderId="15" xfId="0" applyFont="1" applyFill="1" applyBorder="1"/>
    <xf numFmtId="0" fontId="23" fillId="37" borderId="0" xfId="0" applyFont="1" applyFill="1" applyBorder="1" applyAlignment="1">
      <alignment horizontal="center"/>
    </xf>
    <xf numFmtId="169" fontId="59" fillId="37" borderId="0" xfId="0" applyNumberFormat="1" applyFont="1" applyFill="1" applyBorder="1" applyAlignment="1">
      <alignment horizontal="center"/>
    </xf>
    <xf numFmtId="178" fontId="59" fillId="37" borderId="0" xfId="0" applyNumberFormat="1" applyFont="1" applyFill="1" applyBorder="1" applyAlignment="1">
      <alignment horizontal="center"/>
    </xf>
    <xf numFmtId="3" fontId="59" fillId="37" borderId="16" xfId="0" applyNumberFormat="1" applyFont="1" applyFill="1" applyBorder="1" applyAlignment="1">
      <alignment horizontal="center"/>
    </xf>
    <xf numFmtId="0" fontId="23" fillId="37" borderId="18" xfId="0" applyFont="1" applyFill="1" applyBorder="1"/>
    <xf numFmtId="0" fontId="23" fillId="37" borderId="87" xfId="0" applyFont="1" applyFill="1" applyBorder="1" applyAlignment="1">
      <alignment horizontal="center"/>
    </xf>
    <xf numFmtId="169" fontId="59" fillId="37" borderId="87" xfId="0" applyNumberFormat="1" applyFont="1" applyFill="1" applyBorder="1" applyAlignment="1">
      <alignment horizontal="center"/>
    </xf>
    <xf numFmtId="178" fontId="59" fillId="37" borderId="87" xfId="0" applyNumberFormat="1" applyFont="1" applyFill="1" applyBorder="1" applyAlignment="1">
      <alignment horizontal="center"/>
    </xf>
    <xf numFmtId="3" fontId="59" fillId="37" borderId="19" xfId="0" applyNumberFormat="1" applyFont="1" applyFill="1" applyBorder="1" applyAlignment="1">
      <alignment horizontal="center"/>
    </xf>
    <xf numFmtId="0" fontId="41" fillId="37" borderId="45" xfId="0" applyFont="1" applyFill="1" applyBorder="1" applyAlignment="1">
      <alignment horizontal="center"/>
    </xf>
    <xf numFmtId="0" fontId="52" fillId="37" borderId="35" xfId="0" applyFont="1" applyFill="1" applyBorder="1" applyAlignment="1">
      <alignment vertical="center"/>
    </xf>
    <xf numFmtId="169" fontId="41" fillId="37" borderId="0" xfId="0" applyNumberFormat="1" applyFont="1" applyFill="1" applyAlignment="1">
      <alignment horizontal="center" vertical="center"/>
    </xf>
    <xf numFmtId="10" fontId="41" fillId="37" borderId="0" xfId="102" applyNumberFormat="1" applyFont="1" applyFill="1" applyAlignment="1">
      <alignment horizontal="center" vertical="center"/>
    </xf>
    <xf numFmtId="169" fontId="41" fillId="37" borderId="22" xfId="0" applyNumberFormat="1" applyFont="1" applyFill="1" applyBorder="1" applyAlignment="1">
      <alignment horizontal="center" vertical="center"/>
    </xf>
    <xf numFmtId="0" fontId="118" fillId="37" borderId="0" xfId="0" applyFont="1" applyFill="1" applyAlignment="1">
      <alignment vertical="center"/>
    </xf>
    <xf numFmtId="3" fontId="70" fillId="37" borderId="0" xfId="0" applyNumberFormat="1" applyFont="1" applyFill="1" applyAlignment="1">
      <alignment horizontal="center" vertical="center"/>
    </xf>
    <xf numFmtId="4" fontId="70" fillId="37" borderId="0" xfId="0" applyNumberFormat="1" applyFont="1" applyFill="1" applyAlignment="1">
      <alignment horizontal="center" vertical="center"/>
    </xf>
    <xf numFmtId="3" fontId="156" fillId="37" borderId="0" xfId="0" applyNumberFormat="1" applyFont="1" applyFill="1"/>
    <xf numFmtId="3" fontId="70" fillId="37" borderId="0" xfId="0" applyNumberFormat="1" applyFont="1" applyFill="1" applyBorder="1" applyAlignment="1">
      <alignment horizontal="center" vertical="center"/>
    </xf>
    <xf numFmtId="4" fontId="53" fillId="37" borderId="0" xfId="0" applyNumberFormat="1" applyFont="1" applyFill="1"/>
    <xf numFmtId="170" fontId="52" fillId="37" borderId="22" xfId="0" applyNumberFormat="1" applyFont="1" applyFill="1" applyBorder="1" applyAlignment="1">
      <alignment horizontal="center" vertical="center"/>
    </xf>
    <xf numFmtId="170" fontId="53" fillId="37" borderId="0" xfId="0" applyNumberFormat="1" applyFont="1" applyFill="1"/>
    <xf numFmtId="170" fontId="157" fillId="0" borderId="43" xfId="0" applyNumberFormat="1" applyFont="1" applyFill="1" applyBorder="1" applyAlignment="1"/>
    <xf numFmtId="170" fontId="158" fillId="0" borderId="58" xfId="0" applyNumberFormat="1" applyFont="1" applyFill="1" applyBorder="1" applyAlignment="1"/>
    <xf numFmtId="170" fontId="157" fillId="0" borderId="38" xfId="0" applyNumberFormat="1" applyFont="1" applyFill="1" applyBorder="1" applyAlignment="1"/>
    <xf numFmtId="170" fontId="58" fillId="0" borderId="37" xfId="0" applyNumberFormat="1" applyFont="1" applyFill="1" applyBorder="1" applyAlignment="1"/>
    <xf numFmtId="170" fontId="72" fillId="0" borderId="38" xfId="0" applyNumberFormat="1" applyFont="1" applyFill="1" applyBorder="1" applyAlignment="1"/>
    <xf numFmtId="170" fontId="58" fillId="0" borderId="38" xfId="0" applyNumberFormat="1" applyFont="1" applyFill="1" applyBorder="1" applyAlignment="1"/>
    <xf numFmtId="170" fontId="158" fillId="0" borderId="38" xfId="0" applyNumberFormat="1" applyFont="1" applyFill="1" applyBorder="1" applyAlignment="1"/>
    <xf numFmtId="170" fontId="157" fillId="0" borderId="38" xfId="0" applyNumberFormat="1" applyFont="1" applyBorder="1" applyAlignment="1"/>
    <xf numFmtId="170" fontId="157" fillId="0" borderId="0" xfId="0" applyNumberFormat="1" applyFont="1" applyFill="1" applyBorder="1" applyAlignment="1"/>
    <xf numFmtId="169" fontId="159" fillId="0" borderId="38" xfId="49" applyNumberFormat="1" applyFont="1" applyBorder="1" applyAlignment="1"/>
    <xf numFmtId="169" fontId="159" fillId="0" borderId="0" xfId="49" applyNumberFormat="1" applyFont="1" applyBorder="1" applyAlignment="1"/>
    <xf numFmtId="169" fontId="159" fillId="0" borderId="38" xfId="49" applyNumberFormat="1" applyFont="1" applyFill="1" applyBorder="1" applyAlignment="1"/>
    <xf numFmtId="169" fontId="160" fillId="0" borderId="38" xfId="49" applyNumberFormat="1" applyFont="1" applyFill="1" applyBorder="1" applyAlignment="1"/>
    <xf numFmtId="169" fontId="159" fillId="0" borderId="0" xfId="49" applyNumberFormat="1" applyFont="1" applyFill="1" applyBorder="1" applyAlignment="1"/>
    <xf numFmtId="169" fontId="81" fillId="0" borderId="37" xfId="0" applyNumberFormat="1" applyFont="1" applyFill="1" applyBorder="1" applyAlignment="1"/>
    <xf numFmtId="169" fontId="161" fillId="46" borderId="39" xfId="0" applyNumberFormat="1" applyFont="1" applyFill="1" applyBorder="1" applyAlignment="1"/>
    <xf numFmtId="169" fontId="81" fillId="0" borderId="39" xfId="0" applyNumberFormat="1" applyFont="1" applyFill="1" applyBorder="1" applyAlignment="1"/>
    <xf numFmtId="0" fontId="58" fillId="37" borderId="22" xfId="0" applyFont="1" applyFill="1" applyBorder="1"/>
    <xf numFmtId="181" fontId="23" fillId="37" borderId="33" xfId="102" applyNumberFormat="1" applyFont="1" applyFill="1" applyBorder="1"/>
    <xf numFmtId="2" fontId="41" fillId="0" borderId="0" xfId="0" applyNumberFormat="1" applyFont="1" applyBorder="1" applyAlignment="1">
      <alignment horizontal="right" indent="1"/>
    </xf>
    <xf numFmtId="3" fontId="59" fillId="0" borderId="0" xfId="0" applyNumberFormat="1" applyFont="1"/>
    <xf numFmtId="0" fontId="58" fillId="37" borderId="35" xfId="0" applyFont="1" applyFill="1" applyBorder="1"/>
    <xf numFmtId="171" fontId="41" fillId="37" borderId="0" xfId="0" applyNumberFormat="1" applyFont="1" applyFill="1" applyBorder="1" applyAlignment="1"/>
    <xf numFmtId="3" fontId="41" fillId="37" borderId="47" xfId="0" applyNumberFormat="1" applyFont="1" applyFill="1" applyBorder="1"/>
    <xf numFmtId="3" fontId="68" fillId="37" borderId="47" xfId="0" applyNumberFormat="1" applyFont="1" applyFill="1" applyBorder="1"/>
    <xf numFmtId="0" fontId="0" fillId="37" borderId="22" xfId="0" applyFont="1" applyFill="1" applyBorder="1" applyAlignment="1">
      <alignment horizontal="left"/>
    </xf>
    <xf numFmtId="0" fontId="70" fillId="37" borderId="22" xfId="0" applyFont="1" applyFill="1" applyBorder="1" applyAlignment="1">
      <alignment horizontal="right"/>
    </xf>
    <xf numFmtId="0" fontId="41" fillId="37" borderId="22" xfId="0" applyFont="1" applyFill="1" applyBorder="1" applyAlignment="1">
      <alignment horizontal="right"/>
    </xf>
    <xf numFmtId="3" fontId="41" fillId="37" borderId="47" xfId="0" applyNumberFormat="1" applyFont="1" applyFill="1" applyBorder="1" applyAlignment="1">
      <alignment horizontal="right"/>
    </xf>
    <xf numFmtId="176" fontId="41" fillId="37" borderId="45" xfId="0" applyNumberFormat="1" applyFont="1" applyFill="1" applyBorder="1" applyAlignment="1">
      <alignment horizontal="center"/>
    </xf>
    <xf numFmtId="9" fontId="68" fillId="37" borderId="0" xfId="102" applyFont="1" applyFill="1" applyBorder="1"/>
    <xf numFmtId="0" fontId="0" fillId="48" borderId="0" xfId="0" applyFill="1" applyBorder="1"/>
    <xf numFmtId="0" fontId="0" fillId="48" borderId="0" xfId="0" applyFill="1"/>
    <xf numFmtId="0" fontId="23" fillId="37" borderId="33" xfId="0" applyFont="1" applyFill="1" applyBorder="1" applyAlignment="1">
      <alignment horizontal="center"/>
    </xf>
    <xf numFmtId="3" fontId="68" fillId="0" borderId="0" xfId="0" applyNumberFormat="1" applyFont="1" applyFill="1" applyBorder="1" applyAlignment="1">
      <alignment horizontal="center"/>
    </xf>
    <xf numFmtId="167" fontId="68" fillId="0" borderId="0" xfId="0" applyNumberFormat="1" applyFont="1" applyAlignment="1">
      <alignment horizontal="center"/>
    </xf>
    <xf numFmtId="0" fontId="68" fillId="0" borderId="0" xfId="0" applyFont="1" applyAlignment="1">
      <alignment horizontal="center"/>
    </xf>
    <xf numFmtId="167" fontId="68" fillId="0" borderId="0" xfId="0" applyNumberFormat="1" applyFont="1" applyBorder="1" applyAlignment="1">
      <alignment horizontal="center"/>
    </xf>
    <xf numFmtId="4" fontId="23" fillId="0" borderId="33" xfId="0" applyNumberFormat="1" applyFont="1" applyFill="1" applyBorder="1" applyAlignment="1">
      <alignment horizontal="center"/>
    </xf>
    <xf numFmtId="0" fontId="106" fillId="0" borderId="0" xfId="0" applyFont="1" applyAlignment="1">
      <alignment vertical="center"/>
    </xf>
    <xf numFmtId="3" fontId="23" fillId="0" borderId="33" xfId="0" applyNumberFormat="1" applyFont="1" applyFill="1" applyBorder="1" applyAlignment="1">
      <alignment horizontal="center"/>
    </xf>
    <xf numFmtId="0" fontId="162" fillId="0" borderId="0" xfId="0" applyFont="1"/>
    <xf numFmtId="2" fontId="0" fillId="37" borderId="0" xfId="0" applyNumberFormat="1" applyFill="1" applyBorder="1" applyAlignment="1">
      <alignment horizontal="right"/>
    </xf>
    <xf numFmtId="3" fontId="41" fillId="37" borderId="48" xfId="0" applyNumberFormat="1" applyFont="1" applyFill="1" applyBorder="1" applyAlignment="1">
      <alignment horizontal="center"/>
    </xf>
    <xf numFmtId="0" fontId="47" fillId="0" borderId="61" xfId="0" applyNumberFormat="1" applyFont="1" applyBorder="1" applyAlignment="1">
      <alignment horizontal="right" wrapText="1"/>
    </xf>
    <xf numFmtId="0" fontId="47" fillId="0" borderId="61" xfId="0" applyNumberFormat="1" applyFont="1" applyBorder="1" applyAlignment="1">
      <alignment horizontal="center" vertical="center" wrapText="1"/>
    </xf>
    <xf numFmtId="2" fontId="0" fillId="0" borderId="22" xfId="0" applyNumberFormat="1" applyBorder="1" applyAlignment="1">
      <alignment horizontal="center"/>
    </xf>
    <xf numFmtId="0" fontId="41" fillId="0" borderId="22" xfId="0" applyFont="1" applyFill="1" applyBorder="1" applyAlignment="1">
      <alignment horizontal="left" vertical="center" indent="2"/>
    </xf>
    <xf numFmtId="0" fontId="0" fillId="50" borderId="0" xfId="0" applyFill="1"/>
    <xf numFmtId="0" fontId="0" fillId="46" borderId="0" xfId="0" applyFill="1"/>
    <xf numFmtId="0" fontId="59" fillId="49" borderId="22" xfId="0" applyFont="1" applyFill="1" applyBorder="1" applyAlignment="1">
      <alignment horizontal="center"/>
    </xf>
    <xf numFmtId="0" fontId="23" fillId="37" borderId="33" xfId="0" applyFont="1" applyFill="1" applyBorder="1" applyAlignment="1">
      <alignment horizontal="center"/>
    </xf>
    <xf numFmtId="0" fontId="0" fillId="37" borderId="33" xfId="0" applyFill="1" applyBorder="1" applyAlignment="1">
      <alignment horizontal="center"/>
    </xf>
    <xf numFmtId="4" fontId="59" fillId="37" borderId="0" xfId="0" applyNumberFormat="1" applyFont="1" applyFill="1" applyBorder="1" applyAlignment="1">
      <alignment horizontal="center"/>
    </xf>
    <xf numFmtId="3" fontId="23" fillId="37" borderId="0" xfId="0" applyNumberFormat="1" applyFont="1" applyFill="1" applyBorder="1" applyAlignment="1">
      <alignment horizontal="right"/>
    </xf>
    <xf numFmtId="3" fontId="58" fillId="37" borderId="0" xfId="0" applyNumberFormat="1" applyFont="1" applyFill="1" applyBorder="1" applyAlignment="1">
      <alignment horizontal="right"/>
    </xf>
    <xf numFmtId="3" fontId="58" fillId="37" borderId="22" xfId="0" applyNumberFormat="1" applyFont="1" applyFill="1" applyBorder="1" applyAlignment="1">
      <alignment horizontal="right"/>
    </xf>
    <xf numFmtId="0" fontId="0" fillId="36" borderId="0" xfId="0" applyFill="1" applyBorder="1"/>
    <xf numFmtId="3" fontId="70" fillId="37" borderId="22" xfId="0" applyNumberFormat="1" applyFont="1" applyFill="1" applyBorder="1"/>
    <xf numFmtId="2" fontId="0" fillId="37" borderId="22" xfId="0" applyNumberFormat="1" applyFill="1" applyBorder="1" applyAlignment="1">
      <alignment horizontal="center"/>
    </xf>
    <xf numFmtId="2" fontId="0" fillId="37" borderId="22" xfId="0" applyNumberFormat="1" applyFill="1" applyBorder="1"/>
    <xf numFmtId="4" fontId="0" fillId="37" borderId="0" xfId="0" applyNumberFormat="1" applyFill="1" applyBorder="1" applyAlignment="1">
      <alignment horizontal="right"/>
    </xf>
    <xf numFmtId="179" fontId="0" fillId="37" borderId="0" xfId="0" applyNumberFormat="1" applyFill="1" applyBorder="1" applyAlignment="1">
      <alignment horizontal="right"/>
    </xf>
    <xf numFmtId="167" fontId="0" fillId="37" borderId="22" xfId="0" applyNumberFormat="1" applyFont="1" applyFill="1" applyBorder="1" applyAlignment="1">
      <alignment horizontal="right"/>
    </xf>
    <xf numFmtId="4" fontId="41" fillId="37" borderId="0" xfId="0" applyNumberFormat="1" applyFont="1" applyFill="1"/>
    <xf numFmtId="0" fontId="0" fillId="37" borderId="0" xfId="0" applyFill="1" applyBorder="1" applyAlignment="1">
      <alignment vertical="top" wrapText="1"/>
    </xf>
    <xf numFmtId="0" fontId="163" fillId="37" borderId="46" xfId="0" applyFont="1" applyFill="1" applyBorder="1" applyAlignment="1">
      <alignment horizontal="left" vertical="center" wrapText="1" indent="1"/>
    </xf>
    <xf numFmtId="0" fontId="163" fillId="37" borderId="46" xfId="0" applyFont="1" applyFill="1" applyBorder="1" applyAlignment="1">
      <alignment horizontal="center" vertical="center" wrapText="1"/>
    </xf>
    <xf numFmtId="0" fontId="73" fillId="37" borderId="56" xfId="0" applyFont="1" applyFill="1" applyBorder="1" applyAlignment="1">
      <alignment horizontal="left" vertical="center" wrapText="1"/>
    </xf>
    <xf numFmtId="4" fontId="0" fillId="37" borderId="22" xfId="0" applyNumberFormat="1" applyFill="1" applyBorder="1" applyAlignment="1">
      <alignment horizontal="right"/>
    </xf>
    <xf numFmtId="4" fontId="0" fillId="37" borderId="0" xfId="0" applyNumberFormat="1" applyFill="1" applyBorder="1" applyAlignment="1">
      <alignment horizontal="center"/>
    </xf>
    <xf numFmtId="4" fontId="0" fillId="37" borderId="0" xfId="0" applyNumberFormat="1" applyFill="1"/>
    <xf numFmtId="4" fontId="23" fillId="37" borderId="0" xfId="0" applyNumberFormat="1" applyFont="1" applyFill="1" applyBorder="1" applyAlignment="1">
      <alignment horizontal="center"/>
    </xf>
    <xf numFmtId="4" fontId="0" fillId="37" borderId="22" xfId="0" applyNumberFormat="1" applyFill="1" applyBorder="1" applyAlignment="1">
      <alignment horizontal="center"/>
    </xf>
    <xf numFmtId="0" fontId="0" fillId="37" borderId="45" xfId="0" applyFont="1" applyFill="1" applyBorder="1"/>
    <xf numFmtId="2" fontId="0" fillId="37" borderId="45" xfId="0" applyNumberFormat="1" applyFont="1" applyFill="1" applyBorder="1" applyAlignment="1">
      <alignment horizontal="center" wrapText="1"/>
    </xf>
    <xf numFmtId="4" fontId="0" fillId="37" borderId="22" xfId="0" applyNumberFormat="1" applyFont="1" applyFill="1" applyBorder="1" applyAlignment="1">
      <alignment horizontal="right"/>
    </xf>
    <xf numFmtId="169" fontId="0" fillId="0" borderId="0" xfId="0" applyNumberFormat="1" applyFont="1" applyBorder="1" applyAlignment="1">
      <alignment horizontal="right"/>
    </xf>
    <xf numFmtId="3" fontId="0" fillId="37" borderId="56" xfId="0" applyNumberFormat="1" applyFont="1" applyFill="1" applyBorder="1" applyAlignment="1"/>
    <xf numFmtId="0" fontId="164" fillId="37" borderId="0" xfId="0" applyFont="1" applyFill="1"/>
    <xf numFmtId="0" fontId="164" fillId="37" borderId="35" xfId="0" applyFont="1" applyFill="1" applyBorder="1"/>
    <xf numFmtId="0" fontId="77" fillId="37" borderId="33" xfId="98" applyFont="1" applyFill="1" applyBorder="1" applyAlignment="1">
      <alignment horizontal="center"/>
    </xf>
    <xf numFmtId="0" fontId="49" fillId="36" borderId="0" xfId="0" applyFont="1" applyFill="1"/>
    <xf numFmtId="3" fontId="0" fillId="36" borderId="54" xfId="0" applyNumberFormat="1" applyFill="1" applyBorder="1" applyAlignment="1">
      <alignment horizontal="center"/>
    </xf>
    <xf numFmtId="3" fontId="0" fillId="36" borderId="63" xfId="0" applyNumberFormat="1" applyFill="1" applyBorder="1" applyAlignment="1">
      <alignment horizontal="center"/>
    </xf>
    <xf numFmtId="3" fontId="0" fillId="36" borderId="0" xfId="0" applyNumberFormat="1" applyFill="1" applyAlignment="1">
      <alignment horizontal="center"/>
    </xf>
    <xf numFmtId="3" fontId="0" fillId="36" borderId="35" xfId="0" applyNumberFormat="1" applyFill="1" applyBorder="1" applyAlignment="1">
      <alignment horizontal="center"/>
    </xf>
    <xf numFmtId="0" fontId="59" fillId="37" borderId="22" xfId="0" applyFont="1" applyFill="1" applyBorder="1" applyAlignment="1">
      <alignment horizontal="left" indent="1"/>
    </xf>
    <xf numFmtId="3" fontId="59" fillId="37" borderId="22" xfId="0" applyNumberFormat="1" applyFont="1" applyFill="1" applyBorder="1" applyAlignment="1">
      <alignment horizontal="center"/>
    </xf>
    <xf numFmtId="1" fontId="0" fillId="37" borderId="0" xfId="0" applyNumberFormat="1" applyFill="1" applyBorder="1"/>
    <xf numFmtId="0" fontId="73" fillId="0" borderId="0" xfId="0" applyFont="1"/>
    <xf numFmtId="0" fontId="166" fillId="0" borderId="0" xfId="0" applyFont="1"/>
    <xf numFmtId="0" fontId="167" fillId="37" borderId="0" xfId="0" applyFont="1" applyFill="1" applyAlignment="1">
      <alignment vertical="center"/>
    </xf>
    <xf numFmtId="0" fontId="23" fillId="51" borderId="46" xfId="0" applyFont="1" applyFill="1" applyBorder="1" applyAlignment="1">
      <alignment horizontal="center"/>
    </xf>
    <xf numFmtId="3" fontId="0" fillId="51" borderId="0" xfId="0" applyNumberFormat="1" applyFill="1"/>
    <xf numFmtId="0" fontId="0" fillId="51" borderId="0" xfId="0" applyFill="1"/>
    <xf numFmtId="0" fontId="0" fillId="0" borderId="101" xfId="0" applyBorder="1" applyAlignment="1">
      <alignment horizontal="left" vertical="center" wrapText="1"/>
    </xf>
    <xf numFmtId="0" fontId="23" fillId="0" borderId="102" xfId="0" applyFont="1" applyBorder="1" applyAlignment="1">
      <alignment horizontal="center" vertical="center" wrapText="1"/>
    </xf>
    <xf numFmtId="0" fontId="23" fillId="0" borderId="103" xfId="0" applyFont="1" applyBorder="1" applyAlignment="1">
      <alignment horizontal="center" vertical="center" wrapText="1"/>
    </xf>
    <xf numFmtId="0" fontId="0" fillId="37" borderId="22" xfId="0" applyFill="1" applyBorder="1" applyAlignment="1">
      <alignment horizontal="left"/>
    </xf>
    <xf numFmtId="0" fontId="0" fillId="37" borderId="22" xfId="0" applyFill="1" applyBorder="1" applyAlignment="1">
      <alignment horizontal="center"/>
    </xf>
    <xf numFmtId="3" fontId="0" fillId="37" borderId="22" xfId="0" applyNumberFormat="1" applyFill="1" applyBorder="1" applyAlignment="1">
      <alignment horizontal="right" indent="1"/>
    </xf>
    <xf numFmtId="4" fontId="0" fillId="37" borderId="22" xfId="0" applyNumberFormat="1" applyFill="1" applyBorder="1" applyAlignment="1">
      <alignment horizontal="right" indent="1"/>
    </xf>
    <xf numFmtId="0" fontId="23" fillId="37" borderId="56" xfId="0" applyFont="1" applyFill="1" applyBorder="1" applyAlignment="1"/>
    <xf numFmtId="0" fontId="0" fillId="37" borderId="56" xfId="0" applyFill="1" applyBorder="1" applyAlignment="1">
      <alignment horizontal="left" indent="1"/>
    </xf>
    <xf numFmtId="0" fontId="0" fillId="37" borderId="0" xfId="0" applyFont="1" applyFill="1" applyBorder="1" applyAlignment="1">
      <alignment wrapText="1"/>
    </xf>
    <xf numFmtId="0" fontId="23" fillId="46" borderId="46" xfId="0" applyFont="1" applyFill="1" applyBorder="1" applyAlignment="1">
      <alignment horizontal="left"/>
    </xf>
    <xf numFmtId="0" fontId="23" fillId="0" borderId="44" xfId="0" applyFont="1" applyBorder="1" applyAlignment="1">
      <alignment horizontal="center"/>
    </xf>
    <xf numFmtId="0" fontId="0" fillId="0" borderId="46" xfId="0" applyFont="1" applyBorder="1"/>
    <xf numFmtId="0" fontId="0" fillId="0" borderId="44" xfId="0" applyFont="1" applyBorder="1"/>
    <xf numFmtId="3" fontId="0" fillId="37" borderId="0" xfId="0" applyNumberFormat="1" applyFont="1" applyFill="1"/>
    <xf numFmtId="3" fontId="23" fillId="37" borderId="0" xfId="0" applyNumberFormat="1" applyFont="1" applyFill="1"/>
    <xf numFmtId="3" fontId="0" fillId="0" borderId="0" xfId="0" applyNumberFormat="1" applyFont="1" applyBorder="1"/>
    <xf numFmtId="2" fontId="0" fillId="0" borderId="0" xfId="0" applyNumberFormat="1" applyFont="1"/>
    <xf numFmtId="3" fontId="0" fillId="37" borderId="0" xfId="0" applyNumberFormat="1" applyFill="1" applyAlignment="1">
      <alignment horizontal="right"/>
    </xf>
    <xf numFmtId="0" fontId="0" fillId="37" borderId="0" xfId="0" applyFill="1" applyAlignment="1">
      <alignment horizontal="left" vertical="center" indent="1"/>
    </xf>
    <xf numFmtId="3" fontId="0" fillId="37" borderId="45" xfId="0" applyNumberFormat="1" applyFont="1" applyFill="1" applyBorder="1" applyAlignment="1">
      <alignment horizontal="center"/>
    </xf>
    <xf numFmtId="0" fontId="23" fillId="37" borderId="49" xfId="0" applyFont="1" applyFill="1" applyBorder="1"/>
    <xf numFmtId="167" fontId="23" fillId="37" borderId="49" xfId="0" applyNumberFormat="1" applyFont="1" applyFill="1" applyBorder="1"/>
    <xf numFmtId="2" fontId="23" fillId="37" borderId="22" xfId="0" applyNumberFormat="1" applyFont="1" applyFill="1" applyBorder="1" applyAlignment="1">
      <alignment horizontal="center"/>
    </xf>
    <xf numFmtId="171" fontId="0" fillId="37" borderId="22" xfId="0" applyNumberFormat="1" applyFill="1" applyBorder="1"/>
    <xf numFmtId="0" fontId="0" fillId="37" borderId="46" xfId="0" applyFill="1" applyBorder="1"/>
    <xf numFmtId="169" fontId="164" fillId="0" borderId="0" xfId="0" applyNumberFormat="1" applyFont="1" applyBorder="1" applyAlignment="1">
      <alignment horizontal="center"/>
    </xf>
    <xf numFmtId="0" fontId="0" fillId="36" borderId="0" xfId="0" applyFill="1"/>
    <xf numFmtId="0" fontId="155" fillId="49" borderId="33" xfId="0" applyFont="1" applyFill="1" applyBorder="1"/>
    <xf numFmtId="0" fontId="49" fillId="37" borderId="0" xfId="0" applyFont="1" applyFill="1"/>
    <xf numFmtId="0" fontId="23" fillId="50" borderId="0" xfId="0" applyFont="1" applyFill="1" applyBorder="1"/>
    <xf numFmtId="0" fontId="23" fillId="50" borderId="0" xfId="0" applyFont="1" applyFill="1" applyBorder="1" applyAlignment="1">
      <alignment horizontal="center"/>
    </xf>
    <xf numFmtId="167" fontId="78" fillId="37" borderId="0" xfId="98" applyNumberFormat="1" applyFont="1" applyFill="1" applyBorder="1"/>
    <xf numFmtId="9" fontId="78" fillId="37" borderId="0" xfId="98" applyNumberFormat="1" applyFont="1" applyFill="1" applyBorder="1"/>
    <xf numFmtId="2" fontId="77" fillId="37" borderId="56" xfId="0" applyNumberFormat="1" applyFont="1" applyFill="1" applyBorder="1"/>
    <xf numFmtId="0" fontId="169" fillId="37" borderId="0" xfId="0" applyFont="1" applyFill="1" applyAlignment="1">
      <alignment horizontal="center"/>
    </xf>
    <xf numFmtId="0" fontId="0" fillId="0" borderId="0" xfId="0" applyAlignment="1"/>
    <xf numFmtId="169" fontId="0" fillId="37" borderId="0" xfId="0" applyNumberFormat="1" applyFont="1" applyFill="1" applyBorder="1" applyAlignment="1">
      <alignment horizontal="right"/>
    </xf>
    <xf numFmtId="0" fontId="23" fillId="37" borderId="33" xfId="0" applyFont="1" applyFill="1" applyBorder="1" applyAlignment="1">
      <alignment horizontal="center"/>
    </xf>
    <xf numFmtId="0" fontId="0" fillId="37" borderId="42" xfId="0" applyFill="1" applyBorder="1" applyAlignment="1">
      <alignment horizontal="center"/>
    </xf>
    <xf numFmtId="0" fontId="23" fillId="37" borderId="33" xfId="0" applyFont="1" applyFill="1" applyBorder="1" applyAlignment="1">
      <alignment horizontal="center"/>
    </xf>
    <xf numFmtId="0" fontId="0" fillId="37" borderId="0" xfId="0" applyFill="1" applyBorder="1" applyAlignment="1">
      <alignment horizontal="center" vertical="center"/>
    </xf>
    <xf numFmtId="0" fontId="0" fillId="36" borderId="0" xfId="0" applyFill="1" applyAlignment="1">
      <alignment horizontal="left" indent="1"/>
    </xf>
    <xf numFmtId="0" fontId="167" fillId="0" borderId="33" xfId="0" applyFont="1" applyBorder="1" applyAlignment="1">
      <alignment wrapText="1"/>
    </xf>
    <xf numFmtId="0" fontId="167" fillId="0" borderId="33" xfId="0" applyFont="1" applyBorder="1" applyAlignment="1">
      <alignment horizontal="center" wrapText="1"/>
    </xf>
    <xf numFmtId="0" fontId="170" fillId="0" borderId="0" xfId="0" applyFont="1"/>
    <xf numFmtId="3" fontId="170" fillId="0" borderId="0" xfId="0" applyNumberFormat="1" applyFont="1" applyAlignment="1">
      <alignment horizontal="center"/>
    </xf>
    <xf numFmtId="0" fontId="170" fillId="0" borderId="35" xfId="0" applyFont="1" applyBorder="1"/>
    <xf numFmtId="3" fontId="170" fillId="0" borderId="35" xfId="0" applyNumberFormat="1" applyFont="1" applyBorder="1" applyAlignment="1">
      <alignment horizontal="center"/>
    </xf>
    <xf numFmtId="0" fontId="167" fillId="0" borderId="35" xfId="0" applyFont="1" applyFill="1" applyBorder="1"/>
    <xf numFmtId="3" fontId="167" fillId="0" borderId="35" xfId="0" applyNumberFormat="1" applyFont="1" applyBorder="1"/>
    <xf numFmtId="170" fontId="111" fillId="0" borderId="0" xfId="96" applyNumberFormat="1" applyFont="1" applyFill="1" applyBorder="1" applyAlignment="1">
      <alignment horizontal="right" vertical="center"/>
    </xf>
    <xf numFmtId="170" fontId="111" fillId="0" borderId="0" xfId="96" applyNumberFormat="1" applyFont="1" applyFill="1" applyBorder="1" applyAlignment="1">
      <alignment horizontal="right" vertical="center" shrinkToFit="1"/>
    </xf>
    <xf numFmtId="170" fontId="114" fillId="0" borderId="33" xfId="96" applyNumberFormat="1" applyFont="1" applyFill="1" applyBorder="1" applyAlignment="1">
      <alignment horizontal="right" vertical="center"/>
    </xf>
    <xf numFmtId="0" fontId="23" fillId="37" borderId="56" xfId="0" applyFont="1" applyFill="1" applyBorder="1" applyAlignment="1">
      <alignment horizontal="left"/>
    </xf>
    <xf numFmtId="3" fontId="0" fillId="37" borderId="35" xfId="0" applyNumberFormat="1" applyFill="1" applyBorder="1" applyAlignment="1">
      <alignment horizontal="center"/>
    </xf>
    <xf numFmtId="169" fontId="0" fillId="37" borderId="35" xfId="0" applyNumberFormat="1" applyFill="1" applyBorder="1" applyAlignment="1">
      <alignment horizontal="center"/>
    </xf>
    <xf numFmtId="0" fontId="23" fillId="53" borderId="33" xfId="0" applyFont="1" applyFill="1" applyBorder="1" applyAlignment="1">
      <alignment horizontal="center" vertical="center" wrapText="1"/>
    </xf>
    <xf numFmtId="0" fontId="0" fillId="53" borderId="0" xfId="0" applyFill="1"/>
    <xf numFmtId="3" fontId="23" fillId="53" borderId="0" xfId="0" applyNumberFormat="1" applyFont="1" applyFill="1" applyBorder="1" applyAlignment="1">
      <alignment horizontal="right"/>
    </xf>
    <xf numFmtId="3" fontId="23" fillId="53" borderId="35" xfId="0" applyNumberFormat="1" applyFont="1" applyFill="1" applyBorder="1" applyAlignment="1">
      <alignment horizontal="right"/>
    </xf>
    <xf numFmtId="10" fontId="4" fillId="53" borderId="35" xfId="102" applyNumberFormat="1" applyFont="1" applyFill="1" applyBorder="1" applyAlignment="1">
      <alignment horizontal="right"/>
    </xf>
    <xf numFmtId="3" fontId="0" fillId="53" borderId="0" xfId="0" applyNumberFormat="1" applyFont="1" applyFill="1" applyBorder="1" applyAlignment="1">
      <alignment horizontal="right"/>
    </xf>
    <xf numFmtId="0" fontId="0" fillId="53" borderId="44" xfId="0" applyFont="1" applyFill="1" applyBorder="1" applyAlignment="1">
      <alignment horizontal="right"/>
    </xf>
    <xf numFmtId="3" fontId="41" fillId="53" borderId="0" xfId="0" applyNumberFormat="1" applyFont="1" applyFill="1" applyBorder="1" applyAlignment="1">
      <alignment horizontal="right"/>
    </xf>
    <xf numFmtId="3" fontId="23" fillId="53" borderId="49" xfId="0" applyNumberFormat="1" applyFont="1" applyFill="1" applyBorder="1"/>
    <xf numFmtId="1" fontId="0" fillId="0" borderId="0" xfId="0" applyNumberFormat="1" applyAlignment="1">
      <alignment horizontal="center" vertical="center"/>
    </xf>
    <xf numFmtId="0" fontId="23" fillId="0" borderId="0" xfId="0" applyFont="1" applyFill="1" applyBorder="1" applyAlignment="1">
      <alignment horizontal="center" vertical="center" wrapText="1"/>
    </xf>
    <xf numFmtId="169" fontId="0" fillId="37" borderId="0" xfId="0" applyNumberFormat="1" applyFont="1" applyFill="1" applyBorder="1" applyAlignment="1">
      <alignment horizontal="center"/>
    </xf>
    <xf numFmtId="0" fontId="0" fillId="54" borderId="0" xfId="0" applyFill="1"/>
    <xf numFmtId="2" fontId="0" fillId="37" borderId="0" xfId="0" applyNumberFormat="1" applyFill="1"/>
    <xf numFmtId="37" fontId="0" fillId="37" borderId="0" xfId="49" applyNumberFormat="1" applyFont="1" applyFill="1"/>
    <xf numFmtId="167" fontId="0" fillId="37" borderId="0" xfId="0" applyNumberFormat="1" applyFill="1"/>
    <xf numFmtId="0" fontId="37" fillId="37" borderId="42" xfId="0" applyFont="1" applyFill="1" applyBorder="1" applyAlignment="1">
      <alignment horizontal="center"/>
    </xf>
    <xf numFmtId="10" fontId="69" fillId="37" borderId="42" xfId="0" applyNumberFormat="1" applyFont="1" applyFill="1" applyBorder="1" applyAlignment="1" applyProtection="1">
      <alignment horizontal="center"/>
      <protection locked="0"/>
    </xf>
    <xf numFmtId="10" fontId="36" fillId="37" borderId="42" xfId="0" applyNumberFormat="1" applyFont="1" applyFill="1" applyBorder="1" applyAlignment="1" applyProtection="1">
      <alignment horizontal="center"/>
      <protection locked="0"/>
    </xf>
    <xf numFmtId="166" fontId="68" fillId="37" borderId="42" xfId="0" applyNumberFormat="1" applyFont="1" applyFill="1" applyBorder="1" applyAlignment="1">
      <alignment horizontal="center"/>
    </xf>
    <xf numFmtId="167" fontId="70" fillId="37" borderId="42" xfId="0" applyNumberFormat="1" applyFont="1" applyFill="1" applyBorder="1" applyAlignment="1">
      <alignment horizontal="center"/>
    </xf>
    <xf numFmtId="173" fontId="0" fillId="37" borderId="42" xfId="0" applyNumberFormat="1" applyFill="1" applyBorder="1" applyAlignment="1">
      <alignment horizontal="center"/>
    </xf>
    <xf numFmtId="2" fontId="83" fillId="0" borderId="0" xfId="0" applyNumberFormat="1" applyFont="1" applyAlignment="1">
      <alignment horizontal="center"/>
    </xf>
    <xf numFmtId="2" fontId="83" fillId="0" borderId="0" xfId="0" applyNumberFormat="1" applyFont="1" applyBorder="1" applyAlignment="1">
      <alignment horizontal="center"/>
    </xf>
    <xf numFmtId="169" fontId="23" fillId="0" borderId="33" xfId="0" applyNumberFormat="1" applyFont="1" applyFill="1" applyBorder="1" applyAlignment="1">
      <alignment horizontal="center"/>
    </xf>
    <xf numFmtId="169" fontId="0" fillId="0" borderId="0" xfId="0" applyNumberFormat="1" applyFill="1" applyBorder="1" applyAlignment="1">
      <alignment horizontal="center"/>
    </xf>
    <xf numFmtId="3" fontId="111" fillId="0" borderId="0" xfId="96" applyNumberFormat="1" applyFont="1" applyFill="1" applyBorder="1" applyAlignment="1">
      <alignment horizontal="center" vertical="center"/>
    </xf>
    <xf numFmtId="169" fontId="111" fillId="0" borderId="0" xfId="96" applyNumberFormat="1" applyFont="1" applyFill="1" applyBorder="1" applyAlignment="1">
      <alignment horizontal="center" vertical="center"/>
    </xf>
    <xf numFmtId="4" fontId="111" fillId="0" borderId="0" xfId="96" applyNumberFormat="1" applyFont="1" applyFill="1" applyBorder="1" applyAlignment="1">
      <alignment horizontal="center" vertical="center"/>
    </xf>
    <xf numFmtId="3" fontId="111" fillId="0" borderId="0" xfId="96" applyNumberFormat="1" applyFont="1" applyFill="1" applyBorder="1" applyAlignment="1">
      <alignment horizontal="center" vertical="center" shrinkToFit="1"/>
    </xf>
    <xf numFmtId="169" fontId="111" fillId="0" borderId="0" xfId="96" applyNumberFormat="1" applyFont="1" applyFill="1" applyBorder="1" applyAlignment="1">
      <alignment horizontal="center" vertical="center" shrinkToFit="1"/>
    </xf>
    <xf numFmtId="4" fontId="111" fillId="0" borderId="0" xfId="96" applyNumberFormat="1" applyFont="1" applyFill="1" applyBorder="1" applyAlignment="1">
      <alignment horizontal="center" vertical="center" shrinkToFit="1"/>
    </xf>
    <xf numFmtId="3" fontId="114" fillId="0" borderId="33" xfId="96" applyNumberFormat="1" applyFont="1" applyFill="1" applyBorder="1" applyAlignment="1">
      <alignment horizontal="center" vertical="center"/>
    </xf>
    <xf numFmtId="169" fontId="114" fillId="0" borderId="33" xfId="96" applyNumberFormat="1" applyFont="1" applyFill="1" applyBorder="1" applyAlignment="1">
      <alignment horizontal="center" vertical="center"/>
    </xf>
    <xf numFmtId="4" fontId="114" fillId="0" borderId="33" xfId="96" applyNumberFormat="1" applyFont="1" applyFill="1" applyBorder="1" applyAlignment="1">
      <alignment horizontal="center" vertical="center"/>
    </xf>
    <xf numFmtId="3" fontId="23" fillId="0" borderId="35" xfId="0" applyNumberFormat="1" applyFont="1" applyBorder="1" applyAlignment="1"/>
    <xf numFmtId="170" fontId="157" fillId="46" borderId="38" xfId="0" applyNumberFormat="1" applyFont="1" applyFill="1" applyBorder="1" applyAlignment="1"/>
    <xf numFmtId="0" fontId="0" fillId="47" borderId="0" xfId="0" applyFont="1" applyFill="1" applyBorder="1" applyAlignment="1">
      <alignment horizontal="left" indent="1"/>
    </xf>
    <xf numFmtId="0" fontId="0" fillId="47" borderId="0" xfId="0" applyFill="1" applyBorder="1" applyAlignment="1">
      <alignment horizontal="left" indent="1"/>
    </xf>
    <xf numFmtId="3" fontId="41" fillId="47" borderId="0" xfId="0" applyNumberFormat="1" applyFont="1" applyFill="1" applyBorder="1" applyAlignment="1">
      <alignment horizontal="center"/>
    </xf>
    <xf numFmtId="169" fontId="0" fillId="47" borderId="0" xfId="0" applyNumberFormat="1" applyFill="1" applyBorder="1" applyAlignment="1">
      <alignment horizontal="center"/>
    </xf>
    <xf numFmtId="3" fontId="0" fillId="47" borderId="0" xfId="0" applyNumberFormat="1" applyFill="1" applyBorder="1" applyAlignment="1">
      <alignment horizontal="center"/>
    </xf>
    <xf numFmtId="0" fontId="0" fillId="47" borderId="22" xfId="0" applyFont="1" applyFill="1" applyBorder="1" applyAlignment="1">
      <alignment horizontal="left" indent="1"/>
    </xf>
    <xf numFmtId="0" fontId="0" fillId="47" borderId="22" xfId="0" applyFill="1" applyBorder="1" applyAlignment="1">
      <alignment horizontal="left" indent="1"/>
    </xf>
    <xf numFmtId="3" fontId="0" fillId="47" borderId="22" xfId="0" applyNumberFormat="1" applyFill="1" applyBorder="1" applyAlignment="1">
      <alignment horizontal="center"/>
    </xf>
    <xf numFmtId="169" fontId="0" fillId="47" borderId="22" xfId="0" applyNumberFormat="1" applyFill="1" applyBorder="1" applyAlignment="1">
      <alignment horizontal="center"/>
    </xf>
    <xf numFmtId="0" fontId="67" fillId="37" borderId="34" xfId="0" applyFont="1" applyFill="1" applyBorder="1" applyAlignment="1"/>
    <xf numFmtId="0" fontId="67" fillId="37" borderId="35" xfId="0" applyFont="1" applyFill="1" applyBorder="1" applyAlignment="1"/>
    <xf numFmtId="0" fontId="67" fillId="37" borderId="36" xfId="0" applyFont="1" applyFill="1" applyBorder="1" applyAlignment="1"/>
    <xf numFmtId="0" fontId="37" fillId="37" borderId="61" xfId="0" applyFont="1" applyFill="1" applyBorder="1" applyAlignment="1">
      <alignment horizontal="center"/>
    </xf>
    <xf numFmtId="10" fontId="69" fillId="37" borderId="61" xfId="0" applyNumberFormat="1" applyFont="1" applyFill="1" applyBorder="1" applyAlignment="1" applyProtection="1">
      <alignment horizontal="center"/>
      <protection locked="0"/>
    </xf>
    <xf numFmtId="167" fontId="69" fillId="37" borderId="61" xfId="0" applyNumberFormat="1" applyFont="1" applyFill="1" applyBorder="1" applyAlignment="1">
      <alignment horizontal="center"/>
    </xf>
    <xf numFmtId="3" fontId="37" fillId="37" borderId="0" xfId="0" applyNumberFormat="1" applyFont="1" applyFill="1" applyBorder="1" applyAlignment="1">
      <alignment horizontal="center"/>
    </xf>
    <xf numFmtId="166" fontId="68" fillId="37" borderId="61" xfId="0" applyNumberFormat="1" applyFont="1" applyFill="1" applyBorder="1" applyAlignment="1">
      <alignment horizontal="center"/>
    </xf>
    <xf numFmtId="0" fontId="0" fillId="37" borderId="62" xfId="0" applyFill="1" applyBorder="1" applyAlignment="1"/>
    <xf numFmtId="0" fontId="0" fillId="37" borderId="63" xfId="0" applyFill="1" applyBorder="1" applyAlignment="1"/>
    <xf numFmtId="170" fontId="27" fillId="42" borderId="16" xfId="49" applyNumberFormat="1" applyFont="1" applyFill="1" applyBorder="1"/>
    <xf numFmtId="3" fontId="0" fillId="50" borderId="0" xfId="0" applyNumberFormat="1" applyFill="1" applyBorder="1" applyAlignment="1">
      <alignment vertical="center"/>
    </xf>
    <xf numFmtId="10" fontId="63" fillId="29" borderId="0" xfId="0" applyNumberFormat="1" applyFont="1" applyFill="1" applyAlignment="1">
      <alignment horizontal="center"/>
    </xf>
    <xf numFmtId="3" fontId="23" fillId="37" borderId="35" xfId="0" applyNumberFormat="1" applyFont="1" applyFill="1" applyBorder="1" applyAlignment="1">
      <alignment horizontal="center"/>
    </xf>
    <xf numFmtId="0" fontId="23" fillId="37" borderId="33" xfId="0" applyFont="1" applyFill="1" applyBorder="1" applyAlignment="1">
      <alignment horizontal="center"/>
    </xf>
    <xf numFmtId="4" fontId="58" fillId="37" borderId="0" xfId="0" applyNumberFormat="1" applyFont="1" applyFill="1" applyBorder="1" applyAlignment="1">
      <alignment horizontal="center"/>
    </xf>
    <xf numFmtId="1" fontId="0" fillId="0" borderId="0" xfId="0" applyNumberFormat="1" applyBorder="1" applyAlignment="1"/>
    <xf numFmtId="0" fontId="172" fillId="37" borderId="56" xfId="0" applyFont="1" applyFill="1" applyBorder="1"/>
    <xf numFmtId="0" fontId="172" fillId="37" borderId="46" xfId="0" applyFont="1" applyFill="1" applyBorder="1" applyAlignment="1">
      <alignment horizontal="center"/>
    </xf>
    <xf numFmtId="0" fontId="168" fillId="37" borderId="0" xfId="0" applyFont="1" applyFill="1" applyBorder="1" applyAlignment="1">
      <alignment horizontal="center"/>
    </xf>
    <xf numFmtId="0" fontId="168" fillId="37" borderId="22" xfId="0" applyFont="1" applyFill="1" applyBorder="1" applyAlignment="1">
      <alignment horizontal="center"/>
    </xf>
    <xf numFmtId="0" fontId="168" fillId="37" borderId="56" xfId="0" applyFont="1" applyFill="1" applyBorder="1" applyAlignment="1">
      <alignment horizontal="left" indent="1"/>
    </xf>
    <xf numFmtId="0" fontId="168" fillId="37" borderId="0" xfId="0" applyFont="1" applyFill="1" applyBorder="1" applyAlignment="1"/>
    <xf numFmtId="0" fontId="168" fillId="0" borderId="0" xfId="0" applyFont="1" applyBorder="1" applyAlignment="1"/>
    <xf numFmtId="0" fontId="168" fillId="37" borderId="0" xfId="0" applyFont="1" applyFill="1" applyBorder="1" applyAlignment="1">
      <alignment horizontal="left"/>
    </xf>
    <xf numFmtId="0" fontId="168" fillId="37" borderId="22" xfId="0" applyFont="1" applyFill="1" applyBorder="1"/>
    <xf numFmtId="0" fontId="172" fillId="37" borderId="35" xfId="0" applyFont="1" applyFill="1" applyBorder="1"/>
    <xf numFmtId="0" fontId="168" fillId="37" borderId="0" xfId="0" applyFont="1" applyFill="1" applyBorder="1"/>
    <xf numFmtId="0" fontId="168" fillId="37" borderId="22" xfId="0" applyFont="1" applyFill="1" applyBorder="1" applyAlignment="1"/>
    <xf numFmtId="0" fontId="168" fillId="0" borderId="22" xfId="0" applyFont="1" applyBorder="1"/>
    <xf numFmtId="0" fontId="168" fillId="0" borderId="0" xfId="0" applyFont="1"/>
    <xf numFmtId="0" fontId="0" fillId="56" borderId="0" xfId="0" applyFill="1" applyBorder="1"/>
    <xf numFmtId="0" fontId="0" fillId="57" borderId="0" xfId="0" applyFill="1" applyBorder="1"/>
    <xf numFmtId="0" fontId="0" fillId="55" borderId="0" xfId="0" applyFill="1" applyBorder="1"/>
    <xf numFmtId="3" fontId="0" fillId="55" borderId="0" xfId="0" applyNumberFormat="1" applyFill="1" applyBorder="1"/>
    <xf numFmtId="4" fontId="70" fillId="37" borderId="47" xfId="0" applyNumberFormat="1" applyFont="1" applyFill="1" applyBorder="1" applyAlignment="1">
      <alignment horizontal="center"/>
    </xf>
    <xf numFmtId="4" fontId="70" fillId="37" borderId="0" xfId="0" applyNumberFormat="1" applyFont="1" applyFill="1" applyBorder="1" applyAlignment="1">
      <alignment horizontal="center"/>
    </xf>
    <xf numFmtId="4" fontId="70" fillId="37" borderId="22" xfId="0" applyNumberFormat="1" applyFont="1" applyFill="1" applyBorder="1" applyAlignment="1">
      <alignment horizontal="center"/>
    </xf>
    <xf numFmtId="0" fontId="23" fillId="47" borderId="33" xfId="0" applyFont="1" applyFill="1" applyBorder="1" applyAlignment="1">
      <alignment horizontal="center" vertical="center" wrapText="1"/>
    </xf>
    <xf numFmtId="2" fontId="0" fillId="47" borderId="0" xfId="0" applyNumberFormat="1" applyFill="1" applyAlignment="1">
      <alignment horizontal="center"/>
    </xf>
    <xf numFmtId="3" fontId="23" fillId="47" borderId="0" xfId="0" applyNumberFormat="1" applyFont="1" applyFill="1" applyBorder="1" applyAlignment="1"/>
    <xf numFmtId="4" fontId="23" fillId="47" borderId="0" xfId="0" applyNumberFormat="1" applyFont="1" applyFill="1" applyBorder="1" applyAlignment="1"/>
    <xf numFmtId="3" fontId="0" fillId="47" borderId="0" xfId="0" applyNumberFormat="1" applyFont="1" applyFill="1" applyBorder="1" applyAlignment="1"/>
    <xf numFmtId="4" fontId="0" fillId="47" borderId="0" xfId="0" applyNumberFormat="1" applyFont="1" applyFill="1" applyBorder="1" applyAlignment="1"/>
    <xf numFmtId="0" fontId="0" fillId="47" borderId="44" xfId="0" applyFont="1" applyFill="1" applyBorder="1" applyAlignment="1">
      <alignment horizontal="right"/>
    </xf>
    <xf numFmtId="3" fontId="0" fillId="47" borderId="44" xfId="0" applyNumberFormat="1" applyFont="1" applyFill="1" applyBorder="1" applyAlignment="1">
      <alignment horizontal="right"/>
    </xf>
    <xf numFmtId="3" fontId="23" fillId="47" borderId="0" xfId="0" applyNumberFormat="1" applyFont="1" applyFill="1" applyBorder="1" applyAlignment="1">
      <alignment horizontal="right"/>
    </xf>
    <xf numFmtId="3" fontId="0" fillId="47" borderId="0" xfId="0" applyNumberFormat="1" applyFont="1" applyFill="1" applyBorder="1" applyAlignment="1">
      <alignment horizontal="right"/>
    </xf>
    <xf numFmtId="3" fontId="41" fillId="47" borderId="0" xfId="0" applyNumberFormat="1" applyFont="1" applyFill="1" applyBorder="1" applyAlignment="1">
      <alignment horizontal="right"/>
    </xf>
    <xf numFmtId="4" fontId="41" fillId="47" borderId="0" xfId="0" applyNumberFormat="1" applyFont="1" applyFill="1" applyBorder="1" applyAlignment="1">
      <alignment horizontal="right"/>
    </xf>
    <xf numFmtId="0" fontId="23" fillId="0" borderId="35" xfId="0" applyFont="1" applyBorder="1" applyAlignment="1">
      <alignment horizontal="center"/>
    </xf>
    <xf numFmtId="3" fontId="23" fillId="0" borderId="35" xfId="0" applyNumberFormat="1" applyFont="1" applyBorder="1"/>
    <xf numFmtId="0" fontId="153" fillId="49" borderId="22" xfId="0" applyFont="1" applyFill="1" applyBorder="1" applyAlignment="1">
      <alignment horizontal="center"/>
    </xf>
    <xf numFmtId="2" fontId="0" fillId="0" borderId="0" xfId="0" applyNumberFormat="1" applyFont="1" applyAlignment="1">
      <alignment horizontal="center"/>
    </xf>
    <xf numFmtId="3" fontId="23" fillId="0" borderId="35" xfId="0" applyNumberFormat="1" applyFont="1" applyBorder="1" applyAlignment="1">
      <alignment horizontal="center"/>
    </xf>
    <xf numFmtId="1" fontId="0" fillId="0" borderId="0" xfId="0" applyNumberFormat="1" applyFont="1" applyAlignment="1">
      <alignment horizontal="center"/>
    </xf>
    <xf numFmtId="3" fontId="0" fillId="0" borderId="0" xfId="0" applyNumberFormat="1" applyFont="1" applyBorder="1" applyAlignment="1">
      <alignment horizontal="center"/>
    </xf>
    <xf numFmtId="0" fontId="23" fillId="0" borderId="22" xfId="0" applyFont="1" applyBorder="1" applyAlignment="1">
      <alignment horizontal="left" vertical="center" indent="1"/>
    </xf>
    <xf numFmtId="2" fontId="23" fillId="0" borderId="22" xfId="0" applyNumberFormat="1" applyFont="1" applyBorder="1" applyAlignment="1">
      <alignment horizontal="center"/>
    </xf>
    <xf numFmtId="3" fontId="23" fillId="0" borderId="22" xfId="0" applyNumberFormat="1" applyFont="1" applyBorder="1" applyAlignment="1">
      <alignment horizontal="center"/>
    </xf>
    <xf numFmtId="10" fontId="4" fillId="0" borderId="35" xfId="102" applyNumberFormat="1" applyFont="1" applyBorder="1" applyAlignment="1">
      <alignment horizontal="center"/>
    </xf>
    <xf numFmtId="0" fontId="36" fillId="37" borderId="42" xfId="0" applyFont="1" applyFill="1" applyBorder="1" applyAlignment="1">
      <alignment horizontal="center" wrapText="1"/>
    </xf>
    <xf numFmtId="0" fontId="0" fillId="0" borderId="56" xfId="0" applyBorder="1"/>
    <xf numFmtId="0" fontId="0" fillId="37" borderId="35" xfId="0" applyFont="1" applyFill="1" applyBorder="1" applyAlignment="1">
      <alignment horizontal="left" indent="1"/>
    </xf>
    <xf numFmtId="0" fontId="0" fillId="37" borderId="35" xfId="0" applyFill="1" applyBorder="1" applyAlignment="1">
      <alignment horizontal="left" indent="1"/>
    </xf>
    <xf numFmtId="170" fontId="0" fillId="0" borderId="35" xfId="0" applyNumberFormat="1" applyBorder="1" applyAlignment="1">
      <alignment horizontal="center"/>
    </xf>
    <xf numFmtId="10" fontId="0" fillId="0" borderId="0" xfId="102" applyNumberFormat="1" applyFont="1"/>
    <xf numFmtId="0" fontId="152" fillId="37" borderId="0" xfId="0" applyFont="1" applyFill="1" applyAlignment="1">
      <alignment horizontal="center"/>
    </xf>
    <xf numFmtId="0" fontId="23" fillId="0" borderId="22" xfId="0" applyFont="1" applyBorder="1"/>
    <xf numFmtId="3" fontId="0" fillId="0" borderId="22" xfId="0" applyNumberFormat="1" applyFont="1" applyBorder="1"/>
    <xf numFmtId="3" fontId="23" fillId="0" borderId="22" xfId="0" applyNumberFormat="1" applyFont="1" applyBorder="1"/>
    <xf numFmtId="3" fontId="0" fillId="0" borderId="35" xfId="0" applyNumberFormat="1" applyFont="1" applyBorder="1"/>
    <xf numFmtId="0" fontId="0" fillId="37" borderId="22" xfId="0" applyFont="1" applyFill="1" applyBorder="1" applyAlignment="1">
      <alignment horizontal="left" vertical="center" wrapText="1"/>
    </xf>
    <xf numFmtId="3" fontId="0" fillId="37" borderId="22" xfId="0" applyNumberFormat="1" applyFont="1" applyFill="1" applyBorder="1" applyAlignment="1">
      <alignment horizontal="center" vertical="center" wrapText="1"/>
    </xf>
    <xf numFmtId="166" fontId="0" fillId="37" borderId="22" xfId="0" applyNumberFormat="1" applyFont="1" applyFill="1" applyBorder="1" applyAlignment="1">
      <alignment horizontal="center" vertical="center"/>
    </xf>
    <xf numFmtId="3" fontId="0" fillId="37" borderId="22" xfId="0" applyNumberFormat="1" applyFont="1" applyFill="1" applyBorder="1" applyAlignment="1">
      <alignment horizontal="center" vertical="center"/>
    </xf>
    <xf numFmtId="3" fontId="0" fillId="37" borderId="35" xfId="0" applyNumberFormat="1" applyFill="1" applyBorder="1"/>
    <xf numFmtId="4" fontId="0" fillId="37" borderId="0" xfId="0" applyNumberFormat="1" applyFont="1" applyFill="1" applyBorder="1" applyAlignment="1">
      <alignment horizontal="center"/>
    </xf>
    <xf numFmtId="3" fontId="0" fillId="0" borderId="0" xfId="0" applyNumberFormat="1" applyFont="1" applyAlignment="1">
      <alignment horizontal="center"/>
    </xf>
    <xf numFmtId="4" fontId="0" fillId="0" borderId="0" xfId="0" applyNumberFormat="1" applyFont="1" applyAlignment="1">
      <alignment horizontal="center"/>
    </xf>
    <xf numFmtId="4" fontId="23" fillId="37" borderId="35" xfId="0" applyNumberFormat="1" applyFont="1" applyFill="1" applyBorder="1" applyAlignment="1">
      <alignment horizontal="center"/>
    </xf>
    <xf numFmtId="4" fontId="0" fillId="0" borderId="0" xfId="0" applyNumberFormat="1" applyAlignment="1">
      <alignment horizontal="center"/>
    </xf>
    <xf numFmtId="10" fontId="131" fillId="37" borderId="0" xfId="102" applyNumberFormat="1" applyFont="1" applyFill="1" applyBorder="1" applyAlignment="1">
      <alignment horizontal="right"/>
    </xf>
    <xf numFmtId="0" fontId="78" fillId="52" borderId="0" xfId="98" applyFont="1" applyFill="1"/>
    <xf numFmtId="0" fontId="78" fillId="52" borderId="0" xfId="98" applyFont="1" applyFill="1" applyBorder="1" applyAlignment="1">
      <alignment horizontal="right"/>
    </xf>
    <xf numFmtId="166" fontId="78" fillId="52" borderId="0" xfId="98" applyNumberFormat="1" applyFont="1" applyFill="1"/>
    <xf numFmtId="3" fontId="23" fillId="56" borderId="0" xfId="0" applyNumberFormat="1" applyFont="1" applyFill="1" applyBorder="1" applyAlignment="1">
      <alignment horizontal="center"/>
    </xf>
    <xf numFmtId="3" fontId="0" fillId="56" borderId="0" xfId="0" applyNumberFormat="1" applyFont="1" applyFill="1" applyBorder="1" applyAlignment="1">
      <alignment horizontal="center"/>
    </xf>
    <xf numFmtId="3" fontId="23" fillId="56" borderId="35" xfId="0" applyNumberFormat="1" applyFont="1" applyFill="1" applyBorder="1" applyAlignment="1">
      <alignment horizontal="center"/>
    </xf>
    <xf numFmtId="0" fontId="0" fillId="56" borderId="0" xfId="0" applyFill="1" applyAlignment="1">
      <alignment horizontal="center"/>
    </xf>
    <xf numFmtId="3" fontId="23" fillId="56" borderId="22" xfId="0" applyNumberFormat="1" applyFont="1" applyFill="1" applyBorder="1" applyAlignment="1">
      <alignment horizontal="center"/>
    </xf>
    <xf numFmtId="167" fontId="0" fillId="36" borderId="0" xfId="0" applyNumberFormat="1" applyFill="1"/>
    <xf numFmtId="3" fontId="0" fillId="36" borderId="0" xfId="0" applyNumberFormat="1" applyFont="1" applyFill="1" applyBorder="1" applyAlignment="1">
      <alignment horizontal="center"/>
    </xf>
    <xf numFmtId="3" fontId="49" fillId="56" borderId="0" xfId="0" applyNumberFormat="1" applyFont="1" applyFill="1" applyBorder="1" applyAlignment="1">
      <alignment horizontal="center"/>
    </xf>
    <xf numFmtId="0" fontId="23" fillId="37" borderId="46" xfId="0" applyFont="1" applyFill="1" applyBorder="1" applyAlignment="1">
      <alignment horizontal="left"/>
    </xf>
    <xf numFmtId="0" fontId="23" fillId="37" borderId="22" xfId="0" applyFont="1" applyFill="1" applyBorder="1" applyAlignment="1">
      <alignment horizontal="right"/>
    </xf>
    <xf numFmtId="0" fontId="23" fillId="37" borderId="62" xfId="0" applyFont="1" applyFill="1" applyBorder="1" applyAlignment="1">
      <alignment horizontal="right"/>
    </xf>
    <xf numFmtId="10" fontId="0" fillId="55" borderId="35" xfId="0" applyNumberFormat="1" applyFill="1" applyBorder="1"/>
    <xf numFmtId="2" fontId="0" fillId="49" borderId="35" xfId="0" applyNumberFormat="1" applyFill="1" applyBorder="1"/>
    <xf numFmtId="0" fontId="0" fillId="37" borderId="63" xfId="0" applyFill="1" applyBorder="1"/>
    <xf numFmtId="180" fontId="41" fillId="37" borderId="45" xfId="100" applyNumberFormat="1" applyFont="1" applyFill="1" applyBorder="1" applyAlignment="1">
      <alignment horizontal="center"/>
    </xf>
    <xf numFmtId="173" fontId="0" fillId="37" borderId="45" xfId="0" applyNumberFormat="1" applyFill="1" applyBorder="1" applyAlignment="1">
      <alignment horizontal="center"/>
    </xf>
    <xf numFmtId="3" fontId="23" fillId="37" borderId="35" xfId="0" applyNumberFormat="1" applyFont="1" applyFill="1" applyBorder="1" applyAlignment="1">
      <alignment horizontal="center"/>
    </xf>
    <xf numFmtId="10" fontId="128" fillId="36" borderId="45" xfId="98" applyNumberFormat="1" applyFont="1" applyFill="1" applyBorder="1" applyAlignment="1">
      <alignment horizontal="center"/>
    </xf>
    <xf numFmtId="1" fontId="85" fillId="0" borderId="0" xfId="0" applyNumberFormat="1" applyFont="1"/>
    <xf numFmtId="1" fontId="174" fillId="0" borderId="0" xfId="0" applyNumberFormat="1" applyFont="1"/>
    <xf numFmtId="1" fontId="174" fillId="0" borderId="0" xfId="0" applyNumberFormat="1" applyFont="1" applyAlignment="1">
      <alignment horizontal="center"/>
    </xf>
    <xf numFmtId="0" fontId="23" fillId="37" borderId="33" xfId="0" applyFont="1" applyFill="1" applyBorder="1" applyAlignment="1">
      <alignment horizontal="center"/>
    </xf>
    <xf numFmtId="169" fontId="23" fillId="0" borderId="0" xfId="0" applyNumberFormat="1" applyFont="1" applyBorder="1" applyAlignment="1">
      <alignment horizontal="center"/>
    </xf>
    <xf numFmtId="10" fontId="4" fillId="47" borderId="35" xfId="102" applyNumberFormat="1" applyFont="1" applyFill="1" applyBorder="1" applyAlignment="1">
      <alignment horizontal="right"/>
    </xf>
    <xf numFmtId="169" fontId="50" fillId="37" borderId="0" xfId="0" applyNumberFormat="1" applyFont="1" applyFill="1" applyAlignment="1">
      <alignment horizontal="center" vertical="center"/>
    </xf>
    <xf numFmtId="170" fontId="50" fillId="37" borderId="0" xfId="0" applyNumberFormat="1" applyFont="1" applyFill="1" applyAlignment="1">
      <alignment horizontal="center" vertical="center"/>
    </xf>
    <xf numFmtId="169" fontId="52" fillId="37" borderId="22" xfId="0" applyNumberFormat="1" applyFont="1" applyFill="1" applyBorder="1" applyAlignment="1">
      <alignment horizontal="center" vertical="center"/>
    </xf>
    <xf numFmtId="1" fontId="0" fillId="37" borderId="0" xfId="0" applyNumberFormat="1" applyFill="1" applyBorder="1" applyAlignment="1">
      <alignment horizontal="right" vertical="center" wrapText="1"/>
    </xf>
    <xf numFmtId="0" fontId="77" fillId="0" borderId="0" xfId="98" applyFont="1" applyFill="1" applyAlignment="1">
      <alignment horizontal="left"/>
    </xf>
    <xf numFmtId="0" fontId="78" fillId="0" borderId="33" xfId="98" applyFont="1" applyFill="1" applyBorder="1" applyAlignment="1">
      <alignment horizontal="center"/>
    </xf>
    <xf numFmtId="10" fontId="128" fillId="0" borderId="45" xfId="98" applyNumberFormat="1" applyFont="1" applyFill="1" applyBorder="1" applyAlignment="1">
      <alignment horizontal="center"/>
    </xf>
    <xf numFmtId="10" fontId="78" fillId="0" borderId="0" xfId="98" applyNumberFormat="1" applyFont="1" applyFill="1" applyBorder="1" applyAlignment="1">
      <alignment horizontal="center"/>
    </xf>
    <xf numFmtId="10" fontId="78" fillId="0" borderId="33" xfId="98" applyNumberFormat="1" applyFont="1" applyFill="1" applyBorder="1" applyAlignment="1">
      <alignment horizontal="center" wrapText="1"/>
    </xf>
    <xf numFmtId="169" fontId="0" fillId="37" borderId="0" xfId="0" applyNumberFormat="1" applyFill="1" applyBorder="1"/>
    <xf numFmtId="1" fontId="0" fillId="36" borderId="0" xfId="0" applyNumberFormat="1" applyFill="1"/>
    <xf numFmtId="0" fontId="23" fillId="37" borderId="33" xfId="0" applyFont="1" applyFill="1" applyBorder="1" applyAlignment="1">
      <alignment horizontal="center" vertical="center" wrapText="1"/>
    </xf>
    <xf numFmtId="0" fontId="23" fillId="37" borderId="0" xfId="0" applyFont="1" applyFill="1" applyBorder="1" applyAlignment="1">
      <alignment horizontal="center" vertical="center" wrapText="1"/>
    </xf>
    <xf numFmtId="0" fontId="0" fillId="37" borderId="0" xfId="0" applyFill="1" applyAlignment="1">
      <alignment horizontal="right"/>
    </xf>
    <xf numFmtId="167" fontId="0" fillId="37" borderId="0" xfId="0" applyNumberFormat="1" applyFont="1" applyFill="1" applyBorder="1" applyAlignment="1">
      <alignment horizontal="right"/>
    </xf>
    <xf numFmtId="3" fontId="0" fillId="37" borderId="44" xfId="0" applyNumberFormat="1" applyFont="1" applyFill="1" applyBorder="1" applyAlignment="1">
      <alignment horizontal="right"/>
    </xf>
    <xf numFmtId="4" fontId="0" fillId="37" borderId="0" xfId="0" applyNumberFormat="1" applyFont="1" applyFill="1" applyBorder="1" applyAlignment="1">
      <alignment horizontal="right"/>
    </xf>
    <xf numFmtId="3" fontId="41" fillId="37" borderId="0" xfId="0" applyNumberFormat="1" applyFont="1" applyFill="1" applyBorder="1" applyAlignment="1">
      <alignment horizontal="right"/>
    </xf>
    <xf numFmtId="3" fontId="23" fillId="37" borderId="49" xfId="0" applyNumberFormat="1" applyFont="1" applyFill="1" applyBorder="1"/>
    <xf numFmtId="0" fontId="0" fillId="50" borderId="89" xfId="0" applyFill="1" applyBorder="1"/>
    <xf numFmtId="0" fontId="0" fillId="50" borderId="90" xfId="0" applyFill="1" applyBorder="1"/>
    <xf numFmtId="0" fontId="0" fillId="0" borderId="91" xfId="0" applyBorder="1"/>
    <xf numFmtId="0" fontId="0" fillId="0" borderId="15" xfId="0" applyBorder="1"/>
    <xf numFmtId="0" fontId="0" fillId="0" borderId="16" xfId="0" applyBorder="1" applyAlignment="1">
      <alignment wrapText="1"/>
    </xf>
    <xf numFmtId="0" fontId="0" fillId="0" borderId="15" xfId="0" applyBorder="1" applyAlignment="1"/>
    <xf numFmtId="0" fontId="0" fillId="0" borderId="16" xfId="0" applyBorder="1"/>
    <xf numFmtId="0" fontId="0" fillId="0" borderId="15" xfId="0" applyBorder="1" applyAlignment="1">
      <alignment horizontal="left" indent="1"/>
    </xf>
    <xf numFmtId="0" fontId="0" fillId="0" borderId="18" xfId="0" applyBorder="1" applyAlignment="1">
      <alignment horizontal="left" indent="1"/>
    </xf>
    <xf numFmtId="3" fontId="0" fillId="0" borderId="87" xfId="0" applyNumberFormat="1" applyBorder="1"/>
    <xf numFmtId="3" fontId="0" fillId="0" borderId="19" xfId="0" applyNumberFormat="1" applyBorder="1"/>
    <xf numFmtId="0" fontId="0" fillId="50" borderId="0" xfId="0" applyFill="1" applyBorder="1"/>
    <xf numFmtId="0" fontId="0" fillId="0" borderId="0" xfId="0" applyFill="1" applyBorder="1"/>
    <xf numFmtId="0" fontId="164" fillId="0" borderId="0" xfId="0" applyFont="1" applyFill="1"/>
    <xf numFmtId="167" fontId="0" fillId="0" borderId="0" xfId="0" applyNumberFormat="1" applyFill="1" applyBorder="1"/>
    <xf numFmtId="0" fontId="58" fillId="0" borderId="0" xfId="0" applyFont="1" applyFill="1"/>
    <xf numFmtId="0" fontId="0" fillId="0" borderId="22" xfId="0" applyFill="1" applyBorder="1"/>
    <xf numFmtId="0" fontId="164" fillId="0" borderId="22" xfId="0" applyFont="1" applyFill="1" applyBorder="1"/>
    <xf numFmtId="0" fontId="58" fillId="0" borderId="22" xfId="0" applyFont="1" applyFill="1" applyBorder="1"/>
    <xf numFmtId="3" fontId="70" fillId="37" borderId="47" xfId="0" applyNumberFormat="1" applyFont="1" applyFill="1" applyBorder="1" applyAlignment="1">
      <alignment horizontal="center"/>
    </xf>
    <xf numFmtId="3" fontId="70" fillId="37" borderId="0" xfId="0" applyNumberFormat="1" applyFont="1" applyFill="1" applyBorder="1" applyAlignment="1">
      <alignment horizontal="center"/>
    </xf>
    <xf numFmtId="0" fontId="59" fillId="37" borderId="46" xfId="0" applyFont="1" applyFill="1" applyBorder="1" applyAlignment="1">
      <alignment horizontal="center"/>
    </xf>
    <xf numFmtId="4" fontId="41" fillId="37" borderId="47" xfId="0" applyNumberFormat="1" applyFont="1" applyFill="1" applyBorder="1" applyAlignment="1">
      <alignment horizontal="center"/>
    </xf>
    <xf numFmtId="4" fontId="41" fillId="37" borderId="0" xfId="0" applyNumberFormat="1" applyFont="1" applyFill="1" applyBorder="1" applyAlignment="1">
      <alignment horizontal="center"/>
    </xf>
    <xf numFmtId="2" fontId="25" fillId="0" borderId="0" xfId="0" applyNumberFormat="1" applyFont="1" applyFill="1" applyBorder="1"/>
    <xf numFmtId="0" fontId="0" fillId="0" borderId="0" xfId="0" applyFont="1" applyFill="1" applyBorder="1"/>
    <xf numFmtId="3" fontId="58" fillId="0" borderId="0" xfId="0" applyNumberFormat="1" applyFont="1" applyFill="1" applyBorder="1" applyAlignment="1">
      <alignment horizontal="center"/>
    </xf>
    <xf numFmtId="0" fontId="176" fillId="47" borderId="44" xfId="0" applyFont="1" applyFill="1" applyBorder="1"/>
    <xf numFmtId="0" fontId="177" fillId="47" borderId="46" xfId="0" applyFont="1" applyFill="1" applyBorder="1" applyAlignment="1">
      <alignment horizontal="center" vertical="center" wrapText="1"/>
    </xf>
    <xf numFmtId="0" fontId="176" fillId="47" borderId="0" xfId="0" applyFont="1" applyFill="1" applyBorder="1"/>
    <xf numFmtId="3" fontId="177" fillId="47" borderId="0" xfId="0" applyNumberFormat="1" applyFont="1" applyFill="1" applyBorder="1"/>
    <xf numFmtId="3" fontId="176" fillId="47" borderId="0" xfId="0" applyNumberFormat="1" applyFont="1" applyFill="1" applyBorder="1"/>
    <xf numFmtId="3" fontId="176" fillId="47" borderId="22" xfId="0" applyNumberFormat="1" applyFont="1" applyFill="1" applyBorder="1"/>
    <xf numFmtId="0" fontId="0" fillId="36" borderId="45" xfId="0" applyFill="1" applyBorder="1"/>
    <xf numFmtId="3" fontId="23" fillId="47" borderId="22" xfId="0" applyNumberFormat="1" applyFont="1" applyFill="1" applyBorder="1" applyAlignment="1">
      <alignment horizontal="right"/>
    </xf>
    <xf numFmtId="3" fontId="23" fillId="47" borderId="35" xfId="0" applyNumberFormat="1" applyFont="1" applyFill="1" applyBorder="1"/>
    <xf numFmtId="3" fontId="23" fillId="53" borderId="22" xfId="0" applyNumberFormat="1" applyFont="1" applyFill="1" applyBorder="1" applyAlignment="1">
      <alignment horizontal="right"/>
    </xf>
    <xf numFmtId="0" fontId="41" fillId="0" borderId="0" xfId="0" applyFont="1" applyFill="1"/>
    <xf numFmtId="3" fontId="0" fillId="0" borderId="0" xfId="0" applyNumberFormat="1" applyFill="1" applyBorder="1" applyAlignment="1"/>
    <xf numFmtId="169" fontId="0" fillId="0" borderId="22" xfId="0" applyNumberFormat="1" applyFill="1" applyBorder="1" applyAlignment="1">
      <alignment horizontal="right" indent="1"/>
    </xf>
    <xf numFmtId="0" fontId="23" fillId="0" borderId="46" xfId="0" applyFont="1" applyFill="1" applyBorder="1" applyAlignment="1">
      <alignment horizontal="left"/>
    </xf>
    <xf numFmtId="0" fontId="132"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1" fontId="0" fillId="0" borderId="0" xfId="0" applyNumberFormat="1" applyFill="1" applyBorder="1" applyAlignment="1">
      <alignment horizontal="center" vertical="center" wrapText="1"/>
    </xf>
    <xf numFmtId="0" fontId="0" fillId="0" borderId="22" xfId="0" applyFill="1" applyBorder="1" applyAlignment="1">
      <alignment horizontal="center" vertical="center" wrapText="1"/>
    </xf>
    <xf numFmtId="3" fontId="0" fillId="0" borderId="22" xfId="0" applyNumberFormat="1" applyFill="1" applyBorder="1" applyAlignment="1">
      <alignment horizontal="center" vertical="center" wrapText="1"/>
    </xf>
    <xf numFmtId="0" fontId="152" fillId="0" borderId="22" xfId="0" applyFont="1" applyFill="1" applyBorder="1" applyAlignment="1">
      <alignment horizontal="center" vertical="center" wrapText="1"/>
    </xf>
    <xf numFmtId="3" fontId="152" fillId="0" borderId="22" xfId="0" applyNumberFormat="1" applyFont="1" applyFill="1" applyBorder="1" applyAlignment="1">
      <alignment horizontal="center" vertical="center" wrapText="1"/>
    </xf>
    <xf numFmtId="0" fontId="23" fillId="0" borderId="33" xfId="0" applyFont="1" applyFill="1" applyBorder="1"/>
    <xf numFmtId="0" fontId="23" fillId="0" borderId="22" xfId="0" applyFont="1" applyFill="1" applyBorder="1" applyAlignment="1">
      <alignment horizontal="center" vertical="center" wrapText="1"/>
    </xf>
    <xf numFmtId="2" fontId="23" fillId="0" borderId="22" xfId="0" applyNumberFormat="1" applyFont="1" applyFill="1" applyBorder="1" applyAlignment="1">
      <alignment horizontal="center" vertical="center" wrapText="1"/>
    </xf>
    <xf numFmtId="3" fontId="23" fillId="0" borderId="22" xfId="0" applyNumberFormat="1" applyFont="1" applyFill="1" applyBorder="1" applyAlignment="1">
      <alignment horizontal="center" vertical="center" wrapText="1"/>
    </xf>
    <xf numFmtId="10" fontId="41" fillId="37" borderId="0" xfId="102" applyNumberFormat="1" applyFont="1" applyFill="1"/>
    <xf numFmtId="0" fontId="0" fillId="0" borderId="0" xfId="0" applyBorder="1" applyAlignment="1">
      <alignment wrapText="1"/>
    </xf>
    <xf numFmtId="3" fontId="0" fillId="38" borderId="0" xfId="0" applyNumberFormat="1" applyFill="1" applyBorder="1"/>
    <xf numFmtId="167" fontId="0" fillId="0" borderId="0" xfId="0" applyNumberFormat="1" applyBorder="1"/>
    <xf numFmtId="167" fontId="41" fillId="0" borderId="0" xfId="0" applyNumberFormat="1" applyFont="1" applyBorder="1" applyAlignment="1">
      <alignment horizontal="center"/>
    </xf>
    <xf numFmtId="3" fontId="0" fillId="50" borderId="0" xfId="0" applyNumberFormat="1" applyFill="1" applyBorder="1"/>
    <xf numFmtId="175" fontId="0" fillId="37" borderId="0" xfId="0" applyNumberFormat="1" applyFill="1" applyBorder="1"/>
    <xf numFmtId="168" fontId="41" fillId="0" borderId="0" xfId="102" applyNumberFormat="1" applyFont="1" applyBorder="1"/>
    <xf numFmtId="2" fontId="0" fillId="50" borderId="0" xfId="0" applyNumberFormat="1" applyFill="1" applyBorder="1"/>
    <xf numFmtId="0" fontId="0" fillId="47" borderId="0" xfId="0" applyFill="1"/>
    <xf numFmtId="170" fontId="0" fillId="0" borderId="0" xfId="0" applyNumberFormat="1" applyBorder="1"/>
    <xf numFmtId="0" fontId="0" fillId="0" borderId="0" xfId="0" applyBorder="1" applyAlignment="1">
      <alignment horizontal="left"/>
    </xf>
    <xf numFmtId="0" fontId="150" fillId="0" borderId="0" xfId="0" applyFont="1" applyBorder="1"/>
    <xf numFmtId="2" fontId="0" fillId="0" borderId="0" xfId="0" applyNumberFormat="1" applyBorder="1"/>
    <xf numFmtId="0" fontId="171" fillId="0" borderId="0" xfId="0" applyFont="1" applyBorder="1"/>
    <xf numFmtId="3" fontId="0" fillId="58" borderId="0" xfId="0" applyNumberFormat="1" applyFill="1" applyBorder="1"/>
    <xf numFmtId="2" fontId="0" fillId="58" borderId="0" xfId="0" applyNumberFormat="1" applyFill="1" applyBorder="1"/>
    <xf numFmtId="3" fontId="0" fillId="58" borderId="0" xfId="0" applyNumberFormat="1" applyFill="1" applyBorder="1" applyAlignment="1"/>
    <xf numFmtId="2" fontId="0" fillId="47" borderId="0" xfId="0" applyNumberFormat="1" applyFill="1"/>
    <xf numFmtId="0" fontId="23" fillId="47" borderId="0" xfId="0" applyFont="1" applyFill="1" applyBorder="1"/>
    <xf numFmtId="178" fontId="0" fillId="37" borderId="45" xfId="0" applyNumberFormat="1" applyFill="1" applyBorder="1"/>
    <xf numFmtId="2" fontId="0" fillId="37" borderId="42" xfId="0" applyNumberFormat="1" applyFill="1" applyBorder="1" applyAlignment="1">
      <alignment horizontal="center"/>
    </xf>
    <xf numFmtId="173" fontId="0" fillId="37" borderId="0" xfId="0" applyNumberFormat="1" applyFill="1" applyBorder="1"/>
    <xf numFmtId="3" fontId="57" fillId="37" borderId="0" xfId="0" applyNumberFormat="1" applyFont="1" applyFill="1" applyBorder="1" applyAlignment="1">
      <alignment horizontal="center"/>
    </xf>
    <xf numFmtId="0" fontId="86" fillId="0" borderId="33" xfId="0" applyFont="1" applyBorder="1"/>
    <xf numFmtId="0" fontId="86" fillId="0" borderId="33" xfId="0" applyFont="1" applyBorder="1" applyAlignment="1">
      <alignment horizontal="center"/>
    </xf>
    <xf numFmtId="170" fontId="0" fillId="0" borderId="0" xfId="0" applyNumberFormat="1" applyAlignment="1">
      <alignment horizontal="center"/>
    </xf>
    <xf numFmtId="0" fontId="0" fillId="0" borderId="22" xfId="0" applyFont="1" applyBorder="1"/>
    <xf numFmtId="0" fontId="0" fillId="0" borderId="22" xfId="0" applyBorder="1" applyAlignment="1">
      <alignment horizontal="center"/>
    </xf>
    <xf numFmtId="4" fontId="0" fillId="0" borderId="22" xfId="0" applyNumberFormat="1" applyBorder="1" applyAlignment="1">
      <alignment horizontal="center"/>
    </xf>
    <xf numFmtId="3" fontId="0" fillId="37" borderId="0" xfId="0" applyNumberFormat="1" applyFill="1" applyBorder="1" applyAlignment="1">
      <alignment horizontal="left" vertical="center" wrapText="1"/>
    </xf>
    <xf numFmtId="2" fontId="0" fillId="37" borderId="0" xfId="0" applyNumberFormat="1" applyFill="1" applyAlignment="1">
      <alignment horizontal="left"/>
    </xf>
    <xf numFmtId="171" fontId="0" fillId="37" borderId="0" xfId="0" applyNumberFormat="1" applyFill="1" applyBorder="1"/>
    <xf numFmtId="0" fontId="41" fillId="0" borderId="0" xfId="0" applyFont="1" applyBorder="1" applyAlignment="1">
      <alignment horizontal="center"/>
    </xf>
    <xf numFmtId="0" fontId="1" fillId="37" borderId="0" xfId="98" applyFont="1" applyFill="1"/>
    <xf numFmtId="0" fontId="52" fillId="37" borderId="35" xfId="0" applyFont="1" applyFill="1" applyBorder="1" applyAlignment="1">
      <alignment horizontal="center" vertical="center"/>
    </xf>
    <xf numFmtId="0" fontId="23" fillId="37" borderId="33" xfId="0" applyFont="1" applyFill="1" applyBorder="1" applyAlignment="1">
      <alignment horizontal="center"/>
    </xf>
    <xf numFmtId="0" fontId="0" fillId="37" borderId="22" xfId="0" applyFont="1" applyFill="1" applyBorder="1" applyAlignment="1">
      <alignment horizontal="center"/>
    </xf>
    <xf numFmtId="0" fontId="23" fillId="37" borderId="35" xfId="0" applyFont="1" applyFill="1" applyBorder="1" applyAlignment="1">
      <alignment horizontal="center"/>
    </xf>
    <xf numFmtId="0" fontId="0" fillId="37" borderId="56" xfId="0" applyFill="1" applyBorder="1" applyAlignment="1">
      <alignment horizontal="center"/>
    </xf>
    <xf numFmtId="3" fontId="23" fillId="37" borderId="35" xfId="0" applyNumberFormat="1" applyFont="1" applyFill="1" applyBorder="1" applyAlignment="1">
      <alignment horizontal="center"/>
    </xf>
    <xf numFmtId="0" fontId="23" fillId="37" borderId="56" xfId="0" applyFont="1" applyFill="1" applyBorder="1" applyAlignment="1">
      <alignment horizontal="center"/>
    </xf>
    <xf numFmtId="0" fontId="0" fillId="37" borderId="33" xfId="0" applyFill="1" applyBorder="1" applyAlignment="1">
      <alignment horizontal="center"/>
    </xf>
    <xf numFmtId="0" fontId="23" fillId="37" borderId="33" xfId="0" applyFont="1" applyFill="1" applyBorder="1" applyAlignment="1">
      <alignment horizontal="center" wrapText="1"/>
    </xf>
    <xf numFmtId="0" fontId="170" fillId="0" borderId="14" xfId="0" applyFont="1" applyBorder="1" applyAlignment="1">
      <alignment horizontal="center" vertical="center" wrapText="1"/>
    </xf>
    <xf numFmtId="0" fontId="170" fillId="0" borderId="20" xfId="0" applyFont="1" applyBorder="1" applyAlignment="1">
      <alignment horizontal="center" vertical="center"/>
    </xf>
    <xf numFmtId="0" fontId="0" fillId="0" borderId="0" xfId="0" applyBorder="1" applyAlignment="1">
      <alignment horizontal="center" vertical="top"/>
    </xf>
    <xf numFmtId="0" fontId="171" fillId="37" borderId="89" xfId="0" applyFont="1" applyFill="1" applyBorder="1" applyAlignment="1">
      <alignment horizontal="center" vertical="center"/>
    </xf>
    <xf numFmtId="0" fontId="171" fillId="37" borderId="90" xfId="0" applyFont="1" applyFill="1" applyBorder="1" applyAlignment="1">
      <alignment horizontal="center" vertical="center"/>
    </xf>
    <xf numFmtId="0" fontId="171" fillId="37" borderId="91" xfId="0" applyFont="1" applyFill="1" applyBorder="1" applyAlignment="1">
      <alignment horizontal="center" vertical="center"/>
    </xf>
    <xf numFmtId="0" fontId="171" fillId="37" borderId="15" xfId="0" applyFont="1" applyFill="1" applyBorder="1" applyAlignment="1">
      <alignment horizontal="center" vertical="center"/>
    </xf>
    <xf numFmtId="0" fontId="171" fillId="37" borderId="0" xfId="0" applyFont="1" applyFill="1" applyBorder="1" applyAlignment="1">
      <alignment horizontal="center" vertical="center"/>
    </xf>
    <xf numFmtId="0" fontId="171" fillId="37" borderId="16" xfId="0" applyFont="1" applyFill="1" applyBorder="1" applyAlignment="1">
      <alignment horizontal="center" vertical="center"/>
    </xf>
    <xf numFmtId="0" fontId="171" fillId="37" borderId="18" xfId="0" applyFont="1" applyFill="1" applyBorder="1" applyAlignment="1">
      <alignment horizontal="center" vertical="center"/>
    </xf>
    <xf numFmtId="0" fontId="171" fillId="37" borderId="87" xfId="0" applyFont="1" applyFill="1" applyBorder="1" applyAlignment="1">
      <alignment horizontal="center" vertical="center"/>
    </xf>
    <xf numFmtId="0" fontId="171" fillId="37" borderId="19" xfId="0" applyFont="1" applyFill="1" applyBorder="1" applyAlignment="1">
      <alignment horizontal="center" vertical="center"/>
    </xf>
    <xf numFmtId="3" fontId="23" fillId="37" borderId="56" xfId="0" applyNumberFormat="1" applyFont="1" applyFill="1" applyBorder="1" applyAlignment="1">
      <alignment horizontal="center"/>
    </xf>
    <xf numFmtId="0" fontId="171" fillId="0" borderId="89" xfId="0" applyFont="1" applyBorder="1" applyAlignment="1">
      <alignment horizontal="center" vertical="center"/>
    </xf>
    <xf numFmtId="0" fontId="171" fillId="0" borderId="91" xfId="0" applyFont="1" applyBorder="1" applyAlignment="1">
      <alignment horizontal="center" vertical="center"/>
    </xf>
    <xf numFmtId="0" fontId="171" fillId="0" borderId="18" xfId="0" applyFont="1" applyBorder="1" applyAlignment="1">
      <alignment horizontal="center" vertical="center"/>
    </xf>
    <xf numFmtId="0" fontId="171" fillId="0" borderId="19" xfId="0" applyFont="1" applyBorder="1" applyAlignment="1">
      <alignment horizontal="center" vertical="center"/>
    </xf>
    <xf numFmtId="0" fontId="52" fillId="0" borderId="35" xfId="0" applyFont="1" applyBorder="1" applyAlignment="1">
      <alignment horizontal="center"/>
    </xf>
    <xf numFmtId="0" fontId="0" fillId="0" borderId="44" xfId="0" applyFont="1" applyBorder="1" applyAlignment="1">
      <alignment horizontal="center"/>
    </xf>
    <xf numFmtId="0" fontId="170" fillId="0" borderId="89" xfId="0" applyFont="1" applyBorder="1" applyAlignment="1">
      <alignment horizontal="center" vertical="center" wrapText="1"/>
    </xf>
    <xf numFmtId="0" fontId="170" fillId="0" borderId="91" xfId="0" applyFont="1" applyBorder="1" applyAlignment="1">
      <alignment horizontal="center" vertical="center"/>
    </xf>
    <xf numFmtId="0" fontId="170" fillId="0" borderId="18" xfId="0" applyFont="1" applyBorder="1" applyAlignment="1">
      <alignment horizontal="center" vertical="center"/>
    </xf>
    <xf numFmtId="0" fontId="170" fillId="0" borderId="19" xfId="0" applyFont="1" applyBorder="1" applyAlignment="1">
      <alignment horizontal="center" vertical="center"/>
    </xf>
    <xf numFmtId="0" fontId="171" fillId="0" borderId="89" xfId="0" applyFont="1" applyBorder="1" applyAlignment="1">
      <alignment horizontal="center" vertical="center" wrapText="1"/>
    </xf>
    <xf numFmtId="0" fontId="171" fillId="37" borderId="89" xfId="0" applyFont="1" applyFill="1" applyBorder="1" applyAlignment="1">
      <alignment horizontal="center" vertical="center" wrapText="1"/>
    </xf>
    <xf numFmtId="0" fontId="171" fillId="37" borderId="91" xfId="0" applyFont="1" applyFill="1" applyBorder="1" applyAlignment="1">
      <alignment horizontal="center" vertical="center" wrapText="1"/>
    </xf>
    <xf numFmtId="0" fontId="171" fillId="37" borderId="15" xfId="0" applyFont="1" applyFill="1" applyBorder="1" applyAlignment="1">
      <alignment horizontal="center" vertical="center" wrapText="1"/>
    </xf>
    <xf numFmtId="0" fontId="171" fillId="37" borderId="16" xfId="0" applyFont="1" applyFill="1" applyBorder="1" applyAlignment="1">
      <alignment horizontal="center" vertical="center" wrapText="1"/>
    </xf>
    <xf numFmtId="0" fontId="171" fillId="37" borderId="18" xfId="0" applyFont="1" applyFill="1" applyBorder="1" applyAlignment="1">
      <alignment horizontal="center" vertical="center" wrapText="1"/>
    </xf>
    <xf numFmtId="0" fontId="171" fillId="37" borderId="19" xfId="0" applyFont="1" applyFill="1" applyBorder="1" applyAlignment="1">
      <alignment horizontal="center" vertical="center" wrapText="1"/>
    </xf>
    <xf numFmtId="0" fontId="135" fillId="45" borderId="92" xfId="0" applyFont="1" applyFill="1" applyBorder="1" applyAlignment="1">
      <alignment horizontal="center"/>
    </xf>
    <xf numFmtId="0" fontId="135" fillId="45" borderId="94" xfId="0" applyFont="1" applyFill="1" applyBorder="1" applyAlignment="1">
      <alignment horizontal="center"/>
    </xf>
    <xf numFmtId="0" fontId="135" fillId="45" borderId="96" xfId="0" applyFont="1" applyFill="1" applyBorder="1" applyAlignment="1">
      <alignment horizontal="center"/>
    </xf>
    <xf numFmtId="0" fontId="0" fillId="0" borderId="22" xfId="0" applyBorder="1" applyAlignment="1">
      <alignment horizontal="left" vertical="top"/>
    </xf>
    <xf numFmtId="0" fontId="133" fillId="0" borderId="61" xfId="0" applyFont="1" applyBorder="1" applyAlignment="1">
      <alignment horizontal="center"/>
    </xf>
    <xf numFmtId="0" fontId="137" fillId="45" borderId="92" xfId="0" applyFont="1" applyFill="1" applyBorder="1" applyAlignment="1">
      <alignment horizontal="center"/>
    </xf>
    <xf numFmtId="0" fontId="137" fillId="45" borderId="94" xfId="0" applyFont="1" applyFill="1" applyBorder="1" applyAlignment="1">
      <alignment horizontal="center"/>
    </xf>
    <xf numFmtId="0" fontId="137" fillId="45" borderId="96" xfId="0" applyFont="1" applyFill="1" applyBorder="1" applyAlignment="1">
      <alignment horizontal="center"/>
    </xf>
    <xf numFmtId="0" fontId="106" fillId="0" borderId="47" xfId="96" applyFont="1" applyFill="1" applyBorder="1" applyAlignment="1">
      <alignment horizontal="center" vertical="center"/>
    </xf>
    <xf numFmtId="0" fontId="106" fillId="0" borderId="0" xfId="96" applyFont="1" applyFill="1" applyBorder="1" applyAlignment="1">
      <alignment horizontal="center" vertical="center"/>
    </xf>
    <xf numFmtId="0" fontId="106" fillId="0" borderId="22" xfId="96" applyFont="1" applyFill="1" applyBorder="1" applyAlignment="1">
      <alignment horizontal="center" vertical="center"/>
    </xf>
    <xf numFmtId="0" fontId="107" fillId="0" borderId="56" xfId="97" applyFont="1" applyFill="1" applyBorder="1" applyAlignment="1">
      <alignment horizontal="center" vertical="center"/>
    </xf>
    <xf numFmtId="0" fontId="107" fillId="0" borderId="0" xfId="97" applyFont="1" applyFill="1" applyBorder="1" applyAlignment="1">
      <alignment horizontal="center" vertical="center"/>
    </xf>
    <xf numFmtId="0" fontId="107" fillId="0" borderId="22" xfId="97" applyFont="1" applyFill="1" applyBorder="1" applyAlignment="1">
      <alignment horizontal="center" vertical="center"/>
    </xf>
    <xf numFmtId="0" fontId="106" fillId="0" borderId="58" xfId="96" applyFont="1" applyFill="1" applyBorder="1" applyAlignment="1">
      <alignment horizontal="center" vertical="center"/>
    </xf>
    <xf numFmtId="0" fontId="27" fillId="0" borderId="47" xfId="97" applyFont="1" applyFill="1" applyBorder="1" applyAlignment="1">
      <alignment horizontal="center" vertical="center"/>
    </xf>
    <xf numFmtId="0" fontId="27" fillId="0" borderId="0" xfId="97" applyFont="1" applyFill="1" applyBorder="1" applyAlignment="1">
      <alignment horizontal="center" vertical="center"/>
    </xf>
    <xf numFmtId="0" fontId="27" fillId="0" borderId="22" xfId="97" applyFont="1" applyFill="1" applyBorder="1" applyAlignment="1">
      <alignment horizontal="center" vertical="center"/>
    </xf>
    <xf numFmtId="0" fontId="40" fillId="0" borderId="47" xfId="0" applyFont="1" applyBorder="1" applyAlignment="1">
      <alignment horizontal="left"/>
    </xf>
    <xf numFmtId="0" fontId="0" fillId="0" borderId="0" xfId="0" applyFill="1" applyBorder="1" applyAlignment="1">
      <alignment horizontal="center" vertical="center" wrapText="1"/>
    </xf>
    <xf numFmtId="0" fontId="23" fillId="37" borderId="56" xfId="0" applyFont="1" applyFill="1" applyBorder="1" applyAlignment="1">
      <alignment horizontal="center" vertical="center" wrapText="1"/>
    </xf>
    <xf numFmtId="0" fontId="149" fillId="37" borderId="56" xfId="98" applyFont="1" applyFill="1" applyBorder="1" applyAlignment="1">
      <alignment horizontal="center"/>
    </xf>
    <xf numFmtId="0" fontId="77" fillId="37" borderId="33" xfId="98" applyFont="1" applyFill="1" applyBorder="1" applyAlignment="1">
      <alignment horizontal="right" wrapText="1"/>
    </xf>
    <xf numFmtId="0" fontId="78" fillId="37" borderId="0" xfId="98" applyFont="1" applyFill="1" applyBorder="1" applyAlignment="1">
      <alignment horizontal="right" wrapText="1"/>
    </xf>
    <xf numFmtId="0" fontId="78" fillId="37" borderId="22" xfId="98" applyFont="1" applyFill="1" applyBorder="1" applyAlignment="1">
      <alignment horizontal="right" wrapText="1"/>
    </xf>
    <xf numFmtId="0" fontId="121" fillId="37" borderId="0" xfId="98" applyFont="1" applyFill="1" applyAlignment="1">
      <alignment horizontal="left"/>
    </xf>
    <xf numFmtId="0" fontId="122" fillId="37" borderId="0" xfId="98" applyFont="1" applyFill="1" applyAlignment="1">
      <alignment horizontal="left"/>
    </xf>
    <xf numFmtId="0" fontId="123" fillId="37" borderId="56" xfId="98" applyFont="1" applyFill="1" applyBorder="1" applyAlignment="1">
      <alignment horizontal="center"/>
    </xf>
    <xf numFmtId="0" fontId="124" fillId="37" borderId="56" xfId="98" applyFont="1" applyFill="1" applyBorder="1" applyAlignment="1">
      <alignment horizontal="center"/>
    </xf>
    <xf numFmtId="0" fontId="77" fillId="37" borderId="43" xfId="87" applyNumberFormat="1" applyFont="1" applyFill="1" applyBorder="1" applyAlignment="1">
      <alignment horizontal="left" vertical="center" wrapText="1"/>
    </xf>
    <xf numFmtId="0" fontId="77" fillId="37" borderId="38" xfId="87" applyNumberFormat="1" applyFont="1" applyFill="1" applyBorder="1" applyAlignment="1">
      <alignment horizontal="left" vertical="center" wrapText="1"/>
    </xf>
    <xf numFmtId="0" fontId="77" fillId="37" borderId="52" xfId="87" applyNumberFormat="1" applyFont="1" applyFill="1" applyBorder="1" applyAlignment="1">
      <alignment horizontal="left" vertical="center" wrapText="1"/>
    </xf>
    <xf numFmtId="0" fontId="77" fillId="37" borderId="43" xfId="87" applyFont="1" applyFill="1" applyBorder="1" applyAlignment="1">
      <alignment horizontal="left" vertical="center" wrapText="1"/>
    </xf>
    <xf numFmtId="0" fontId="77" fillId="37" borderId="38" xfId="87" applyFont="1" applyFill="1" applyBorder="1" applyAlignment="1">
      <alignment horizontal="left" vertical="center" wrapText="1"/>
    </xf>
    <xf numFmtId="0" fontId="77" fillId="37" borderId="52" xfId="87" applyFont="1" applyFill="1" applyBorder="1" applyAlignment="1">
      <alignment horizontal="left" vertical="center" wrapText="1"/>
    </xf>
    <xf numFmtId="0" fontId="77" fillId="37" borderId="58" xfId="87" applyFont="1" applyFill="1" applyBorder="1" applyAlignment="1">
      <alignment horizontal="center" vertical="center" wrapText="1"/>
    </xf>
    <xf numFmtId="0" fontId="77" fillId="37" borderId="38" xfId="87" applyFont="1" applyFill="1" applyBorder="1" applyAlignment="1">
      <alignment horizontal="center" vertical="center" wrapText="1"/>
    </xf>
    <xf numFmtId="0" fontId="77" fillId="37" borderId="52" xfId="87" applyFont="1" applyFill="1" applyBorder="1" applyAlignment="1">
      <alignment horizontal="center" vertical="center" wrapText="1"/>
    </xf>
    <xf numFmtId="0" fontId="77" fillId="37" borderId="55" xfId="87" applyNumberFormat="1" applyFont="1" applyFill="1" applyBorder="1" applyAlignment="1">
      <alignment horizontal="left" vertical="center" wrapText="1"/>
    </xf>
    <xf numFmtId="0" fontId="77" fillId="37" borderId="51" xfId="87" applyNumberFormat="1" applyFont="1" applyFill="1" applyBorder="1" applyAlignment="1">
      <alignment horizontal="left" vertical="center" wrapText="1"/>
    </xf>
    <xf numFmtId="0" fontId="78" fillId="37" borderId="0" xfId="87" quotePrefix="1" applyFont="1" applyFill="1" applyAlignment="1">
      <alignment horizontal="left" vertical="center" wrapText="1"/>
    </xf>
    <xf numFmtId="0" fontId="78" fillId="37" borderId="0" xfId="91" quotePrefix="1" applyFont="1" applyFill="1" applyAlignment="1">
      <alignment horizontal="left" vertical="center"/>
    </xf>
    <xf numFmtId="0" fontId="103" fillId="37" borderId="0" xfId="87" quotePrefix="1" applyFont="1" applyFill="1" applyAlignment="1">
      <alignment vertical="center"/>
    </xf>
    <xf numFmtId="0" fontId="78" fillId="37" borderId="0" xfId="91" applyNumberFormat="1" applyFont="1" applyFill="1" applyAlignment="1">
      <alignment horizontal="left" vertical="center" wrapText="1"/>
    </xf>
    <xf numFmtId="0" fontId="78" fillId="37" borderId="0" xfId="91" applyNumberFormat="1" applyFont="1" applyFill="1" applyAlignment="1">
      <alignment horizontal="left" vertical="center"/>
    </xf>
    <xf numFmtId="0" fontId="78" fillId="37" borderId="0" xfId="91" applyFont="1" applyFill="1" applyAlignment="1">
      <alignment horizontal="left" vertical="center"/>
    </xf>
    <xf numFmtId="0" fontId="78" fillId="37" borderId="0" xfId="87" quotePrefix="1" applyFont="1" applyFill="1" applyAlignment="1">
      <alignment horizontal="left" vertical="center"/>
    </xf>
    <xf numFmtId="0" fontId="42" fillId="24" borderId="35" xfId="0" applyFont="1" applyFill="1" applyBorder="1" applyAlignment="1">
      <alignment horizontal="center"/>
    </xf>
    <xf numFmtId="0" fontId="25" fillId="24" borderId="0" xfId="0" applyFont="1" applyFill="1" applyBorder="1" applyAlignment="1">
      <alignment horizontal="left"/>
    </xf>
    <xf numFmtId="0" fontId="28" fillId="24" borderId="12" xfId="0" applyFont="1" applyFill="1" applyBorder="1" applyAlignment="1">
      <alignment horizontal="center"/>
    </xf>
    <xf numFmtId="0" fontId="47" fillId="0" borderId="42" xfId="0" applyNumberFormat="1" applyFont="1" applyBorder="1" applyAlignment="1">
      <alignment horizontal="center"/>
    </xf>
    <xf numFmtId="0" fontId="47" fillId="0" borderId="34" xfId="0" applyNumberFormat="1" applyFont="1" applyBorder="1" applyAlignment="1">
      <alignment horizontal="center"/>
    </xf>
    <xf numFmtId="0" fontId="47" fillId="0" borderId="35" xfId="0" applyNumberFormat="1" applyFont="1" applyBorder="1" applyAlignment="1">
      <alignment horizontal="center"/>
    </xf>
    <xf numFmtId="0" fontId="47" fillId="0" borderId="36" xfId="0" applyNumberFormat="1" applyFont="1" applyBorder="1" applyAlignment="1">
      <alignment horizontal="center"/>
    </xf>
    <xf numFmtId="0" fontId="140" fillId="37" borderId="0" xfId="98" applyFont="1" applyFill="1" applyAlignment="1">
      <alignment horizontal="left" vertical="top" wrapText="1"/>
    </xf>
    <xf numFmtId="0" fontId="140" fillId="37" borderId="0" xfId="98" applyFont="1" applyFill="1" applyAlignment="1">
      <alignment horizontal="left" vertical="top"/>
    </xf>
    <xf numFmtId="0" fontId="78" fillId="37" borderId="0" xfId="98" applyFont="1" applyFill="1" applyAlignment="1">
      <alignment horizontal="left" wrapText="1"/>
    </xf>
    <xf numFmtId="0" fontId="78" fillId="37" borderId="0" xfId="98" applyFont="1" applyFill="1" applyBorder="1" applyAlignment="1">
      <alignment wrapText="1"/>
    </xf>
    <xf numFmtId="0" fontId="97" fillId="0" borderId="0" xfId="87" quotePrefix="1" applyFont="1" applyAlignment="1">
      <alignment horizontal="left" vertical="center" wrapText="1"/>
    </xf>
    <xf numFmtId="0" fontId="77" fillId="39" borderId="43" xfId="89" applyFont="1" applyFill="1" applyBorder="1" applyAlignment="1">
      <alignment horizontal="center" vertical="center" wrapText="1"/>
    </xf>
    <xf numFmtId="0" fontId="77" fillId="39" borderId="52" xfId="89" applyFont="1" applyFill="1" applyBorder="1" applyAlignment="1">
      <alignment horizontal="center" vertical="center" wrapText="1"/>
    </xf>
    <xf numFmtId="0" fontId="3" fillId="0" borderId="0" xfId="87" quotePrefix="1" applyFont="1" applyAlignment="1">
      <alignment horizontal="left" vertical="center"/>
    </xf>
    <xf numFmtId="0" fontId="3" fillId="0" borderId="0" xfId="87" quotePrefix="1" applyFont="1" applyFill="1" applyAlignment="1">
      <alignment horizontal="left" vertical="center" wrapText="1"/>
    </xf>
  </cellXfs>
  <cellStyles count="104">
    <cellStyle name="20 % - Accent1" xfId="1"/>
    <cellStyle name="20 % - Accent2" xfId="2"/>
    <cellStyle name="20 % - Accent3" xfId="3"/>
    <cellStyle name="20 % - Accent4" xfId="4"/>
    <cellStyle name="20 % - Accent5" xfId="5"/>
    <cellStyle name="20 % - Accent6" xfId="6"/>
    <cellStyle name="20% - Accent1" xfId="7" builtinId="30" customBuiltin="1"/>
    <cellStyle name="20% - Accent2" xfId="8" builtinId="34" customBuiltin="1"/>
    <cellStyle name="20% - Accent3" xfId="9" builtinId="38" customBuiltin="1"/>
    <cellStyle name="20% - Accent4" xfId="10" builtinId="42" customBuiltin="1"/>
    <cellStyle name="20% - Accent5" xfId="11" builtinId="46" customBuiltin="1"/>
    <cellStyle name="20% - Accent6" xfId="12" builtinId="50" customBuiltin="1"/>
    <cellStyle name="40 % - Accent1" xfId="13"/>
    <cellStyle name="40 % - Accent2" xfId="14"/>
    <cellStyle name="40 % - Accent3" xfId="15"/>
    <cellStyle name="40 % - Accent4" xfId="16"/>
    <cellStyle name="40 % - Accent5" xfId="17"/>
    <cellStyle name="40 % - Accent6" xfId="18"/>
    <cellStyle name="40% - Accent1" xfId="19" builtinId="31" customBuiltin="1"/>
    <cellStyle name="40% - Accent2" xfId="20" builtinId="35" customBuiltin="1"/>
    <cellStyle name="40% - Accent3" xfId="21" builtinId="39" customBuiltin="1"/>
    <cellStyle name="40% - Accent4" xfId="22" builtinId="43" customBuiltin="1"/>
    <cellStyle name="40% - Accent5" xfId="23" builtinId="47" customBuiltin="1"/>
    <cellStyle name="40% - Accent6" xfId="24" builtinId="51" customBuiltin="1"/>
    <cellStyle name="60 % - Accent1" xfId="25"/>
    <cellStyle name="60 % - Accent2" xfId="26"/>
    <cellStyle name="60 % - Accent3" xfId="27"/>
    <cellStyle name="60 % - Accent4" xfId="28"/>
    <cellStyle name="60 % - Accent5" xfId="29"/>
    <cellStyle name="60 % - Accent6" xfId="30"/>
    <cellStyle name="60% - Accent1" xfId="31" builtinId="32" customBuiltin="1"/>
    <cellStyle name="60% - Accent2" xfId="32" builtinId="36" customBuiltin="1"/>
    <cellStyle name="60% - Accent3" xfId="33" builtinId="40" customBuiltin="1"/>
    <cellStyle name="60% - Accent4" xfId="34" builtinId="44" customBuiltin="1"/>
    <cellStyle name="60% - Accent5" xfId="35" builtinId="48" customBuiltin="1"/>
    <cellStyle name="60% - Accent6" xfId="36" builtinId="52" customBuiltin="1"/>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cellStyle name="Bad" xfId="44" builtinId="27" customBuiltin="1"/>
    <cellStyle name="Calcul" xfId="45"/>
    <cellStyle name="Calculation" xfId="46" builtinId="22" customBuiltin="1"/>
    <cellStyle name="Cellule liée" xfId="47"/>
    <cellStyle name="Check Cell" xfId="48" builtinId="23" customBuiltin="1"/>
    <cellStyle name="Comma" xfId="49"/>
    <cellStyle name="Comma 2" xfId="50"/>
    <cellStyle name="Commentaire" xfId="51"/>
    <cellStyle name="Entrée" xfId="52"/>
    <cellStyle name="Explanatory Text" xfId="53" builtinId="53" customBuiltin="1"/>
    <cellStyle name="Good" xfId="90" builtinId="26" customBuiltin="1"/>
    <cellStyle name="Heading 1" xfId="54" builtinId="16" customBuiltin="1"/>
    <cellStyle name="Heading 2" xfId="55" builtinId="17" customBuiltin="1"/>
    <cellStyle name="Heading 3" xfId="56" builtinId="18" customBuiltin="1"/>
    <cellStyle name="Heading 4" xfId="57" builtinId="19" customBuiltin="1"/>
    <cellStyle name="Hyperlink" xfId="99"/>
    <cellStyle name="Hyperlink 2" xfId="58"/>
    <cellStyle name="Input" xfId="59" builtinId="20" customBuiltin="1"/>
    <cellStyle name="Insatisfaisant" xfId="60"/>
    <cellStyle name="Linked Cell" xfId="61" builtinId="24" customBuiltin="1"/>
    <cellStyle name="Neutral" xfId="62" builtinId="28" customBuiltin="1"/>
    <cellStyle name="Neutre" xfId="63"/>
    <cellStyle name="Normal" xfId="0" builtinId="0"/>
    <cellStyle name="Normal 2" xfId="64"/>
    <cellStyle name="Normal 2 2" xfId="97"/>
    <cellStyle name="Normal 2 2 2" xfId="92"/>
    <cellStyle name="Normal 3" xfId="65"/>
    <cellStyle name="Normal 3 2" xfId="89"/>
    <cellStyle name="Normal 4" xfId="66"/>
    <cellStyle name="Normal 5" xfId="87"/>
    <cellStyle name="Normal 5 2" xfId="88"/>
    <cellStyle name="Normal 6" xfId="96"/>
    <cellStyle name="Normal 6 2" xfId="103"/>
    <cellStyle name="Normal 7" xfId="98"/>
    <cellStyle name="Normal_Boilers-a_1" xfId="94"/>
    <cellStyle name="Normal_Danville2" xfId="91"/>
    <cellStyle name="Normal_Fuel trans V1" xfId="101"/>
    <cellStyle name="Normal_LCA_GHG_Fulcrum_MSW_v21" xfId="67"/>
    <cellStyle name="Normal_LCI Vectors_GREET1.8c.0_v5" xfId="68"/>
    <cellStyle name="Normal_Veneer Dryers" xfId="93"/>
    <cellStyle name="Normal_WFIA PTE - 3-06" xfId="95"/>
    <cellStyle name="Note" xfId="69" builtinId="10" customBuiltin="1"/>
    <cellStyle name="Output" xfId="70" builtinId="21" customBuiltin="1"/>
    <cellStyle name="Percent" xfId="102"/>
    <cellStyle name="Percent 2" xfId="71"/>
    <cellStyle name="Percent 3" xfId="100"/>
    <cellStyle name="Plain" xfId="72"/>
    <cellStyle name="Pourcentage 2" xfId="73"/>
    <cellStyle name="Satisfaisant" xfId="74"/>
    <cellStyle name="Scientific" xfId="75"/>
    <cellStyle name="Sortie" xfId="76"/>
    <cellStyle name="Texte explicatif" xfId="77"/>
    <cellStyle name="Title" xfId="78" builtinId="15" customBuiltin="1"/>
    <cellStyle name="Titre" xfId="79"/>
    <cellStyle name="Titre 1" xfId="80"/>
    <cellStyle name="Titre 2" xfId="81"/>
    <cellStyle name="Titre 3" xfId="82"/>
    <cellStyle name="Titre 4" xfId="83"/>
    <cellStyle name="Total" xfId="84" builtinId="25" customBuiltin="1"/>
    <cellStyle name="Vérification" xfId="85"/>
    <cellStyle name="Warning Text" xfId="86" builtinId="11" customBuiltin="1"/>
  </cellStyles>
  <dxfs count="0"/>
  <tableStyles count="0" defaultTableStyle="TableStyleMedium2" defaultPivotStyle="PivotStyleLight16"/>
  <colors>
    <mruColors>
      <color rgb="FFCCFFCC"/>
      <color rgb="FFFFCCFF"/>
      <color rgb="FFFF99FF"/>
      <color rgb="FFFFFFCC"/>
      <color rgb="FFFF3399"/>
      <color rgb="FF0080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933865338131551"/>
          <c:y val="4.1785375118708452E-2"/>
          <c:w val="0.48394402787015395"/>
          <c:h val="0.64129208848893882"/>
        </c:manualLayout>
      </c:layout>
      <c:barChart>
        <c:barDir val="col"/>
        <c:grouping val="stacked"/>
        <c:varyColors val="0"/>
        <c:ser>
          <c:idx val="0"/>
          <c:order val="0"/>
          <c:tx>
            <c:strRef>
              <c:f>Results!$M$60</c:f>
              <c:strCache>
                <c:ptCount val="1"/>
                <c:pt idx="0">
                  <c:v>Construction</c:v>
                </c:pt>
              </c:strCache>
            </c:strRef>
          </c:tx>
          <c:spPr>
            <a:solidFill>
              <a:schemeClr val="accent1"/>
            </a:solidFill>
            <a:ln>
              <a:noFill/>
            </a:ln>
            <a:effectLst/>
          </c:spPr>
          <c:invertIfNegative val="0"/>
          <c:cat>
            <c:multiLvlStrRef>
              <c:f>Results!$N$58:$Q$59</c:f>
            </c:multiLvlStrRef>
          </c:cat>
          <c:val>
            <c:numRef>
              <c:f>Results!$N$60:$Q$60</c:f>
            </c:numRef>
          </c:val>
          <c:extLst xmlns:c16r2="http://schemas.microsoft.com/office/drawing/2015/06/chart">
            <c:ext xmlns:c16="http://schemas.microsoft.com/office/drawing/2014/chart" uri="{C3380CC4-5D6E-409C-BE32-E72D297353CC}">
              <c16:uniqueId val="{00000000-946B-4BD4-BDFB-7332A311A48B}"/>
            </c:ext>
          </c:extLst>
        </c:ser>
        <c:ser>
          <c:idx val="1"/>
          <c:order val="1"/>
          <c:tx>
            <c:strRef>
              <c:f>Results!$M$61</c:f>
              <c:strCache>
                <c:ptCount val="1"/>
                <c:pt idx="0">
                  <c:v>Upstream Life cycle</c:v>
                </c:pt>
              </c:strCache>
            </c:strRef>
          </c:tx>
          <c:spPr>
            <a:solidFill>
              <a:srgbClr val="C00000"/>
            </a:solidFill>
            <a:ln>
              <a:noFill/>
            </a:ln>
            <a:effectLst/>
          </c:spPr>
          <c:invertIfNegative val="0"/>
          <c:cat>
            <c:multiLvlStrRef>
              <c:f>Results!$N$58:$Q$59</c:f>
            </c:multiLvlStrRef>
          </c:cat>
          <c:val>
            <c:numRef>
              <c:f>Results!$N$61:$Q$61</c:f>
            </c:numRef>
          </c:val>
          <c:extLst xmlns:c16r2="http://schemas.microsoft.com/office/drawing/2015/06/chart">
            <c:ext xmlns:c16="http://schemas.microsoft.com/office/drawing/2014/chart" uri="{C3380CC4-5D6E-409C-BE32-E72D297353CC}">
              <c16:uniqueId val="{00000001-946B-4BD4-BDFB-7332A311A48B}"/>
            </c:ext>
          </c:extLst>
        </c:ser>
        <c:ser>
          <c:idx val="2"/>
          <c:order val="2"/>
          <c:tx>
            <c:strRef>
              <c:f>Results!$M$62</c:f>
              <c:strCache>
                <c:ptCount val="1"/>
                <c:pt idx="0">
                  <c:v>LNG Plant and Fugitives</c:v>
                </c:pt>
              </c:strCache>
            </c:strRef>
          </c:tx>
          <c:spPr>
            <a:solidFill>
              <a:srgbClr val="FFFF00"/>
            </a:solidFill>
            <a:ln>
              <a:noFill/>
            </a:ln>
            <a:effectLst/>
          </c:spPr>
          <c:invertIfNegative val="0"/>
          <c:cat>
            <c:multiLvlStrRef>
              <c:f>Results!$N$58:$Q$59</c:f>
            </c:multiLvlStrRef>
          </c:cat>
          <c:val>
            <c:numRef>
              <c:f>Results!$N$62:$Q$62</c:f>
            </c:numRef>
          </c:val>
          <c:extLst xmlns:c16r2="http://schemas.microsoft.com/office/drawing/2015/06/chart">
            <c:ext xmlns:c16="http://schemas.microsoft.com/office/drawing/2014/chart" uri="{C3380CC4-5D6E-409C-BE32-E72D297353CC}">
              <c16:uniqueId val="{00000002-946B-4BD4-BDFB-7332A311A48B}"/>
            </c:ext>
          </c:extLst>
        </c:ser>
        <c:ser>
          <c:idx val="4"/>
          <c:order val="3"/>
          <c:tx>
            <c:strRef>
              <c:f>Results!$M$64</c:f>
              <c:strCache>
                <c:ptCount val="1"/>
                <c:pt idx="0">
                  <c:v>On-site Peak Shaving</c:v>
                </c:pt>
              </c:strCache>
            </c:strRef>
          </c:tx>
          <c:spPr>
            <a:solidFill>
              <a:srgbClr val="7030A0"/>
            </a:solidFill>
            <a:ln>
              <a:noFill/>
            </a:ln>
            <a:effectLst/>
          </c:spPr>
          <c:invertIfNegative val="0"/>
          <c:cat>
            <c:multiLvlStrRef>
              <c:f>Results!$N$58:$Q$59</c:f>
            </c:multiLvlStrRef>
          </c:cat>
          <c:val>
            <c:numRef>
              <c:f>Results!$N$64:$Q$64</c:f>
            </c:numRef>
          </c:val>
          <c:extLst xmlns:c16r2="http://schemas.microsoft.com/office/drawing/2015/06/chart">
            <c:ext xmlns:c16="http://schemas.microsoft.com/office/drawing/2014/chart" uri="{C3380CC4-5D6E-409C-BE32-E72D297353CC}">
              <c16:uniqueId val="{00000003-946B-4BD4-BDFB-7332A311A48B}"/>
            </c:ext>
          </c:extLst>
        </c:ser>
        <c:ser>
          <c:idx val="5"/>
          <c:order val="4"/>
          <c:tx>
            <c:strRef>
              <c:f>Results!$M$65</c:f>
              <c:strCache>
                <c:ptCount val="1"/>
                <c:pt idx="0">
                  <c:v>Gig harbor LNG</c:v>
                </c:pt>
              </c:strCache>
            </c:strRef>
          </c:tx>
          <c:spPr>
            <a:solidFill>
              <a:schemeClr val="accent4">
                <a:lumMod val="60000"/>
                <a:lumOff val="40000"/>
              </a:schemeClr>
            </a:solidFill>
            <a:ln>
              <a:noFill/>
            </a:ln>
            <a:effectLst/>
          </c:spPr>
          <c:invertIfNegative val="0"/>
          <c:cat>
            <c:multiLvlStrRef>
              <c:f>Results!$N$58:$Q$59</c:f>
            </c:multiLvlStrRef>
          </c:cat>
          <c:val>
            <c:numRef>
              <c:f>Results!$N$65:$Q$65</c:f>
            </c:numRef>
          </c:val>
          <c:extLst xmlns:c16r2="http://schemas.microsoft.com/office/drawing/2015/06/chart">
            <c:ext xmlns:c16="http://schemas.microsoft.com/office/drawing/2014/chart" uri="{C3380CC4-5D6E-409C-BE32-E72D297353CC}">
              <c16:uniqueId val="{00000004-946B-4BD4-BDFB-7332A311A48B}"/>
            </c:ext>
          </c:extLst>
        </c:ser>
        <c:ser>
          <c:idx val="6"/>
          <c:order val="5"/>
          <c:tx>
            <c:strRef>
              <c:f>Results!$M$66</c:f>
              <c:strCache>
                <c:ptCount val="1"/>
                <c:pt idx="0">
                  <c:v>On-road Trucking</c:v>
                </c:pt>
              </c:strCache>
            </c:strRef>
          </c:tx>
          <c:spPr>
            <a:solidFill>
              <a:srgbClr val="FFC000"/>
            </a:solidFill>
            <a:ln>
              <a:noFill/>
            </a:ln>
            <a:effectLst/>
          </c:spPr>
          <c:invertIfNegative val="0"/>
          <c:cat>
            <c:multiLvlStrRef>
              <c:f>Results!$N$58:$Q$59</c:f>
            </c:multiLvlStrRef>
          </c:cat>
          <c:val>
            <c:numRef>
              <c:f>Results!$N$66:$Q$66</c:f>
            </c:numRef>
          </c:val>
          <c:extLst xmlns:c16r2="http://schemas.microsoft.com/office/drawing/2015/06/chart">
            <c:ext xmlns:c16="http://schemas.microsoft.com/office/drawing/2014/chart" uri="{C3380CC4-5D6E-409C-BE32-E72D297353CC}">
              <c16:uniqueId val="{00000005-946B-4BD4-BDFB-7332A311A48B}"/>
            </c:ext>
          </c:extLst>
        </c:ser>
        <c:ser>
          <c:idx val="7"/>
          <c:order val="6"/>
          <c:tx>
            <c:strRef>
              <c:f>Results!$M$67</c:f>
              <c:strCache>
                <c:ptCount val="1"/>
                <c:pt idx="0">
                  <c:v>TOTE Marine</c:v>
                </c:pt>
              </c:strCache>
            </c:strRef>
          </c:tx>
          <c:spPr>
            <a:solidFill>
              <a:srgbClr val="00B050"/>
            </a:solidFill>
            <a:ln>
              <a:noFill/>
            </a:ln>
            <a:effectLst/>
          </c:spPr>
          <c:invertIfNegative val="0"/>
          <c:cat>
            <c:multiLvlStrRef>
              <c:f>Results!$N$58:$Q$59</c:f>
            </c:multiLvlStrRef>
          </c:cat>
          <c:val>
            <c:numRef>
              <c:f>Results!$N$67:$Q$67</c:f>
            </c:numRef>
          </c:val>
          <c:extLst xmlns:c16r2="http://schemas.microsoft.com/office/drawing/2015/06/chart">
            <c:ext xmlns:c16="http://schemas.microsoft.com/office/drawing/2014/chart" uri="{C3380CC4-5D6E-409C-BE32-E72D297353CC}">
              <c16:uniqueId val="{00000006-946B-4BD4-BDFB-7332A311A48B}"/>
            </c:ext>
          </c:extLst>
        </c:ser>
        <c:ser>
          <c:idx val="8"/>
          <c:order val="7"/>
          <c:tx>
            <c:strRef>
              <c:f>Results!$M$69</c:f>
              <c:strCache>
                <c:ptCount val="1"/>
                <c:pt idx="0">
                  <c:v>Marine by Truck</c:v>
                </c:pt>
              </c:strCache>
            </c:strRef>
          </c:tx>
          <c:spPr>
            <a:solidFill>
              <a:srgbClr val="FF3399"/>
            </a:solidFill>
            <a:ln>
              <a:noFill/>
            </a:ln>
            <a:effectLst/>
          </c:spPr>
          <c:invertIfNegative val="0"/>
          <c:cat>
            <c:multiLvlStrRef>
              <c:f>Results!$N$58:$Q$59</c:f>
            </c:multiLvlStrRef>
          </c:cat>
          <c:val>
            <c:numRef>
              <c:f>Results!$N$69:$Q$69</c:f>
            </c:numRef>
          </c:val>
          <c:extLst xmlns:c16r2="http://schemas.microsoft.com/office/drawing/2015/06/chart">
            <c:ext xmlns:c16="http://schemas.microsoft.com/office/drawing/2014/chart" uri="{C3380CC4-5D6E-409C-BE32-E72D297353CC}">
              <c16:uniqueId val="{00000007-946B-4BD4-BDFB-7332A311A48B}"/>
            </c:ext>
          </c:extLst>
        </c:ser>
        <c:ser>
          <c:idx val="11"/>
          <c:order val="8"/>
          <c:tx>
            <c:strRef>
              <c:f>Results!$M$71</c:f>
              <c:strCache>
                <c:ptCount val="1"/>
                <c:pt idx="0">
                  <c:v>Marine LNG by Barge</c:v>
                </c:pt>
              </c:strCache>
            </c:strRef>
          </c:tx>
          <c:spPr>
            <a:solidFill>
              <a:srgbClr val="0070C0"/>
            </a:solidFill>
            <a:ln>
              <a:noFill/>
            </a:ln>
            <a:effectLst/>
          </c:spPr>
          <c:invertIfNegative val="0"/>
          <c:cat>
            <c:multiLvlStrRef>
              <c:f>Results!$N$58:$Q$59</c:f>
            </c:multiLvlStrRef>
          </c:cat>
          <c:val>
            <c:numRef>
              <c:f>Results!$N$71:$Q$71</c:f>
            </c:numRef>
          </c:val>
          <c:extLst xmlns:c16r2="http://schemas.microsoft.com/office/drawing/2015/06/chart">
            <c:ext xmlns:c16="http://schemas.microsoft.com/office/drawing/2014/chart" uri="{C3380CC4-5D6E-409C-BE32-E72D297353CC}">
              <c16:uniqueId val="{00000008-946B-4BD4-BDFB-7332A311A48B}"/>
            </c:ext>
          </c:extLst>
        </c:ser>
        <c:ser>
          <c:idx val="12"/>
          <c:order val="9"/>
          <c:tx>
            <c:strRef>
              <c:f>Results!$M$72</c:f>
              <c:strCache>
                <c:ptCount val="1"/>
                <c:pt idx="0">
                  <c:v>Pilot Fuel</c:v>
                </c:pt>
              </c:strCache>
            </c:strRef>
          </c:tx>
          <c:spPr>
            <a:solidFill>
              <a:schemeClr val="tx1">
                <a:lumMod val="75000"/>
                <a:lumOff val="25000"/>
              </a:schemeClr>
            </a:solidFill>
            <a:ln>
              <a:noFill/>
            </a:ln>
            <a:effectLst/>
          </c:spPr>
          <c:invertIfNegative val="0"/>
          <c:cat>
            <c:multiLvlStrRef>
              <c:f>Results!$N$58:$Q$59</c:f>
            </c:multiLvlStrRef>
          </c:cat>
          <c:val>
            <c:numRef>
              <c:f>Results!$N$72:$Q$72</c:f>
            </c:numRef>
          </c:val>
          <c:extLst xmlns:c16r2="http://schemas.microsoft.com/office/drawing/2015/06/chart">
            <c:ext xmlns:c16="http://schemas.microsoft.com/office/drawing/2014/chart" uri="{C3380CC4-5D6E-409C-BE32-E72D297353CC}">
              <c16:uniqueId val="{00000009-946B-4BD4-BDFB-7332A311A48B}"/>
            </c:ext>
          </c:extLst>
        </c:ser>
        <c:dLbls>
          <c:showLegendKey val="0"/>
          <c:showVal val="0"/>
          <c:showCatName val="0"/>
          <c:showSerName val="0"/>
          <c:showPercent val="0"/>
          <c:showBubbleSize val="0"/>
        </c:dLbls>
        <c:gapWidth val="150"/>
        <c:overlap val="100"/>
        <c:axId val="57313152"/>
        <c:axId val="57319424"/>
      </c:barChart>
      <c:lineChart>
        <c:grouping val="stacked"/>
        <c:varyColors val="0"/>
        <c:ser>
          <c:idx val="13"/>
          <c:order val="10"/>
          <c:tx>
            <c:strRef>
              <c:f>Results!$M$73</c:f>
              <c:strCache>
                <c:ptCount val="1"/>
                <c:pt idx="0">
                  <c:v>Net Emissions</c:v>
                </c:pt>
              </c:strCache>
            </c:strRef>
          </c:tx>
          <c:spPr>
            <a:ln w="28575" cap="rnd">
              <a:noFill/>
              <a:round/>
            </a:ln>
            <a:effectLst/>
          </c:spPr>
          <c:marker>
            <c:symbol val="diamond"/>
            <c:size val="7"/>
            <c:spPr>
              <a:solidFill>
                <a:srgbClr val="FFFF00"/>
              </a:solidFill>
              <a:ln w="9525">
                <a:solidFill>
                  <a:srgbClr val="0070C0"/>
                </a:solidFill>
              </a:ln>
              <a:effectLst/>
            </c:spPr>
          </c:marker>
          <c:cat>
            <c:multiLvlStrRef>
              <c:f>Results!$N$58:$Q$59</c:f>
            </c:multiLvlStrRef>
          </c:cat>
          <c:val>
            <c:numRef>
              <c:f>Results!$N$73:$Q$73</c:f>
            </c:numRef>
          </c:val>
          <c:smooth val="0"/>
          <c:extLst xmlns:c16r2="http://schemas.microsoft.com/office/drawing/2015/06/chart">
            <c:ext xmlns:c16="http://schemas.microsoft.com/office/drawing/2014/chart" uri="{C3380CC4-5D6E-409C-BE32-E72D297353CC}">
              <c16:uniqueId val="{0000000A-946B-4BD4-BDFB-7332A311A48B}"/>
            </c:ext>
          </c:extLst>
        </c:ser>
        <c:dLbls>
          <c:showLegendKey val="0"/>
          <c:showVal val="0"/>
          <c:showCatName val="0"/>
          <c:showSerName val="0"/>
          <c:showPercent val="0"/>
          <c:showBubbleSize val="0"/>
        </c:dLbls>
        <c:marker val="1"/>
        <c:smooth val="0"/>
        <c:axId val="57313152"/>
        <c:axId val="57319424"/>
      </c:lineChart>
      <c:catAx>
        <c:axId val="573131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7319424"/>
        <c:crosses val="autoZero"/>
        <c:auto val="1"/>
        <c:lblAlgn val="ctr"/>
        <c:lblOffset val="100"/>
        <c:noMultiLvlLbl val="0"/>
      </c:catAx>
      <c:valAx>
        <c:axId val="57319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solidFill>
                      <a:schemeClr val="tx1"/>
                    </a:solidFill>
                  </a:rPr>
                  <a:t>GHG Emissions (ktonne CO</a:t>
                </a:r>
                <a:r>
                  <a:rPr lang="en-US" baseline="-25000">
                    <a:solidFill>
                      <a:schemeClr val="tx1"/>
                    </a:solidFill>
                  </a:rPr>
                  <a:t>2 </a:t>
                </a:r>
                <a:r>
                  <a:rPr lang="en-US">
                    <a:solidFill>
                      <a:schemeClr val="tx1"/>
                    </a:solidFill>
                  </a:rPr>
                  <a:t>e/year)</a:t>
                </a:r>
              </a:p>
            </c:rich>
          </c:tx>
          <c:layout>
            <c:manualLayout>
              <c:xMode val="edge"/>
              <c:yMode val="edge"/>
              <c:x val="7.3938150428947882E-3"/>
              <c:y val="3.2716522015862018E-2"/>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7313152"/>
        <c:crosses val="autoZero"/>
        <c:crossBetween val="between"/>
        <c:dispUnits>
          <c:builtInUnit val="thousands"/>
        </c:dispUnits>
      </c:valAx>
      <c:spPr>
        <a:noFill/>
        <a:ln>
          <a:solidFill>
            <a:schemeClr val="tx1"/>
          </a:solidFill>
        </a:ln>
        <a:effectLst/>
      </c:spPr>
    </c:plotArea>
    <c:legend>
      <c:legendPos val="r"/>
      <c:layout>
        <c:manualLayout>
          <c:xMode val="edge"/>
          <c:yMode val="edge"/>
          <c:x val="0.62686710988821948"/>
          <c:y val="4.6292221828977263E-2"/>
          <c:w val="0.37041473136707809"/>
          <c:h val="0.9256959786351793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449407389098783"/>
          <c:y val="3.1088145231846019E-2"/>
          <c:w val="0.566826857908312"/>
          <c:h val="0.67922079310221972"/>
        </c:manualLayout>
      </c:layout>
      <c:barChart>
        <c:barDir val="col"/>
        <c:grouping val="stacked"/>
        <c:varyColors val="0"/>
        <c:ser>
          <c:idx val="0"/>
          <c:order val="0"/>
          <c:tx>
            <c:strRef>
              <c:f>'Compare Results'!$B$5</c:f>
              <c:strCache>
                <c:ptCount val="1"/>
                <c:pt idx="0">
                  <c:v>Construction</c:v>
                </c:pt>
              </c:strCache>
            </c:strRef>
          </c:tx>
          <c:spPr>
            <a:solidFill>
              <a:srgbClr val="92D050"/>
            </a:solidFill>
            <a:ln>
              <a:solidFill>
                <a:srgbClr val="00B050"/>
              </a:solidFill>
            </a:ln>
            <a:effectLst/>
          </c:spPr>
          <c:invertIfNegative val="0"/>
          <c:cat>
            <c:strRef>
              <c:f>'Compare Results'!$C$4:$F$4</c:f>
              <c:strCache>
                <c:ptCount val="4"/>
                <c:pt idx="0">
                  <c:v>Tacoma LNG</c:v>
                </c:pt>
                <c:pt idx="1">
                  <c:v>No Action Alternative</c:v>
                </c:pt>
                <c:pt idx="2">
                  <c:v>FEIS Project</c:v>
                </c:pt>
                <c:pt idx="3">
                  <c:v>FEIS
 No Project</c:v>
                </c:pt>
              </c:strCache>
            </c:strRef>
          </c:cat>
          <c:val>
            <c:numRef>
              <c:f>'Compare Results'!$C$5:$F$5</c:f>
              <c:numCache>
                <c:formatCode>#,##0</c:formatCode>
                <c:ptCount val="4"/>
                <c:pt idx="0">
                  <c:v>1580.7997202170586</c:v>
                </c:pt>
              </c:numCache>
            </c:numRef>
          </c:val>
          <c:extLst xmlns:c16r2="http://schemas.microsoft.com/office/drawing/2015/06/chart">
            <c:ext xmlns:c16="http://schemas.microsoft.com/office/drawing/2014/chart" uri="{C3380CC4-5D6E-409C-BE32-E72D297353CC}">
              <c16:uniqueId val="{00000000-EB7A-485F-B018-EB4D9F372EA1}"/>
            </c:ext>
          </c:extLst>
        </c:ser>
        <c:ser>
          <c:idx val="1"/>
          <c:order val="1"/>
          <c:tx>
            <c:strRef>
              <c:f>'Compare Results'!$B$6</c:f>
              <c:strCache>
                <c:ptCount val="1"/>
                <c:pt idx="0">
                  <c:v>Upstream Life Cycle</c:v>
                </c:pt>
              </c:strCache>
            </c:strRef>
          </c:tx>
          <c:spPr>
            <a:pattFill prst="wdUpDiag">
              <a:fgClr>
                <a:srgbClr val="0070C0"/>
              </a:fgClr>
              <a:bgClr>
                <a:schemeClr val="bg1"/>
              </a:bgClr>
            </a:pattFill>
            <a:ln>
              <a:solidFill>
                <a:srgbClr val="0070C0"/>
              </a:solidFill>
            </a:ln>
            <a:effectLst/>
          </c:spPr>
          <c:invertIfNegative val="0"/>
          <c:cat>
            <c:strRef>
              <c:f>'Compare Results'!$C$4:$F$4</c:f>
              <c:strCache>
                <c:ptCount val="4"/>
                <c:pt idx="0">
                  <c:v>Tacoma LNG</c:v>
                </c:pt>
                <c:pt idx="1">
                  <c:v>No Action Alternative</c:v>
                </c:pt>
                <c:pt idx="2">
                  <c:v>FEIS Project</c:v>
                </c:pt>
                <c:pt idx="3">
                  <c:v>FEIS
 No Project</c:v>
                </c:pt>
              </c:strCache>
            </c:strRef>
          </c:cat>
          <c:val>
            <c:numRef>
              <c:f>'Compare Results'!$C$6:$F$6</c:f>
              <c:numCache>
                <c:formatCode>#,##0</c:formatCode>
                <c:ptCount val="4"/>
                <c:pt idx="0">
                  <c:v>103948.95591486589</c:v>
                </c:pt>
                <c:pt idx="1">
                  <c:v>125245.26871105208</c:v>
                </c:pt>
                <c:pt idx="2">
                  <c:v>69299.090233008988</c:v>
                </c:pt>
                <c:pt idx="3">
                  <c:v>119237.89482183899</c:v>
                </c:pt>
              </c:numCache>
            </c:numRef>
          </c:val>
          <c:extLst xmlns:c16r2="http://schemas.microsoft.com/office/drawing/2015/06/chart">
            <c:ext xmlns:c16="http://schemas.microsoft.com/office/drawing/2014/chart" uri="{C3380CC4-5D6E-409C-BE32-E72D297353CC}">
              <c16:uniqueId val="{00000001-EB7A-485F-B018-EB4D9F372EA1}"/>
            </c:ext>
          </c:extLst>
        </c:ser>
        <c:ser>
          <c:idx val="2"/>
          <c:order val="2"/>
          <c:tx>
            <c:strRef>
              <c:f>'Compare Results'!$B$7</c:f>
              <c:strCache>
                <c:ptCount val="1"/>
                <c:pt idx="0">
                  <c:v>Operation LNG plant</c:v>
                </c:pt>
              </c:strCache>
            </c:strRef>
          </c:tx>
          <c:spPr>
            <a:pattFill prst="sphere">
              <a:fgClr>
                <a:srgbClr val="C00000"/>
              </a:fgClr>
              <a:bgClr>
                <a:schemeClr val="bg1"/>
              </a:bgClr>
            </a:pattFill>
            <a:ln>
              <a:solidFill>
                <a:srgbClr val="C00000"/>
              </a:solidFill>
            </a:ln>
            <a:effectLst/>
          </c:spPr>
          <c:invertIfNegative val="0"/>
          <c:cat>
            <c:strRef>
              <c:f>'Compare Results'!$C$4:$F$4</c:f>
              <c:strCache>
                <c:ptCount val="4"/>
                <c:pt idx="0">
                  <c:v>Tacoma LNG</c:v>
                </c:pt>
                <c:pt idx="1">
                  <c:v>No Action Alternative</c:v>
                </c:pt>
                <c:pt idx="2">
                  <c:v>FEIS Project</c:v>
                </c:pt>
                <c:pt idx="3">
                  <c:v>FEIS
 No Project</c:v>
                </c:pt>
              </c:strCache>
            </c:strRef>
          </c:cat>
          <c:val>
            <c:numRef>
              <c:f>'Compare Results'!$C$7:$F$7</c:f>
              <c:numCache>
                <c:formatCode>#,##0</c:formatCode>
                <c:ptCount val="4"/>
                <c:pt idx="0">
                  <c:v>52250.761722437543</c:v>
                </c:pt>
                <c:pt idx="1">
                  <c:v>0</c:v>
                </c:pt>
                <c:pt idx="2">
                  <c:v>33538.556699216962</c:v>
                </c:pt>
                <c:pt idx="3">
                  <c:v>0</c:v>
                </c:pt>
              </c:numCache>
            </c:numRef>
          </c:val>
          <c:extLst xmlns:c16r2="http://schemas.microsoft.com/office/drawing/2015/06/chart">
            <c:ext xmlns:c16="http://schemas.microsoft.com/office/drawing/2014/chart" uri="{C3380CC4-5D6E-409C-BE32-E72D297353CC}">
              <c16:uniqueId val="{00000002-EB7A-485F-B018-EB4D9F372EA1}"/>
            </c:ext>
          </c:extLst>
        </c:ser>
        <c:ser>
          <c:idx val="3"/>
          <c:order val="3"/>
          <c:tx>
            <c:strRef>
              <c:f>'Compare Results'!$B$8</c:f>
              <c:strCache>
                <c:ptCount val="1"/>
                <c:pt idx="0">
                  <c:v>Enduse</c:v>
                </c:pt>
              </c:strCache>
            </c:strRef>
          </c:tx>
          <c:spPr>
            <a:solidFill>
              <a:srgbClr val="FFC000"/>
            </a:solidFill>
            <a:ln w="3175">
              <a:solidFill>
                <a:srgbClr val="FF6600"/>
              </a:solidFill>
              <a:prstDash val="solid"/>
            </a:ln>
          </c:spPr>
          <c:invertIfNegative val="0"/>
          <c:cat>
            <c:strRef>
              <c:f>'Compare Results'!$C$4:$F$4</c:f>
              <c:strCache>
                <c:ptCount val="4"/>
                <c:pt idx="0">
                  <c:v>Tacoma LNG</c:v>
                </c:pt>
                <c:pt idx="1">
                  <c:v>No Action Alternative</c:v>
                </c:pt>
                <c:pt idx="2">
                  <c:v>FEIS Project</c:v>
                </c:pt>
                <c:pt idx="3">
                  <c:v>FEIS
 No Project</c:v>
                </c:pt>
              </c:strCache>
            </c:strRef>
          </c:cat>
          <c:val>
            <c:numRef>
              <c:f>'Compare Results'!$C$8:$F$8</c:f>
              <c:numCache>
                <c:formatCode>#,##0</c:formatCode>
                <c:ptCount val="4"/>
                <c:pt idx="0">
                  <c:v>529858.89173971047</c:v>
                </c:pt>
                <c:pt idx="1">
                  <c:v>602291.17428655364</c:v>
                </c:pt>
                <c:pt idx="2">
                  <c:v>488941.96755081962</c:v>
                </c:pt>
                <c:pt idx="3">
                  <c:v>573926.32171790814</c:v>
                </c:pt>
              </c:numCache>
            </c:numRef>
          </c:val>
          <c:extLst xmlns:c16r2="http://schemas.microsoft.com/office/drawing/2015/06/chart">
            <c:ext xmlns:c16="http://schemas.microsoft.com/office/drawing/2014/chart" uri="{C3380CC4-5D6E-409C-BE32-E72D297353CC}">
              <c16:uniqueId val="{00000003-EB7A-485F-B018-EB4D9F372EA1}"/>
            </c:ext>
          </c:extLst>
        </c:ser>
        <c:dLbls>
          <c:showLegendKey val="0"/>
          <c:showVal val="0"/>
          <c:showCatName val="0"/>
          <c:showSerName val="0"/>
          <c:showPercent val="0"/>
          <c:showBubbleSize val="0"/>
        </c:dLbls>
        <c:gapWidth val="150"/>
        <c:overlap val="100"/>
        <c:axId val="59028608"/>
        <c:axId val="59030144"/>
      </c:barChart>
      <c:lineChart>
        <c:grouping val="standard"/>
        <c:varyColors val="0"/>
        <c:ser>
          <c:idx val="4"/>
          <c:order val="4"/>
          <c:tx>
            <c:strRef>
              <c:f>'Compare Results'!$B$9</c:f>
              <c:strCache>
                <c:ptCount val="1"/>
                <c:pt idx="0">
                  <c:v>Total</c:v>
                </c:pt>
              </c:strCache>
            </c:strRef>
          </c:tx>
          <c:spPr>
            <a:ln w="19050">
              <a:noFill/>
            </a:ln>
          </c:spPr>
          <c:marker>
            <c:symbol val="diamond"/>
            <c:size val="9"/>
            <c:spPr>
              <a:noFill/>
              <a:ln w="9525">
                <a:noFill/>
              </a:ln>
              <a:effectLst/>
            </c:spPr>
          </c:marker>
          <c:dLbls>
            <c:dLbl>
              <c:idx val="0"/>
              <c:layout>
                <c:manualLayout>
                  <c:x val="-8.3713291862766701E-2"/>
                  <c:y val="-4.085338175215615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4B45-4554-A2FB-9794F99A5057}"/>
                </c:ext>
              </c:extLst>
            </c:dLbl>
            <c:dLbl>
              <c:idx val="1"/>
              <c:layout>
                <c:manualLayout>
                  <c:x val="-8.9692812710107178E-2"/>
                  <c:y val="-3.631411711302771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4B45-4554-A2FB-9794F99A5057}"/>
                </c:ext>
              </c:extLst>
            </c:dLbl>
            <c:dLbl>
              <c:idx val="2"/>
              <c:layout>
                <c:manualLayout>
                  <c:x val="-9.8662093981117902E-2"/>
                  <c:y val="-3.631411711302769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4B45-4554-A2FB-9794F99A5057}"/>
                </c:ext>
              </c:extLst>
            </c:dLbl>
            <c:dLbl>
              <c:idx val="3"/>
              <c:layout>
                <c:manualLayout>
                  <c:x val="-6.2784968897075022E-2"/>
                  <c:y val="-4.085338175215615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4B45-4554-A2FB-9794F99A5057}"/>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'Compare Results'!$C$4:$F$4</c:f>
              <c:strCache>
                <c:ptCount val="4"/>
                <c:pt idx="0">
                  <c:v>Tacoma LNG</c:v>
                </c:pt>
                <c:pt idx="1">
                  <c:v>No Action Alternative</c:v>
                </c:pt>
                <c:pt idx="2">
                  <c:v>FEIS Project</c:v>
                </c:pt>
                <c:pt idx="3">
                  <c:v>FEIS
 No Project</c:v>
                </c:pt>
              </c:strCache>
            </c:strRef>
          </c:cat>
          <c:val>
            <c:numRef>
              <c:f>'Compare Results'!$C$9:$F$9</c:f>
              <c:numCache>
                <c:formatCode>#,##0</c:formatCode>
                <c:ptCount val="4"/>
                <c:pt idx="0">
                  <c:v>687639.40909723099</c:v>
                </c:pt>
                <c:pt idx="1">
                  <c:v>727536.44299760577</c:v>
                </c:pt>
                <c:pt idx="2">
                  <c:v>591779.61448304553</c:v>
                </c:pt>
                <c:pt idx="3">
                  <c:v>693164.21653974708</c:v>
                </c:pt>
              </c:numCache>
            </c:numRef>
          </c:val>
          <c:smooth val="0"/>
          <c:extLst xmlns:c16r2="http://schemas.microsoft.com/office/drawing/2015/06/chart">
            <c:ext xmlns:c16="http://schemas.microsoft.com/office/drawing/2014/chart" uri="{C3380CC4-5D6E-409C-BE32-E72D297353CC}">
              <c16:uniqueId val="{00000004-EB7A-485F-B018-EB4D9F372EA1}"/>
            </c:ext>
          </c:extLst>
        </c:ser>
        <c:dLbls>
          <c:showLegendKey val="0"/>
          <c:showVal val="0"/>
          <c:showCatName val="0"/>
          <c:showSerName val="0"/>
          <c:showPercent val="0"/>
          <c:showBubbleSize val="0"/>
        </c:dLbls>
        <c:marker val="1"/>
        <c:smooth val="0"/>
        <c:axId val="59028608"/>
        <c:axId val="59030144"/>
      </c:lineChart>
      <c:catAx>
        <c:axId val="590286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vert="horz"/>
          <a:lstStyle/>
          <a:p>
            <a:pPr>
              <a:defRPr sz="1100" b="0" i="0" u="none" strike="noStrike" baseline="0">
                <a:solidFill>
                  <a:srgbClr val="000000"/>
                </a:solidFill>
                <a:latin typeface="Calibri"/>
                <a:ea typeface="Calibri"/>
                <a:cs typeface="Calibri"/>
              </a:defRPr>
            </a:pPr>
            <a:endParaRPr lang="en-US"/>
          </a:p>
        </c:txPr>
        <c:crossAx val="59030144"/>
        <c:crosses val="autoZero"/>
        <c:auto val="1"/>
        <c:lblAlgn val="ctr"/>
        <c:lblOffset val="100"/>
        <c:noMultiLvlLbl val="0"/>
      </c:catAx>
      <c:valAx>
        <c:axId val="59030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100" b="0" i="0" u="none" strike="noStrike" baseline="0">
                    <a:solidFill>
                      <a:srgbClr val="000000"/>
                    </a:solidFill>
                    <a:latin typeface="Calibri"/>
                    <a:ea typeface="Calibri"/>
                    <a:cs typeface="Calibri"/>
                  </a:defRPr>
                </a:pPr>
                <a:r>
                  <a:rPr lang="en-US"/>
                  <a:t>GHG Emissions tonne /year)</a:t>
                </a:r>
              </a:p>
            </c:rich>
          </c:tx>
          <c:layout>
            <c:manualLayout>
              <c:xMode val="edge"/>
              <c:yMode val="edge"/>
              <c:x val="3.1753609841443826E-2"/>
              <c:y val="8.1706763504312302E-2"/>
            </c:manualLayout>
          </c:layout>
          <c:overlay val="0"/>
          <c:spPr>
            <a:noFill/>
            <a:ln w="25400">
              <a:noFill/>
            </a:ln>
          </c:spPr>
        </c:title>
        <c:numFmt formatCode="#,##0" sourceLinked="1"/>
        <c:majorTickMark val="none"/>
        <c:minorTickMark val="none"/>
        <c:tickLblPos val="nextTo"/>
        <c:spPr>
          <a:ln w="6350">
            <a:noFill/>
          </a:ln>
        </c:spPr>
        <c:txPr>
          <a:bodyPr rot="0" vert="horz"/>
          <a:lstStyle/>
          <a:p>
            <a:pPr>
              <a:defRPr sz="900" b="0" i="0" u="none" strike="noStrike" baseline="0">
                <a:solidFill>
                  <a:srgbClr val="000000"/>
                </a:solidFill>
                <a:latin typeface="Calibri"/>
                <a:ea typeface="Calibri"/>
                <a:cs typeface="Calibri"/>
              </a:defRPr>
            </a:pPr>
            <a:endParaRPr lang="en-US"/>
          </a:p>
        </c:txPr>
        <c:crossAx val="59028608"/>
        <c:crosses val="autoZero"/>
        <c:crossBetween val="between"/>
      </c:valAx>
      <c:spPr>
        <a:noFill/>
        <a:ln>
          <a:solidFill>
            <a:schemeClr val="tx1"/>
          </a:solidFill>
        </a:ln>
        <a:effectLst/>
      </c:spPr>
    </c:plotArea>
    <c:legend>
      <c:legendPos val="r"/>
      <c:layout>
        <c:manualLayout>
          <c:xMode val="edge"/>
          <c:yMode val="edge"/>
          <c:x val="0.76258757493107521"/>
          <c:y val="5.4459718908881675E-2"/>
          <c:w val="0.23418064836120622"/>
          <c:h val="0.68467342497040307"/>
        </c:manualLayout>
      </c:layout>
      <c:overlay val="0"/>
      <c:spPr>
        <a:noFill/>
        <a:ln w="25400">
          <a:noFill/>
        </a:ln>
      </c:spPr>
      <c:txPr>
        <a:bodyPr/>
        <a:lstStyle/>
        <a:p>
          <a:pPr>
            <a:defRPr sz="10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722222222222216E-2"/>
          <c:y val="0.1319743550975141"/>
          <c:w val="0.85282633420822396"/>
          <c:h val="0.65472276733164303"/>
        </c:manualLayout>
      </c:layout>
      <c:barChart>
        <c:barDir val="bar"/>
        <c:grouping val="stacked"/>
        <c:varyColors val="0"/>
        <c:ser>
          <c:idx val="0"/>
          <c:order val="0"/>
          <c:tx>
            <c:strRef>
              <c:f>'Compare Results'!$C$16</c:f>
              <c:strCache>
                <c:ptCount val="1"/>
                <c:pt idx="0">
                  <c:v>No Action Alternative</c:v>
                </c:pt>
              </c:strCache>
            </c:strRef>
          </c:tx>
          <c:spPr>
            <a:solidFill>
              <a:schemeClr val="accent1">
                <a:lumMod val="60000"/>
                <a:lumOff val="40000"/>
              </a:schemeClr>
            </a:solidFill>
            <a:ln>
              <a:solidFill>
                <a:srgbClr val="0070C0"/>
              </a:solidFill>
            </a:ln>
            <a:effectLst/>
          </c:spPr>
          <c:invertIfNegative val="0"/>
          <c:dLbls>
            <c:dLbl>
              <c:idx val="1"/>
              <c:layout>
                <c:manualLayout>
                  <c:x val="-0.1624817138851499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59D3-4E0C-8E83-B6ABB93488B8}"/>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9D3-4E0C-8E83-B6ABB93488B8}"/>
                </c:ext>
              </c:extLst>
            </c:dLbl>
            <c:dLbl>
              <c:idx val="3"/>
              <c:layout>
                <c:manualLayout>
                  <c:x val="-0.15278131305618578"/>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59D3-4E0C-8E83-B6ABB93488B8}"/>
                </c:ext>
              </c:extLst>
            </c:dLbl>
            <c:dLbl>
              <c:idx val="4"/>
              <c:layout>
                <c:manualLayout>
                  <c:x val="-0.15763151347066787"/>
                  <c:y val="2.1962478125672761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59D3-4E0C-8E83-B6ABB93488B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'Compare Results'!$B$17:$B$21</c:f>
              <c:strCache>
                <c:ptCount val="5"/>
                <c:pt idx="0">
                  <c:v>Construction</c:v>
                </c:pt>
                <c:pt idx="1">
                  <c:v>Upstream</c:v>
                </c:pt>
                <c:pt idx="2">
                  <c:v>Operation LNG plant</c:v>
                </c:pt>
                <c:pt idx="3">
                  <c:v>Enduse</c:v>
                </c:pt>
                <c:pt idx="4">
                  <c:v>Total</c:v>
                </c:pt>
              </c:strCache>
            </c:strRef>
          </c:cat>
          <c:val>
            <c:numRef>
              <c:f>'Compare Results'!$C$17:$C$21</c:f>
              <c:numCache>
                <c:formatCode>#,##0</c:formatCode>
                <c:ptCount val="5"/>
                <c:pt idx="1">
                  <c:v>-125245.26871105208</c:v>
                </c:pt>
                <c:pt idx="2">
                  <c:v>0</c:v>
                </c:pt>
                <c:pt idx="3">
                  <c:v>-602291.17428655364</c:v>
                </c:pt>
                <c:pt idx="4">
                  <c:v>-727536.44299760577</c:v>
                </c:pt>
              </c:numCache>
            </c:numRef>
          </c:val>
          <c:extLst xmlns:c16r2="http://schemas.microsoft.com/office/drawing/2015/06/chart">
            <c:ext xmlns:c16="http://schemas.microsoft.com/office/drawing/2014/chart" uri="{C3380CC4-5D6E-409C-BE32-E72D297353CC}">
              <c16:uniqueId val="{00000000-250F-4614-9A75-F389D727E47B}"/>
            </c:ext>
          </c:extLst>
        </c:ser>
        <c:ser>
          <c:idx val="1"/>
          <c:order val="1"/>
          <c:tx>
            <c:strRef>
              <c:f>'Compare Results'!$D$16</c:f>
              <c:strCache>
                <c:ptCount val="1"/>
                <c:pt idx="0">
                  <c:v>Tacoma LNG</c:v>
                </c:pt>
              </c:strCache>
            </c:strRef>
          </c:tx>
          <c:spPr>
            <a:solidFill>
              <a:srgbClr val="FFC000"/>
            </a:solidFill>
            <a:ln>
              <a:solidFill>
                <a:srgbClr val="C00000"/>
              </a:solidFill>
            </a:ln>
            <a:effectLst/>
          </c:spPr>
          <c:invertIfNegative val="0"/>
          <c:dLbls>
            <c:dLbl>
              <c:idx val="0"/>
              <c:layout>
                <c:manualLayout>
                  <c:x val="4.1666666666666664E-2"/>
                  <c:y val="-8.4875562720133283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1A62-4E75-84FC-3ACF7A591A7C}"/>
                </c:ext>
              </c:extLst>
            </c:dLbl>
            <c:dLbl>
              <c:idx val="1"/>
              <c:layout>
                <c:manualLayout>
                  <c:x val="7.7777777777777682E-2"/>
                  <c:y val="-8.4875562720133283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1A62-4E75-84FC-3ACF7A591A7C}"/>
                </c:ext>
              </c:extLst>
            </c:dLbl>
            <c:dLbl>
              <c:idx val="2"/>
              <c:layout>
                <c:manualLayout>
                  <c:x val="5.8333333333333334E-2"/>
                  <c:y val="-8.4875562720133283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1A62-4E75-84FC-3ACF7A591A7C}"/>
                </c:ext>
              </c:extLst>
            </c:dLbl>
            <c:dLbl>
              <c:idx val="3"/>
              <c:layout>
                <c:manualLayout>
                  <c:x val="8.8888888888888892E-2"/>
                  <c:y val="-4.629629629629629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1A62-4E75-84FC-3ACF7A591A7C}"/>
                </c:ext>
              </c:extLst>
            </c:dLbl>
            <c:dLbl>
              <c:idx val="4"/>
              <c:layout>
                <c:manualLayout>
                  <c:x val="0.12222222222222222"/>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1A62-4E75-84FC-3ACF7A591A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'Compare Results'!$B$17:$B$21</c:f>
              <c:strCache>
                <c:ptCount val="5"/>
                <c:pt idx="0">
                  <c:v>Construction</c:v>
                </c:pt>
                <c:pt idx="1">
                  <c:v>Upstream</c:v>
                </c:pt>
                <c:pt idx="2">
                  <c:v>Operation LNG plant</c:v>
                </c:pt>
                <c:pt idx="3">
                  <c:v>Enduse</c:v>
                </c:pt>
                <c:pt idx="4">
                  <c:v>Total</c:v>
                </c:pt>
              </c:strCache>
            </c:strRef>
          </c:cat>
          <c:val>
            <c:numRef>
              <c:f>'Compare Results'!$D$17:$D$21</c:f>
              <c:numCache>
                <c:formatCode>#,##0</c:formatCode>
                <c:ptCount val="5"/>
                <c:pt idx="0">
                  <c:v>1580.7997202170586</c:v>
                </c:pt>
                <c:pt idx="1">
                  <c:v>103948.95591486589</c:v>
                </c:pt>
                <c:pt idx="2">
                  <c:v>52250.761722437543</c:v>
                </c:pt>
                <c:pt idx="3">
                  <c:v>529858.89173971047</c:v>
                </c:pt>
                <c:pt idx="4">
                  <c:v>687639.40909723099</c:v>
                </c:pt>
              </c:numCache>
            </c:numRef>
          </c:val>
          <c:extLst xmlns:c16r2="http://schemas.microsoft.com/office/drawing/2015/06/chart">
            <c:ext xmlns:c16="http://schemas.microsoft.com/office/drawing/2014/chart" uri="{C3380CC4-5D6E-409C-BE32-E72D297353CC}">
              <c16:uniqueId val="{00000001-250F-4614-9A75-F389D727E47B}"/>
            </c:ext>
          </c:extLst>
        </c:ser>
        <c:dLbls>
          <c:showLegendKey val="0"/>
          <c:showVal val="0"/>
          <c:showCatName val="0"/>
          <c:showSerName val="0"/>
          <c:showPercent val="0"/>
          <c:showBubbleSize val="0"/>
        </c:dLbls>
        <c:gapWidth val="150"/>
        <c:overlap val="100"/>
        <c:axId val="59348096"/>
        <c:axId val="59349632"/>
      </c:barChart>
      <c:catAx>
        <c:axId val="59348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9349632"/>
        <c:crosses val="autoZero"/>
        <c:auto val="1"/>
        <c:lblAlgn val="ctr"/>
        <c:lblOffset val="100"/>
        <c:noMultiLvlLbl val="0"/>
      </c:catAx>
      <c:valAx>
        <c:axId val="593496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solidFill>
                      <a:schemeClr val="tx1"/>
                    </a:solidFill>
                  </a:rPr>
                  <a:t>GHG Emissions (tonne/year)</a:t>
                </a:r>
              </a:p>
            </c:rich>
          </c:tx>
          <c:layout>
            <c:manualLayout>
              <c:xMode val="edge"/>
              <c:yMode val="edge"/>
              <c:x val="0.37084361329833776"/>
              <c:y val="0.88822785301123375"/>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9348096"/>
        <c:crosses val="autoZero"/>
        <c:crossBetween val="between"/>
      </c:valAx>
      <c:spPr>
        <a:noFill/>
        <a:ln w="3175">
          <a:solidFill>
            <a:schemeClr val="tx1"/>
          </a:solidFill>
        </a:ln>
        <a:effectLst/>
      </c:spPr>
    </c:plotArea>
    <c:legend>
      <c:legendPos val="b"/>
      <c:layout>
        <c:manualLayout>
          <c:xMode val="edge"/>
          <c:yMode val="edge"/>
          <c:x val="0.25087289960681686"/>
          <c:y val="4.3389496830572999E-2"/>
          <c:w val="0.44799648756911559"/>
          <c:h val="8.49024200957199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84645017884419"/>
          <c:y val="8.5616581523874816E-2"/>
          <c:w val="0.79487332592402826"/>
          <c:h val="0.69863130523481853"/>
        </c:manualLayout>
      </c:layout>
      <c:scatterChart>
        <c:scatterStyle val="lineMarker"/>
        <c:varyColors val="0"/>
        <c:ser>
          <c:idx val="0"/>
          <c:order val="0"/>
          <c:spPr>
            <a:ln w="19050">
              <a:noFill/>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linear"/>
            <c:dispRSqr val="0"/>
            <c:dispEq val="0"/>
          </c:trendline>
          <c:xVal>
            <c:numRef>
              <c:f>Fuel_Specs!$U$71:$U$76</c:f>
              <c:numCache>
                <c:formatCode>General</c:formatCode>
                <c:ptCount val="6"/>
                <c:pt idx="0">
                  <c:v>0.80200000000000005</c:v>
                </c:pt>
                <c:pt idx="1">
                  <c:v>0.79200000000000004</c:v>
                </c:pt>
                <c:pt idx="2">
                  <c:v>0.75700000000000001</c:v>
                </c:pt>
                <c:pt idx="3">
                  <c:v>0.8</c:v>
                </c:pt>
                <c:pt idx="4">
                  <c:v>0.8</c:v>
                </c:pt>
                <c:pt idx="5">
                  <c:v>0.78</c:v>
                </c:pt>
              </c:numCache>
            </c:numRef>
          </c:xVal>
          <c:yVal>
            <c:numRef>
              <c:f>Fuel_Specs!$W$71:$W$76</c:f>
              <c:numCache>
                <c:formatCode>0.0%</c:formatCode>
                <c:ptCount val="6"/>
                <c:pt idx="0">
                  <c:v>0.86199999999999999</c:v>
                </c:pt>
                <c:pt idx="1">
                  <c:v>0.86</c:v>
                </c:pt>
                <c:pt idx="2">
                  <c:v>0.84699999999999998</c:v>
                </c:pt>
                <c:pt idx="3">
                  <c:v>0.85099999999999998</c:v>
                </c:pt>
                <c:pt idx="4">
                  <c:v>0.85</c:v>
                </c:pt>
                <c:pt idx="5">
                  <c:v>0.84499999999999997</c:v>
                </c:pt>
              </c:numCache>
            </c:numRef>
          </c:yVal>
          <c:smooth val="0"/>
          <c:extLst xmlns:c16r2="http://schemas.microsoft.com/office/drawing/2015/06/chart">
            <c:ext xmlns:c16="http://schemas.microsoft.com/office/drawing/2014/chart" uri="{C3380CC4-5D6E-409C-BE32-E72D297353CC}">
              <c16:uniqueId val="{00000001-8A0B-4319-9FF3-54C0D57E6D12}"/>
            </c:ext>
          </c:extLst>
        </c:ser>
        <c:dLbls>
          <c:showLegendKey val="0"/>
          <c:showVal val="0"/>
          <c:showCatName val="0"/>
          <c:showSerName val="0"/>
          <c:showPercent val="0"/>
          <c:showBubbleSize val="0"/>
        </c:dLbls>
        <c:axId val="62347136"/>
        <c:axId val="62353408"/>
      </c:scatterChart>
      <c:valAx>
        <c:axId val="6234713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SG</a:t>
                </a:r>
              </a:p>
            </c:rich>
          </c:tx>
          <c:layout>
            <c:manualLayout>
              <c:xMode val="edge"/>
              <c:yMode val="edge"/>
              <c:x val="0.53254541407176181"/>
              <c:y val="0.8767137441153188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2353408"/>
        <c:crosses val="autoZero"/>
        <c:crossBetween val="midCat"/>
      </c:valAx>
      <c:valAx>
        <c:axId val="6235340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%C</a:t>
                </a:r>
              </a:p>
            </c:rich>
          </c:tx>
          <c:layout>
            <c:manualLayout>
              <c:xMode val="edge"/>
              <c:yMode val="edge"/>
              <c:x val="3.1558185404339252E-2"/>
              <c:y val="0.40068546987182158"/>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2347136"/>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180975</xdr:colOff>
      <xdr:row>156</xdr:row>
      <xdr:rowOff>133350</xdr:rowOff>
    </xdr:from>
    <xdr:to>
      <xdr:col>13</xdr:col>
      <xdr:colOff>513672</xdr:colOff>
      <xdr:row>163</xdr:row>
      <xdr:rowOff>161751</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7429500" y="30746700"/>
          <a:ext cx="5428571" cy="13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446087</xdr:colOff>
      <xdr:row>27</xdr:row>
      <xdr:rowOff>158750</xdr:rowOff>
    </xdr:from>
    <xdr:to>
      <xdr:col>24</xdr:col>
      <xdr:colOff>527051</xdr:colOff>
      <xdr:row>44</xdr:row>
      <xdr:rowOff>111126</xdr:rowOff>
    </xdr:to>
    <xdr:graphicFrame macro="">
      <xdr:nvGraphicFramePr>
        <xdr:cNvPr id="2" name="Chart 1">
          <a:extLst>
            <a:ext uri="{FF2B5EF4-FFF2-40B4-BE49-F238E27FC236}">
              <a16:creationId xmlns:a16="http://schemas.microsoft.com/office/drawing/2014/main" xmlns=""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615641</xdr:colOff>
      <xdr:row>0</xdr:row>
      <xdr:rowOff>113982</xdr:rowOff>
    </xdr:from>
    <xdr:to>
      <xdr:col>14</xdr:col>
      <xdr:colOff>376238</xdr:colOff>
      <xdr:row>13</xdr:row>
      <xdr:rowOff>11616</xdr:rowOff>
    </xdr:to>
    <xdr:graphicFrame macro="">
      <xdr:nvGraphicFramePr>
        <xdr:cNvPr id="43163" name="Chart 1">
          <a:extLst>
            <a:ext uri="{FF2B5EF4-FFF2-40B4-BE49-F238E27FC236}">
              <a16:creationId xmlns:a16="http://schemas.microsoft.com/office/drawing/2014/main" xmlns="" id="{00000000-0008-0000-0200-00009BA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305027</xdr:colOff>
      <xdr:row>12</xdr:row>
      <xdr:rowOff>236991</xdr:rowOff>
    </xdr:from>
    <xdr:to>
      <xdr:col>14</xdr:col>
      <xdr:colOff>434046</xdr:colOff>
      <xdr:row>25</xdr:row>
      <xdr:rowOff>53821</xdr:rowOff>
    </xdr:to>
    <xdr:graphicFrame macro="">
      <xdr:nvGraphicFramePr>
        <xdr:cNvPr id="3" name="Gráfico 2">
          <a:extLst>
            <a:ext uri="{FF2B5EF4-FFF2-40B4-BE49-F238E27FC236}">
              <a16:creationId xmlns:a16="http://schemas.microsoft.com/office/drawing/2014/main" xmlns=""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38</xdr:col>
      <xdr:colOff>0</xdr:colOff>
      <xdr:row>41</xdr:row>
      <xdr:rowOff>107156</xdr:rowOff>
    </xdr:from>
    <xdr:to>
      <xdr:col>39</xdr:col>
      <xdr:colOff>914400</xdr:colOff>
      <xdr:row>41</xdr:row>
      <xdr:rowOff>111126</xdr:rowOff>
    </xdr:to>
    <xdr:cxnSp macro="">
      <xdr:nvCxnSpPr>
        <xdr:cNvPr id="5" name="Straight Arrow Connector 4">
          <a:extLst>
            <a:ext uri="{FF2B5EF4-FFF2-40B4-BE49-F238E27FC236}">
              <a16:creationId xmlns:a16="http://schemas.microsoft.com/office/drawing/2014/main" xmlns="" id="{00000000-0008-0000-0500-000005000000}"/>
            </a:ext>
          </a:extLst>
        </xdr:cNvPr>
        <xdr:cNvCxnSpPr/>
      </xdr:nvCxnSpPr>
      <xdr:spPr>
        <a:xfrm>
          <a:off x="7441406" y="8405812"/>
          <a:ext cx="1819275" cy="3970"/>
        </a:xfrm>
        <a:prstGeom prst="bentConnector3">
          <a:avLst>
            <a:gd name="adj1" fmla="val 50000"/>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557936</xdr:colOff>
      <xdr:row>42</xdr:row>
      <xdr:rowOff>187620</xdr:rowOff>
    </xdr:from>
    <xdr:to>
      <xdr:col>43</xdr:col>
      <xdr:colOff>72159</xdr:colOff>
      <xdr:row>44</xdr:row>
      <xdr:rowOff>57728</xdr:rowOff>
    </xdr:to>
    <xdr:cxnSp macro="">
      <xdr:nvCxnSpPr>
        <xdr:cNvPr id="10" name="Straight Arrow Connector 4">
          <a:extLst>
            <a:ext uri="{FF2B5EF4-FFF2-40B4-BE49-F238E27FC236}">
              <a16:creationId xmlns:a16="http://schemas.microsoft.com/office/drawing/2014/main" xmlns="" id="{00000000-0008-0000-0500-00000A000000}"/>
            </a:ext>
          </a:extLst>
        </xdr:cNvPr>
        <xdr:cNvCxnSpPr/>
      </xdr:nvCxnSpPr>
      <xdr:spPr>
        <a:xfrm rot="10800000">
          <a:off x="8654186" y="8630234"/>
          <a:ext cx="1534678" cy="259767"/>
        </a:xfrm>
        <a:prstGeom prst="bentConnector3">
          <a:avLst>
            <a:gd name="adj1" fmla="val 99840"/>
          </a:avLst>
        </a:prstGeom>
        <a:ln w="15875">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9525</xdr:colOff>
      <xdr:row>42</xdr:row>
      <xdr:rowOff>47624</xdr:rowOff>
    </xdr:from>
    <xdr:to>
      <xdr:col>43</xdr:col>
      <xdr:colOff>0</xdr:colOff>
      <xdr:row>42</xdr:row>
      <xdr:rowOff>47627</xdr:rowOff>
    </xdr:to>
    <xdr:cxnSp macro="">
      <xdr:nvCxnSpPr>
        <xdr:cNvPr id="11" name="Straight Arrow Connector 4">
          <a:extLst>
            <a:ext uri="{FF2B5EF4-FFF2-40B4-BE49-F238E27FC236}">
              <a16:creationId xmlns:a16="http://schemas.microsoft.com/office/drawing/2014/main" xmlns="" id="{00000000-0008-0000-0500-00000B000000}"/>
            </a:ext>
          </a:extLst>
        </xdr:cNvPr>
        <xdr:cNvCxnSpPr/>
      </xdr:nvCxnSpPr>
      <xdr:spPr>
        <a:xfrm flipV="1">
          <a:off x="12796838" y="8548687"/>
          <a:ext cx="538162" cy="3"/>
        </a:xfrm>
        <a:prstGeom prst="bentConnector3">
          <a:avLst>
            <a:gd name="adj1" fmla="val 50000"/>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390526</xdr:colOff>
      <xdr:row>43</xdr:row>
      <xdr:rowOff>9523</xdr:rowOff>
    </xdr:from>
    <xdr:to>
      <xdr:col>43</xdr:col>
      <xdr:colOff>266707</xdr:colOff>
      <xdr:row>44</xdr:row>
      <xdr:rowOff>161925</xdr:rowOff>
    </xdr:to>
    <xdr:cxnSp macro="">
      <xdr:nvCxnSpPr>
        <xdr:cNvPr id="14" name="Straight Arrow Connector 4">
          <a:extLst>
            <a:ext uri="{FF2B5EF4-FFF2-40B4-BE49-F238E27FC236}">
              <a16:creationId xmlns:a16="http://schemas.microsoft.com/office/drawing/2014/main" xmlns="" id="{00000000-0008-0000-0500-00000E000000}"/>
            </a:ext>
          </a:extLst>
        </xdr:cNvPr>
        <xdr:cNvCxnSpPr/>
      </xdr:nvCxnSpPr>
      <xdr:spPr>
        <a:xfrm rot="10800000" flipV="1">
          <a:off x="2724151" y="2295523"/>
          <a:ext cx="3952881" cy="342902"/>
        </a:xfrm>
        <a:prstGeom prst="bentConnector3">
          <a:avLst>
            <a:gd name="adj1" fmla="val 121"/>
          </a:avLst>
        </a:prstGeom>
        <a:ln w="15875">
          <a:solidFill>
            <a:srgbClr val="92D05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20493</xdr:colOff>
      <xdr:row>34</xdr:row>
      <xdr:rowOff>101023</xdr:rowOff>
    </xdr:from>
    <xdr:to>
      <xdr:col>45</xdr:col>
      <xdr:colOff>360795</xdr:colOff>
      <xdr:row>39</xdr:row>
      <xdr:rowOff>43297</xdr:rowOff>
    </xdr:to>
    <xdr:cxnSp macro="">
      <xdr:nvCxnSpPr>
        <xdr:cNvPr id="19" name="Straight Arrow Connector 4">
          <a:extLst>
            <a:ext uri="{FF2B5EF4-FFF2-40B4-BE49-F238E27FC236}">
              <a16:creationId xmlns:a16="http://schemas.microsoft.com/office/drawing/2014/main" xmlns="" id="{00000000-0008-0000-0500-000013000000}"/>
            </a:ext>
          </a:extLst>
        </xdr:cNvPr>
        <xdr:cNvCxnSpPr/>
      </xdr:nvCxnSpPr>
      <xdr:spPr>
        <a:xfrm flipV="1">
          <a:off x="42045948" y="6855114"/>
          <a:ext cx="3039052" cy="1082388"/>
        </a:xfrm>
        <a:prstGeom prst="bentConnector3">
          <a:avLst>
            <a:gd name="adj1" fmla="val 50000"/>
          </a:avLst>
        </a:prstGeom>
        <a:ln w="15875">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276225</xdr:colOff>
      <xdr:row>43</xdr:row>
      <xdr:rowOff>0</xdr:rowOff>
    </xdr:from>
    <xdr:to>
      <xdr:col>43</xdr:col>
      <xdr:colOff>3</xdr:colOff>
      <xdr:row>46</xdr:row>
      <xdr:rowOff>28575</xdr:rowOff>
    </xdr:to>
    <xdr:cxnSp macro="">
      <xdr:nvCxnSpPr>
        <xdr:cNvPr id="20" name="Straight Arrow Connector 4">
          <a:extLst>
            <a:ext uri="{FF2B5EF4-FFF2-40B4-BE49-F238E27FC236}">
              <a16:creationId xmlns:a16="http://schemas.microsoft.com/office/drawing/2014/main" xmlns="" id="{00000000-0008-0000-0500-000014000000}"/>
            </a:ext>
          </a:extLst>
        </xdr:cNvPr>
        <xdr:cNvCxnSpPr/>
      </xdr:nvCxnSpPr>
      <xdr:spPr>
        <a:xfrm>
          <a:off x="4810125" y="1847850"/>
          <a:ext cx="1685928" cy="609600"/>
        </a:xfrm>
        <a:prstGeom prst="bentConnector3">
          <a:avLst>
            <a:gd name="adj1" fmla="val 283"/>
          </a:avLst>
        </a:prstGeom>
        <a:ln w="15875">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523875</xdr:colOff>
      <xdr:row>43</xdr:row>
      <xdr:rowOff>19049</xdr:rowOff>
    </xdr:from>
    <xdr:to>
      <xdr:col>43</xdr:col>
      <xdr:colOff>523879</xdr:colOff>
      <xdr:row>45</xdr:row>
      <xdr:rowOff>28577</xdr:rowOff>
    </xdr:to>
    <xdr:cxnSp macro="">
      <xdr:nvCxnSpPr>
        <xdr:cNvPr id="29" name="Straight Arrow Connector 4">
          <a:extLst>
            <a:ext uri="{FF2B5EF4-FFF2-40B4-BE49-F238E27FC236}">
              <a16:creationId xmlns:a16="http://schemas.microsoft.com/office/drawing/2014/main" xmlns="" id="{00000000-0008-0000-0500-00001D000000}"/>
            </a:ext>
          </a:extLst>
        </xdr:cNvPr>
        <xdr:cNvCxnSpPr/>
      </xdr:nvCxnSpPr>
      <xdr:spPr>
        <a:xfrm rot="16200000" flipH="1">
          <a:off x="6819900" y="1790699"/>
          <a:ext cx="400053" cy="4"/>
        </a:xfrm>
        <a:prstGeom prst="bentConnector3">
          <a:avLst>
            <a:gd name="adj1" fmla="val 49999"/>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9525</xdr:colOff>
      <xdr:row>46</xdr:row>
      <xdr:rowOff>19050</xdr:rowOff>
    </xdr:from>
    <xdr:to>
      <xdr:col>45</xdr:col>
      <xdr:colOff>590550</xdr:colOff>
      <xdr:row>46</xdr:row>
      <xdr:rowOff>19051</xdr:rowOff>
    </xdr:to>
    <xdr:cxnSp macro="">
      <xdr:nvCxnSpPr>
        <xdr:cNvPr id="35" name="Straight Arrow Connector 4">
          <a:extLst>
            <a:ext uri="{FF2B5EF4-FFF2-40B4-BE49-F238E27FC236}">
              <a16:creationId xmlns:a16="http://schemas.microsoft.com/office/drawing/2014/main" xmlns="" id="{00000000-0008-0000-0500-000023000000}"/>
            </a:ext>
          </a:extLst>
        </xdr:cNvPr>
        <xdr:cNvCxnSpPr/>
      </xdr:nvCxnSpPr>
      <xdr:spPr>
        <a:xfrm flipV="1">
          <a:off x="7591425" y="2171700"/>
          <a:ext cx="581025" cy="1"/>
        </a:xfrm>
        <a:prstGeom prst="bentConnector3">
          <a:avLst>
            <a:gd name="adj1" fmla="val 50000"/>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742950</xdr:colOff>
      <xdr:row>37</xdr:row>
      <xdr:rowOff>190500</xdr:rowOff>
    </xdr:from>
    <xdr:to>
      <xdr:col>40</xdr:col>
      <xdr:colOff>742950</xdr:colOff>
      <xdr:row>40</xdr:row>
      <xdr:rowOff>1</xdr:rowOff>
    </xdr:to>
    <xdr:cxnSp macro="">
      <xdr:nvCxnSpPr>
        <xdr:cNvPr id="34" name="Conector recto de flecha 33">
          <a:extLst>
            <a:ext uri="{FF2B5EF4-FFF2-40B4-BE49-F238E27FC236}">
              <a16:creationId xmlns:a16="http://schemas.microsoft.com/office/drawing/2014/main" xmlns="" id="{00000000-0008-0000-0500-000022000000}"/>
            </a:ext>
          </a:extLst>
        </xdr:cNvPr>
        <xdr:cNvCxnSpPr/>
      </xdr:nvCxnSpPr>
      <xdr:spPr>
        <a:xfrm flipV="1">
          <a:off x="5276850" y="866775"/>
          <a:ext cx="0" cy="438151"/>
        </a:xfrm>
        <a:prstGeom prst="straightConnector1">
          <a:avLst/>
        </a:prstGeom>
        <a:ln w="15875">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66676</xdr:colOff>
      <xdr:row>42</xdr:row>
      <xdr:rowOff>180976</xdr:rowOff>
    </xdr:from>
    <xdr:to>
      <xdr:col>43</xdr:col>
      <xdr:colOff>66679</xdr:colOff>
      <xdr:row>44</xdr:row>
      <xdr:rowOff>47628</xdr:rowOff>
    </xdr:to>
    <xdr:cxnSp macro="">
      <xdr:nvCxnSpPr>
        <xdr:cNvPr id="63" name="Straight Arrow Connector 4">
          <a:extLst>
            <a:ext uri="{FF2B5EF4-FFF2-40B4-BE49-F238E27FC236}">
              <a16:creationId xmlns:a16="http://schemas.microsoft.com/office/drawing/2014/main" xmlns="" id="{00000000-0008-0000-0500-00003F000000}"/>
            </a:ext>
          </a:extLst>
        </xdr:cNvPr>
        <xdr:cNvCxnSpPr/>
      </xdr:nvCxnSpPr>
      <xdr:spPr>
        <a:xfrm rot="5400000">
          <a:off x="6348414" y="5443538"/>
          <a:ext cx="257177" cy="3"/>
        </a:xfrm>
        <a:prstGeom prst="bentConnector3">
          <a:avLst>
            <a:gd name="adj1" fmla="val 50000"/>
          </a:avLst>
        </a:prstGeom>
        <a:ln w="15875">
          <a:solidFill>
            <a:srgbClr val="0070C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0</xdr:colOff>
      <xdr:row>41</xdr:row>
      <xdr:rowOff>180975</xdr:rowOff>
    </xdr:from>
    <xdr:to>
      <xdr:col>45</xdr:col>
      <xdr:colOff>581025</xdr:colOff>
      <xdr:row>41</xdr:row>
      <xdr:rowOff>180976</xdr:rowOff>
    </xdr:to>
    <xdr:cxnSp macro="">
      <xdr:nvCxnSpPr>
        <xdr:cNvPr id="72" name="Straight Arrow Connector 4">
          <a:extLst>
            <a:ext uri="{FF2B5EF4-FFF2-40B4-BE49-F238E27FC236}">
              <a16:creationId xmlns:a16="http://schemas.microsoft.com/office/drawing/2014/main" xmlns="" id="{00000000-0008-0000-0500-000048000000}"/>
            </a:ext>
          </a:extLst>
        </xdr:cNvPr>
        <xdr:cNvCxnSpPr/>
      </xdr:nvCxnSpPr>
      <xdr:spPr>
        <a:xfrm flipV="1">
          <a:off x="7496175" y="5114925"/>
          <a:ext cx="581025" cy="1"/>
        </a:xfrm>
        <a:prstGeom prst="bentConnector3">
          <a:avLst>
            <a:gd name="adj1" fmla="val 50000"/>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476250</xdr:colOff>
      <xdr:row>41</xdr:row>
      <xdr:rowOff>85725</xdr:rowOff>
    </xdr:from>
    <xdr:to>
      <xdr:col>34</xdr:col>
      <xdr:colOff>1095375</xdr:colOff>
      <xdr:row>41</xdr:row>
      <xdr:rowOff>85726</xdr:rowOff>
    </xdr:to>
    <xdr:cxnSp macro="">
      <xdr:nvCxnSpPr>
        <xdr:cNvPr id="80" name="Straight Arrow Connector 4">
          <a:extLst>
            <a:ext uri="{FF2B5EF4-FFF2-40B4-BE49-F238E27FC236}">
              <a16:creationId xmlns:a16="http://schemas.microsoft.com/office/drawing/2014/main" xmlns="" id="{00000000-0008-0000-0500-000050000000}"/>
            </a:ext>
          </a:extLst>
        </xdr:cNvPr>
        <xdr:cNvCxnSpPr/>
      </xdr:nvCxnSpPr>
      <xdr:spPr>
        <a:xfrm>
          <a:off x="1085850" y="5019675"/>
          <a:ext cx="1228725" cy="1"/>
        </a:xfrm>
        <a:prstGeom prst="bentConnector3">
          <a:avLst>
            <a:gd name="adj1" fmla="val 50000"/>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504826</xdr:colOff>
      <xdr:row>28</xdr:row>
      <xdr:rowOff>114300</xdr:rowOff>
    </xdr:from>
    <xdr:to>
      <xdr:col>40</xdr:col>
      <xdr:colOff>504830</xdr:colOff>
      <xdr:row>36</xdr:row>
      <xdr:rowOff>19051</xdr:rowOff>
    </xdr:to>
    <xdr:cxnSp macro="">
      <xdr:nvCxnSpPr>
        <xdr:cNvPr id="92" name="Straight Arrow Connector 4">
          <a:extLst>
            <a:ext uri="{FF2B5EF4-FFF2-40B4-BE49-F238E27FC236}">
              <a16:creationId xmlns:a16="http://schemas.microsoft.com/office/drawing/2014/main" xmlns="" id="{00000000-0008-0000-0500-00005C000000}"/>
            </a:ext>
          </a:extLst>
        </xdr:cNvPr>
        <xdr:cNvCxnSpPr/>
      </xdr:nvCxnSpPr>
      <xdr:spPr>
        <a:xfrm rot="5400000" flipH="1" flipV="1">
          <a:off x="4914902" y="3324224"/>
          <a:ext cx="1466851" cy="4"/>
        </a:xfrm>
        <a:prstGeom prst="bentConnector3">
          <a:avLst>
            <a:gd name="adj1" fmla="val 50000"/>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203201</xdr:colOff>
      <xdr:row>32</xdr:row>
      <xdr:rowOff>59267</xdr:rowOff>
    </xdr:from>
    <xdr:to>
      <xdr:col>36</xdr:col>
      <xdr:colOff>203202</xdr:colOff>
      <xdr:row>40</xdr:row>
      <xdr:rowOff>8468</xdr:rowOff>
    </xdr:to>
    <xdr:cxnSp macro="">
      <xdr:nvCxnSpPr>
        <xdr:cNvPr id="97" name="Straight Arrow Connector 4">
          <a:extLst>
            <a:ext uri="{FF2B5EF4-FFF2-40B4-BE49-F238E27FC236}">
              <a16:creationId xmlns:a16="http://schemas.microsoft.com/office/drawing/2014/main" xmlns="" id="{00000000-0008-0000-0500-000061000000}"/>
            </a:ext>
          </a:extLst>
        </xdr:cNvPr>
        <xdr:cNvCxnSpPr/>
      </xdr:nvCxnSpPr>
      <xdr:spPr>
        <a:xfrm flipH="1" flipV="1">
          <a:off x="40013468" y="6172200"/>
          <a:ext cx="1" cy="1752601"/>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714375</xdr:colOff>
      <xdr:row>43</xdr:row>
      <xdr:rowOff>9525</xdr:rowOff>
    </xdr:from>
    <xdr:to>
      <xdr:col>40</xdr:col>
      <xdr:colOff>714375</xdr:colOff>
      <xdr:row>44</xdr:row>
      <xdr:rowOff>152400</xdr:rowOff>
    </xdr:to>
    <xdr:cxnSp macro="">
      <xdr:nvCxnSpPr>
        <xdr:cNvPr id="84" name="Conector recto 83">
          <a:extLst>
            <a:ext uri="{FF2B5EF4-FFF2-40B4-BE49-F238E27FC236}">
              <a16:creationId xmlns:a16="http://schemas.microsoft.com/office/drawing/2014/main" xmlns="" id="{00000000-0008-0000-0500-000054000000}"/>
            </a:ext>
          </a:extLst>
        </xdr:cNvPr>
        <xdr:cNvCxnSpPr/>
      </xdr:nvCxnSpPr>
      <xdr:spPr>
        <a:xfrm>
          <a:off x="5162550" y="2295525"/>
          <a:ext cx="0" cy="333375"/>
        </a:xfrm>
        <a:prstGeom prst="line">
          <a:avLst/>
        </a:prstGeom>
        <a:ln w="15875">
          <a:solidFill>
            <a:srgbClr val="92D05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371475</xdr:colOff>
      <xdr:row>43</xdr:row>
      <xdr:rowOff>9525</xdr:rowOff>
    </xdr:from>
    <xdr:to>
      <xdr:col>35</xdr:col>
      <xdr:colOff>390526</xdr:colOff>
      <xdr:row>47</xdr:row>
      <xdr:rowOff>161925</xdr:rowOff>
    </xdr:to>
    <xdr:cxnSp macro="">
      <xdr:nvCxnSpPr>
        <xdr:cNvPr id="87" name="Conector recto de flecha 86">
          <a:extLst>
            <a:ext uri="{FF2B5EF4-FFF2-40B4-BE49-F238E27FC236}">
              <a16:creationId xmlns:a16="http://schemas.microsoft.com/office/drawing/2014/main" xmlns="" id="{00000000-0008-0000-0500-000057000000}"/>
            </a:ext>
          </a:extLst>
        </xdr:cNvPr>
        <xdr:cNvCxnSpPr/>
      </xdr:nvCxnSpPr>
      <xdr:spPr>
        <a:xfrm flipH="1">
          <a:off x="2705100" y="2295525"/>
          <a:ext cx="19051" cy="933450"/>
        </a:xfrm>
        <a:prstGeom prst="straightConnector1">
          <a:avLst/>
        </a:prstGeom>
        <a:ln w="12700">
          <a:solidFill>
            <a:srgbClr val="92D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4763</xdr:colOff>
      <xdr:row>32</xdr:row>
      <xdr:rowOff>88106</xdr:rowOff>
    </xdr:from>
    <xdr:to>
      <xdr:col>43</xdr:col>
      <xdr:colOff>595312</xdr:colOff>
      <xdr:row>49</xdr:row>
      <xdr:rowOff>11906</xdr:rowOff>
    </xdr:to>
    <xdr:cxnSp macro="">
      <xdr:nvCxnSpPr>
        <xdr:cNvPr id="40" name="Straight Arrow Connector 4">
          <a:extLst>
            <a:ext uri="{FF2B5EF4-FFF2-40B4-BE49-F238E27FC236}">
              <a16:creationId xmlns:a16="http://schemas.microsoft.com/office/drawing/2014/main" xmlns="" id="{00000000-0008-0000-0500-000028000000}"/>
            </a:ext>
          </a:extLst>
        </xdr:cNvPr>
        <xdr:cNvCxnSpPr/>
      </xdr:nvCxnSpPr>
      <xdr:spPr>
        <a:xfrm rot="10800000">
          <a:off x="6850857" y="6386512"/>
          <a:ext cx="5126830" cy="3519488"/>
        </a:xfrm>
        <a:prstGeom prst="bentConnector3">
          <a:avLst>
            <a:gd name="adj1" fmla="val 99758"/>
          </a:avLst>
        </a:prstGeom>
        <a:ln w="15875">
          <a:solidFill>
            <a:srgbClr val="C0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581024</xdr:colOff>
      <xdr:row>47</xdr:row>
      <xdr:rowOff>1</xdr:rowOff>
    </xdr:from>
    <xdr:to>
      <xdr:col>43</xdr:col>
      <xdr:colOff>581027</xdr:colOff>
      <xdr:row>49</xdr:row>
      <xdr:rowOff>9529</xdr:rowOff>
    </xdr:to>
    <xdr:cxnSp macro="">
      <xdr:nvCxnSpPr>
        <xdr:cNvPr id="49" name="Straight Arrow Connector 4">
          <a:extLst>
            <a:ext uri="{FF2B5EF4-FFF2-40B4-BE49-F238E27FC236}">
              <a16:creationId xmlns:a16="http://schemas.microsoft.com/office/drawing/2014/main" xmlns="" id="{00000000-0008-0000-0500-000031000000}"/>
            </a:ext>
          </a:extLst>
        </xdr:cNvPr>
        <xdr:cNvCxnSpPr/>
      </xdr:nvCxnSpPr>
      <xdr:spPr>
        <a:xfrm rot="5400000" flipH="1" flipV="1">
          <a:off x="6796087" y="6500813"/>
          <a:ext cx="390528" cy="3"/>
        </a:xfrm>
        <a:prstGeom prst="bentConnector3">
          <a:avLst>
            <a:gd name="adj1" fmla="val 50000"/>
          </a:avLst>
        </a:prstGeom>
        <a:ln w="15875">
          <a:solidFill>
            <a:srgbClr val="C0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32</xdr:row>
      <xdr:rowOff>76200</xdr:rowOff>
    </xdr:from>
    <xdr:to>
      <xdr:col>40</xdr:col>
      <xdr:colOff>485775</xdr:colOff>
      <xdr:row>32</xdr:row>
      <xdr:rowOff>76202</xdr:rowOff>
    </xdr:to>
    <xdr:cxnSp macro="">
      <xdr:nvCxnSpPr>
        <xdr:cNvPr id="56" name="Straight Arrow Connector 4">
          <a:extLst>
            <a:ext uri="{FF2B5EF4-FFF2-40B4-BE49-F238E27FC236}">
              <a16:creationId xmlns:a16="http://schemas.microsoft.com/office/drawing/2014/main" xmlns="" id="{00000000-0008-0000-0500-000038000000}"/>
            </a:ext>
          </a:extLst>
        </xdr:cNvPr>
        <xdr:cNvCxnSpPr/>
      </xdr:nvCxnSpPr>
      <xdr:spPr>
        <a:xfrm flipV="1">
          <a:off x="4695825" y="3314700"/>
          <a:ext cx="933450" cy="2"/>
        </a:xfrm>
        <a:prstGeom prst="bentConnector3">
          <a:avLst>
            <a:gd name="adj1" fmla="val 50000"/>
          </a:avLst>
        </a:prstGeom>
        <a:ln w="15875">
          <a:solidFill>
            <a:srgbClr val="C0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28575</xdr:colOff>
      <xdr:row>32</xdr:row>
      <xdr:rowOff>66675</xdr:rowOff>
    </xdr:from>
    <xdr:to>
      <xdr:col>40</xdr:col>
      <xdr:colOff>514350</xdr:colOff>
      <xdr:row>32</xdr:row>
      <xdr:rowOff>66676</xdr:rowOff>
    </xdr:to>
    <xdr:cxnSp macro="">
      <xdr:nvCxnSpPr>
        <xdr:cNvPr id="30" name="Straight Arrow Connector 4">
          <a:extLst>
            <a:ext uri="{FF2B5EF4-FFF2-40B4-BE49-F238E27FC236}">
              <a16:creationId xmlns:a16="http://schemas.microsoft.com/office/drawing/2014/main" xmlns="" id="{00000000-0008-0000-0500-00001E000000}"/>
            </a:ext>
          </a:extLst>
        </xdr:cNvPr>
        <xdr:cNvCxnSpPr/>
      </xdr:nvCxnSpPr>
      <xdr:spPr>
        <a:xfrm>
          <a:off x="2524125" y="5981700"/>
          <a:ext cx="3133725" cy="1"/>
        </a:xfrm>
        <a:prstGeom prst="bentConnector3">
          <a:avLst>
            <a:gd name="adj1" fmla="val 49719"/>
          </a:avLst>
        </a:prstGeom>
        <a:ln w="15875">
          <a:solidFill>
            <a:srgbClr val="C0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295275</xdr:colOff>
      <xdr:row>31</xdr:row>
      <xdr:rowOff>171450</xdr:rowOff>
    </xdr:from>
    <xdr:to>
      <xdr:col>33</xdr:col>
      <xdr:colOff>9525</xdr:colOff>
      <xdr:row>31</xdr:row>
      <xdr:rowOff>171451</xdr:rowOff>
    </xdr:to>
    <xdr:cxnSp macro="">
      <xdr:nvCxnSpPr>
        <xdr:cNvPr id="37" name="Straight Arrow Connector 4">
          <a:extLst>
            <a:ext uri="{FF2B5EF4-FFF2-40B4-BE49-F238E27FC236}">
              <a16:creationId xmlns:a16="http://schemas.microsoft.com/office/drawing/2014/main" xmlns="" id="{00000000-0008-0000-0500-000025000000}"/>
            </a:ext>
          </a:extLst>
        </xdr:cNvPr>
        <xdr:cNvCxnSpPr/>
      </xdr:nvCxnSpPr>
      <xdr:spPr>
        <a:xfrm>
          <a:off x="904875" y="5895975"/>
          <a:ext cx="657225" cy="1"/>
        </a:xfrm>
        <a:prstGeom prst="bentConnector3">
          <a:avLst>
            <a:gd name="adj1" fmla="val 50000"/>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524933</xdr:colOff>
      <xdr:row>32</xdr:row>
      <xdr:rowOff>76200</xdr:rowOff>
    </xdr:from>
    <xdr:to>
      <xdr:col>36</xdr:col>
      <xdr:colOff>524934</xdr:colOff>
      <xdr:row>40</xdr:row>
      <xdr:rowOff>0</xdr:rowOff>
    </xdr:to>
    <xdr:cxnSp macro="">
      <xdr:nvCxnSpPr>
        <xdr:cNvPr id="27" name="Straight Arrow Connector 4">
          <a:extLst>
            <a:ext uri="{FF2B5EF4-FFF2-40B4-BE49-F238E27FC236}">
              <a16:creationId xmlns:a16="http://schemas.microsoft.com/office/drawing/2014/main" xmlns="" id="{00000000-0008-0000-0500-00001B000000}"/>
            </a:ext>
          </a:extLst>
        </xdr:cNvPr>
        <xdr:cNvCxnSpPr/>
      </xdr:nvCxnSpPr>
      <xdr:spPr>
        <a:xfrm flipV="1">
          <a:off x="40335200" y="6189133"/>
          <a:ext cx="1" cy="1727200"/>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742950</xdr:colOff>
      <xdr:row>37</xdr:row>
      <xdr:rowOff>190500</xdr:rowOff>
    </xdr:from>
    <xdr:to>
      <xdr:col>40</xdr:col>
      <xdr:colOff>742950</xdr:colOff>
      <xdr:row>40</xdr:row>
      <xdr:rowOff>1</xdr:rowOff>
    </xdr:to>
    <xdr:cxnSp macro="">
      <xdr:nvCxnSpPr>
        <xdr:cNvPr id="26" name="Conector recto de flecha 25">
          <a:extLst>
            <a:ext uri="{FF2B5EF4-FFF2-40B4-BE49-F238E27FC236}">
              <a16:creationId xmlns:a16="http://schemas.microsoft.com/office/drawing/2014/main" xmlns="" id="{00000000-0008-0000-0500-00001A000000}"/>
            </a:ext>
          </a:extLst>
        </xdr:cNvPr>
        <xdr:cNvCxnSpPr/>
      </xdr:nvCxnSpPr>
      <xdr:spPr>
        <a:xfrm flipV="1">
          <a:off x="7896225" y="7362825"/>
          <a:ext cx="0" cy="438151"/>
        </a:xfrm>
        <a:prstGeom prst="straightConnector1">
          <a:avLst/>
        </a:prstGeom>
        <a:ln w="15875">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523876</xdr:colOff>
      <xdr:row>31</xdr:row>
      <xdr:rowOff>107156</xdr:rowOff>
    </xdr:from>
    <xdr:to>
      <xdr:col>45</xdr:col>
      <xdr:colOff>666754</xdr:colOff>
      <xdr:row>31</xdr:row>
      <xdr:rowOff>107158</xdr:rowOff>
    </xdr:to>
    <xdr:cxnSp macro="">
      <xdr:nvCxnSpPr>
        <xdr:cNvPr id="28" name="Straight Arrow Connector 4">
          <a:extLst>
            <a:ext uri="{FF2B5EF4-FFF2-40B4-BE49-F238E27FC236}">
              <a16:creationId xmlns:a16="http://schemas.microsoft.com/office/drawing/2014/main" xmlns="" id="{00000000-0008-0000-0500-00001C000000}"/>
            </a:ext>
          </a:extLst>
        </xdr:cNvPr>
        <xdr:cNvCxnSpPr/>
      </xdr:nvCxnSpPr>
      <xdr:spPr>
        <a:xfrm rot="10800000">
          <a:off x="7858126" y="6215062"/>
          <a:ext cx="4369597" cy="2"/>
        </a:xfrm>
        <a:prstGeom prst="bentConnector3">
          <a:avLst>
            <a:gd name="adj1" fmla="val 50000"/>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26</xdr:row>
      <xdr:rowOff>0</xdr:rowOff>
    </xdr:from>
    <xdr:to>
      <xdr:col>15</xdr:col>
      <xdr:colOff>800100</xdr:colOff>
      <xdr:row>59</xdr:row>
      <xdr:rowOff>91440</xdr:rowOff>
    </xdr:to>
    <xdr:pic>
      <xdr:nvPicPr>
        <xdr:cNvPr id="39" name="Picture 38">
          <a:extLst>
            <a:ext uri="{FF2B5EF4-FFF2-40B4-BE49-F238E27FC236}">
              <a16:creationId xmlns:a16="http://schemas.microsoft.com/office/drawing/2014/main" xmlns="" id="{3A104416-B257-4813-B90C-8CB0DDF0B9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2820" y="4884420"/>
          <a:ext cx="12900660" cy="6865620"/>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23</xdr:col>
      <xdr:colOff>579120</xdr:colOff>
      <xdr:row>69</xdr:row>
      <xdr:rowOff>0</xdr:rowOff>
    </xdr:from>
    <xdr:to>
      <xdr:col>30</xdr:col>
      <xdr:colOff>60960</xdr:colOff>
      <xdr:row>81</xdr:row>
      <xdr:rowOff>60960</xdr:rowOff>
    </xdr:to>
    <xdr:graphicFrame macro="">
      <xdr:nvGraphicFramePr>
        <xdr:cNvPr id="1243" name="Chart 52">
          <a:extLst>
            <a:ext uri="{FF2B5EF4-FFF2-40B4-BE49-F238E27FC236}">
              <a16:creationId xmlns:a16="http://schemas.microsoft.com/office/drawing/2014/main" xmlns="" id="{00000000-0008-0000-1200-0000DB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__Rex\_Sapphire%20Energy\Models\Cost%20Model\P&amp;L\200809xx%20Yield%20Assump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tefan/Dropbox/LCA%20LLC/NW%20Innovation/GHG%20Analysis/LCA_-_GHG%20Inputs%20v25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ropbox\Life%20Cycle%20associates\NW%20Innovation\Life%20Cycle%20Data%20and%20GREET\GREET1_2017_china%20for%20NWIW%20v4_lo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gae yield parameters"/>
      <sheetName val="Sheet1"/>
      <sheetName val="Sheet2"/>
      <sheetName val="Sheet3"/>
    </sheetNames>
    <sheetDataSet>
      <sheetData sheetId="0" refreshError="1">
        <row r="32">
          <cell r="V32">
            <v>500</v>
          </cell>
          <cell r="W32">
            <v>5000</v>
          </cell>
          <cell r="X32">
            <v>50000</v>
          </cell>
          <cell r="Y32">
            <v>500000</v>
          </cell>
          <cell r="Z32">
            <v>4995000</v>
          </cell>
        </row>
        <row r="43">
          <cell r="W43">
            <v>350</v>
          </cell>
          <cell r="X43">
            <v>3500</v>
          </cell>
          <cell r="Y43">
            <v>35400</v>
          </cell>
          <cell r="Z43">
            <v>353800</v>
          </cell>
        </row>
        <row r="44">
          <cell r="T44">
            <v>130</v>
          </cell>
          <cell r="U44">
            <v>1300</v>
          </cell>
          <cell r="V44">
            <v>12900</v>
          </cell>
          <cell r="W44">
            <v>127800</v>
          </cell>
          <cell r="X44">
            <v>1277500</v>
          </cell>
          <cell r="Y44">
            <v>12921000</v>
          </cell>
          <cell r="Z44">
            <v>129137000</v>
          </cell>
        </row>
        <row r="45">
          <cell r="V45">
            <v>500</v>
          </cell>
          <cell r="W45">
            <v>5000</v>
          </cell>
          <cell r="X45">
            <v>50000</v>
          </cell>
          <cell r="Y45">
            <v>500000</v>
          </cell>
          <cell r="Z45">
            <v>4995000</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rnado"/>
      <sheetName val="Upstream"/>
      <sheetName val="Cut Off"/>
      <sheetName val="Results"/>
      <sheetName val="Compare"/>
      <sheetName val="KMMEF GHG"/>
      <sheetName val="Kalama Mass BOL Confidential"/>
      <sheetName val="Kalama Mass EOL Confidential"/>
      <sheetName val="Coal GHG"/>
      <sheetName val="Methanol Plants"/>
      <sheetName val="Solid Fuels"/>
      <sheetName val="Kalama Input Notes"/>
      <sheetName val="T&amp;D"/>
      <sheetName val="Construction"/>
      <sheetName val="Quantities"/>
      <sheetName val="Coal Volume"/>
      <sheetName val="Fugitive"/>
      <sheetName val="Olefins"/>
      <sheetName val="Fuel"/>
      <sheetName val="Notes"/>
      <sheetName val="EFs"/>
      <sheetName val="Fuel_Specs"/>
      <sheetName val="Factors"/>
      <sheetName val="Properties"/>
      <sheetName val="Direct"/>
      <sheetName val="NG SR GHG"/>
      <sheetName val="T&amp;D NZ"/>
    </sheetNames>
    <sheetDataSet>
      <sheetData sheetId="0">
        <row r="8">
          <cell r="D8" t="str">
            <v>Methanol Delivery</v>
          </cell>
        </row>
      </sheetData>
      <sheetData sheetId="1" refreshError="1"/>
      <sheetData sheetId="2" refreshError="1"/>
      <sheetData sheetId="3">
        <row r="55">
          <cell r="O55">
            <v>0.46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19">
          <cell r="Y19">
            <v>19.045242847638061</v>
          </cell>
          <cell r="AA19">
            <v>21.689953426480375</v>
          </cell>
        </row>
        <row r="46">
          <cell r="AA46">
            <v>51.102743047635016</v>
          </cell>
        </row>
      </sheetData>
      <sheetData sheetId="22">
        <row r="8">
          <cell r="D8">
            <v>43.998699999999999</v>
          </cell>
        </row>
      </sheetData>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Elec Disag"/>
      <sheetName val="NG Disag"/>
      <sheetName val="Inputs"/>
      <sheetName val="Results"/>
      <sheetName val="Petroleum"/>
      <sheetName val="NG"/>
      <sheetName val="MeOH&amp;FTD"/>
      <sheetName val="EtOH"/>
      <sheetName val="Electric"/>
      <sheetName val="Hydrogen"/>
      <sheetName val="BioOil"/>
      <sheetName val="Algae"/>
      <sheetName val="RNG"/>
      <sheetName val="Pyrolysis&amp;IDL"/>
      <sheetName val="IBR"/>
      <sheetName val="PTF"/>
      <sheetName val="Fuel_Prod_TS"/>
      <sheetName val="EF_TS"/>
      <sheetName val="AgMining_EF_TS"/>
      <sheetName val="EF"/>
      <sheetName val="WCF"/>
      <sheetName val="Fuel_Specs"/>
      <sheetName val="Car_TS"/>
      <sheetName val="LDT1_TS"/>
      <sheetName val="LDT2_TS"/>
      <sheetName val="Vehicles"/>
      <sheetName val="Urban_Shares"/>
      <sheetName val="Compression"/>
      <sheetName val="Coal"/>
      <sheetName val="T&amp;D_Flowcharts"/>
      <sheetName val="T&amp;D"/>
      <sheetName val="Uranium"/>
      <sheetName val="Ag_Inputs"/>
      <sheetName val="Enzymes_Yeast"/>
      <sheetName val="Pretreatment"/>
      <sheetName val="Catalyst"/>
      <sheetName val="Bioproducts"/>
      <sheetName val="E-D Additives"/>
      <sheetName val="OilGasCoalInfra"/>
      <sheetName val="ElecInfra"/>
      <sheetName val="Woody"/>
      <sheetName val="HDV_TS"/>
      <sheetName val="HDV_WTW"/>
      <sheetName val="JetFuel_WTP"/>
      <sheetName val="JetFuel_PTWa"/>
      <sheetName val="JetFuel_WTWa"/>
      <sheetName val="Rail_PTW"/>
      <sheetName val="Rail_WTW"/>
      <sheetName val="MarineFuel_PTH"/>
      <sheetName val="MarineFuel_WTH"/>
      <sheetName val="Dist_Spec"/>
      <sheetName val="Forecast_Specs"/>
      <sheetName val="Forecast_Deleted"/>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148">
          <cell r="H148">
            <v>1055.05585</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marad.dot.gov/wp-content/uploads/pdf/Methane-emissions-from-LNG-bunkering-20151124-final.pdf" TargetMode="External"/><Relationship Id="rId1" Type="http://schemas.openxmlformats.org/officeDocument/2006/relationships/hyperlink" Target="https://www.nho.no/siteassets/nhos-filer-og-bilder/filer-og-dokumenter/nox-fondet/dette-er-nox-fondet/presentasjoner-og-rapporter/methane-slip-from-gas-engines-mainreport-1492296.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marad.dot.gov/wp-content/uploads/pdf/Methane-emissions-from-LNG-bunkering-20151124-final.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CC"/>
  </sheetPr>
  <dimension ref="A1:T247"/>
  <sheetViews>
    <sheetView showGridLines="0" tabSelected="1" zoomScale="80" zoomScaleNormal="80" zoomScalePageLayoutView="40" workbookViewId="0">
      <selection activeCell="A2" sqref="A2"/>
    </sheetView>
  </sheetViews>
  <sheetFormatPr defaultColWidth="11.42578125" defaultRowHeight="15"/>
  <cols>
    <col min="1" max="1" width="4.140625" style="229" customWidth="1"/>
    <col min="2" max="2" width="32.42578125" style="229" customWidth="1"/>
    <col min="3" max="3" width="22.85546875" style="229" customWidth="1"/>
    <col min="4" max="4" width="14.28515625" style="229" customWidth="1"/>
    <col min="5" max="5" width="14.42578125" style="229" customWidth="1"/>
    <col min="6" max="6" width="11.5703125" style="229" customWidth="1"/>
    <col min="7" max="7" width="14.42578125" style="229" customWidth="1"/>
    <col min="8" max="8" width="12.28515625" style="229" customWidth="1"/>
    <col min="9" max="9" width="13.7109375" style="229" customWidth="1"/>
    <col min="10" max="10" width="13" style="229" customWidth="1"/>
    <col min="11" max="11" width="9.42578125" style="229" customWidth="1"/>
    <col min="12" max="12" width="12.28515625" style="229" customWidth="1"/>
    <col min="13" max="13" width="15.7109375" style="229" customWidth="1"/>
    <col min="14" max="14" width="33" style="1366" customWidth="1"/>
    <col min="15" max="16" width="11.42578125" style="229"/>
    <col min="17" max="17" width="20.5703125" style="229" customWidth="1"/>
    <col min="18" max="18" width="11.42578125" style="229"/>
    <col min="19" max="19" width="13.5703125" style="229" bestFit="1" customWidth="1"/>
    <col min="20" max="16384" width="11.42578125" style="229"/>
  </cols>
  <sheetData>
    <row r="1" spans="2:15" ht="6" customHeight="1"/>
    <row r="2" spans="2:15" ht="21">
      <c r="B2" s="1293" t="s">
        <v>529</v>
      </c>
      <c r="K2" s="229" t="s">
        <v>531</v>
      </c>
      <c r="L2" s="446">
        <v>43364</v>
      </c>
      <c r="N2" s="1366" t="s">
        <v>1231</v>
      </c>
    </row>
    <row r="3" spans="2:15">
      <c r="K3" s="229" t="s">
        <v>530</v>
      </c>
      <c r="L3" s="447" t="s">
        <v>1509</v>
      </c>
    </row>
    <row r="4" spans="2:15" ht="15.75">
      <c r="B4" s="1292" t="s">
        <v>1218</v>
      </c>
    </row>
    <row r="5" spans="2:15" hidden="1">
      <c r="D5" s="1392">
        <v>0</v>
      </c>
      <c r="E5" s="229" t="s">
        <v>1511</v>
      </c>
    </row>
    <row r="6" spans="2:15" ht="15.75">
      <c r="B6" s="330" t="s">
        <v>1219</v>
      </c>
      <c r="N6" s="441"/>
    </row>
    <row r="7" spans="2:15">
      <c r="B7" s="418"/>
      <c r="C7" s="432" t="s">
        <v>374</v>
      </c>
      <c r="D7" s="432"/>
      <c r="E7" s="432"/>
      <c r="F7" s="418"/>
      <c r="G7" s="418"/>
      <c r="H7" s="431" t="s">
        <v>375</v>
      </c>
      <c r="I7" s="432"/>
      <c r="J7" s="432"/>
      <c r="K7" s="418"/>
      <c r="L7" s="418"/>
      <c r="M7" s="1690" t="s">
        <v>1327</v>
      </c>
    </row>
    <row r="8" spans="2:15" ht="45.75" thickBot="1">
      <c r="B8" s="278" t="s">
        <v>365</v>
      </c>
      <c r="C8" s="427" t="s">
        <v>1203</v>
      </c>
      <c r="D8" s="426" t="s">
        <v>366</v>
      </c>
      <c r="E8" s="426" t="s">
        <v>496</v>
      </c>
      <c r="F8" s="427" t="s">
        <v>525</v>
      </c>
      <c r="G8" s="427" t="s">
        <v>526</v>
      </c>
      <c r="H8" s="433" t="s">
        <v>367</v>
      </c>
      <c r="I8" s="426" t="s">
        <v>366</v>
      </c>
      <c r="J8" s="426" t="s">
        <v>496</v>
      </c>
      <c r="K8" s="427" t="s">
        <v>525</v>
      </c>
      <c r="L8" s="427" t="s">
        <v>526</v>
      </c>
      <c r="M8" s="1691" t="s">
        <v>1326</v>
      </c>
      <c r="N8" s="1366" t="s">
        <v>1510</v>
      </c>
      <c r="O8" s="427" t="s">
        <v>1512</v>
      </c>
    </row>
    <row r="9" spans="2:15" ht="15.75" thickTop="1">
      <c r="B9" s="235"/>
      <c r="H9" s="434"/>
      <c r="I9" s="235"/>
      <c r="M9" s="1692"/>
    </row>
    <row r="10" spans="2:15">
      <c r="B10" s="271" t="s">
        <v>211</v>
      </c>
      <c r="C10" s="428">
        <f>SUM(C11:C16)</f>
        <v>1</v>
      </c>
      <c r="D10" s="1389">
        <f>SUM(D11:D16)</f>
        <v>250000</v>
      </c>
      <c r="E10" s="444">
        <f t="shared" ref="E10:E16" si="0">D10*$H$57</f>
        <v>907192.89999999991</v>
      </c>
      <c r="F10" s="438">
        <f>D10*$D$28/1000000</f>
        <v>88.75</v>
      </c>
      <c r="G10" s="444">
        <f t="shared" ref="G10:G16" si="1">E10*$D$28/lbperkg/1000</f>
        <v>146082.5</v>
      </c>
      <c r="H10" s="435">
        <f>SUM(H11:H16)</f>
        <v>1</v>
      </c>
      <c r="I10" s="1389">
        <f>SUM(I11:I16)</f>
        <v>499999.5753424656</v>
      </c>
      <c r="J10" s="444">
        <f t="shared" ref="J10:J16" si="2">I10*$H$57</f>
        <v>1814384.2590147993</v>
      </c>
      <c r="K10" s="1388">
        <f t="shared" ref="K10" si="3">I10*$D$28/1000000</f>
        <v>177.49984924657531</v>
      </c>
      <c r="L10" s="444">
        <f t="shared" ref="L10:L16" si="4">J10*$D$28/lbperkg/1000</f>
        <v>292164.75185986294</v>
      </c>
      <c r="M10" s="1693">
        <f>I10*365</f>
        <v>182499844.99999994</v>
      </c>
      <c r="O10" s="415">
        <v>250000</v>
      </c>
    </row>
    <row r="11" spans="2:15">
      <c r="B11" s="273" t="s">
        <v>369</v>
      </c>
      <c r="C11" s="429">
        <f t="shared" ref="C11:C16" si="5">D11/$D$10</f>
        <v>0.10958904109589042</v>
      </c>
      <c r="D11" s="518">
        <f>O11*(1-$D$5)+D5*0.01</f>
        <v>27397.260273972606</v>
      </c>
      <c r="E11" s="441">
        <f t="shared" si="0"/>
        <v>99418.4</v>
      </c>
      <c r="F11" s="439">
        <f t="shared" ref="F11:F16" si="6">D11*$D$28/1000000</f>
        <v>9.7260273972602747</v>
      </c>
      <c r="G11" s="441">
        <f t="shared" si="1"/>
        <v>16009.041095890414</v>
      </c>
      <c r="H11" s="436">
        <f t="shared" ref="H11:H16" si="7">I11/$I$10</f>
        <v>5.4794567085796712E-2</v>
      </c>
      <c r="I11" s="1390">
        <f>27397.2602739726</f>
        <v>27397.260273972599</v>
      </c>
      <c r="J11" s="441">
        <f t="shared" si="2"/>
        <v>99418.399999999965</v>
      </c>
      <c r="K11" s="439">
        <f>I11*$D$28/1000000</f>
        <v>9.7260273972602729</v>
      </c>
      <c r="L11" s="441">
        <f t="shared" si="4"/>
        <v>16009.041095890407</v>
      </c>
      <c r="M11" s="1694">
        <f t="shared" ref="M11:M15" si="8">I11*365</f>
        <v>9999999.9999999981</v>
      </c>
      <c r="O11" s="416">
        <v>27397.260273972606</v>
      </c>
    </row>
    <row r="12" spans="2:15">
      <c r="B12" s="273" t="s">
        <v>370</v>
      </c>
      <c r="C12" s="429">
        <f t="shared" si="5"/>
        <v>0</v>
      </c>
      <c r="D12" s="518">
        <f t="shared" ref="D12:D15" si="9">O12*(1-$D$5)</f>
        <v>0</v>
      </c>
      <c r="E12" s="441">
        <f t="shared" si="0"/>
        <v>0</v>
      </c>
      <c r="F12" s="439">
        <f t="shared" si="6"/>
        <v>0</v>
      </c>
      <c r="G12" s="441">
        <f t="shared" si="1"/>
        <v>0</v>
      </c>
      <c r="H12" s="436">
        <f t="shared" si="7"/>
        <v>1.0000008493157901E-2</v>
      </c>
      <c r="I12" s="1390">
        <f>5000</f>
        <v>5000</v>
      </c>
      <c r="J12" s="441">
        <f t="shared" si="2"/>
        <v>18143.857999999997</v>
      </c>
      <c r="K12" s="439">
        <f t="shared" ref="K12:K16" si="10">I12*$D$28/1000000</f>
        <v>1.7749999999999999</v>
      </c>
      <c r="L12" s="441">
        <f t="shared" si="4"/>
        <v>2921.65</v>
      </c>
      <c r="M12" s="1694">
        <f t="shared" si="8"/>
        <v>1825000</v>
      </c>
      <c r="O12" s="416">
        <v>0</v>
      </c>
    </row>
    <row r="13" spans="2:15">
      <c r="B13" s="273" t="s">
        <v>371</v>
      </c>
      <c r="C13" s="429">
        <f t="shared" si="5"/>
        <v>0</v>
      </c>
      <c r="D13" s="518">
        <f t="shared" si="9"/>
        <v>0</v>
      </c>
      <c r="E13" s="441">
        <f t="shared" si="0"/>
        <v>0</v>
      </c>
      <c r="F13" s="439">
        <f t="shared" si="6"/>
        <v>0</v>
      </c>
      <c r="G13" s="441">
        <f t="shared" si="1"/>
        <v>0</v>
      </c>
      <c r="H13" s="436">
        <f t="shared" si="7"/>
        <v>2.0000016986315802E-2</v>
      </c>
      <c r="I13" s="1390">
        <f>10000</f>
        <v>10000</v>
      </c>
      <c r="J13" s="441">
        <f t="shared" si="2"/>
        <v>36287.715999999993</v>
      </c>
      <c r="K13" s="439">
        <f t="shared" si="10"/>
        <v>3.55</v>
      </c>
      <c r="L13" s="441">
        <f t="shared" si="4"/>
        <v>5843.3</v>
      </c>
      <c r="M13" s="1694">
        <f t="shared" si="8"/>
        <v>3650000</v>
      </c>
      <c r="O13" s="416">
        <v>0</v>
      </c>
    </row>
    <row r="14" spans="2:15">
      <c r="B14" s="273" t="s">
        <v>368</v>
      </c>
      <c r="C14" s="429">
        <f t="shared" si="5"/>
        <v>0.42739726027397262</v>
      </c>
      <c r="D14" s="518">
        <f t="shared" si="9"/>
        <v>106849.31506849316</v>
      </c>
      <c r="E14" s="441">
        <f t="shared" si="0"/>
        <v>387731.75999999995</v>
      </c>
      <c r="F14" s="439">
        <f t="shared" si="6"/>
        <v>37.93150684931507</v>
      </c>
      <c r="G14" s="441">
        <f t="shared" si="1"/>
        <v>62435.260273972599</v>
      </c>
      <c r="H14" s="436">
        <f t="shared" si="7"/>
        <v>0.21369881163460691</v>
      </c>
      <c r="I14" s="1390">
        <f>106849.315068493</f>
        <v>106849.315068493</v>
      </c>
      <c r="J14" s="441">
        <f t="shared" si="2"/>
        <v>387731.75999999937</v>
      </c>
      <c r="K14" s="439">
        <f t="shared" si="10"/>
        <v>37.931506849315021</v>
      </c>
      <c r="L14" s="441">
        <f t="shared" si="4"/>
        <v>62435.260273972512</v>
      </c>
      <c r="M14" s="1694">
        <f t="shared" si="8"/>
        <v>38999999.999999948</v>
      </c>
      <c r="O14" s="416">
        <v>106849.31506849316</v>
      </c>
    </row>
    <row r="15" spans="2:15">
      <c r="B15" s="273" t="s">
        <v>372</v>
      </c>
      <c r="C15" s="429">
        <f t="shared" si="5"/>
        <v>0</v>
      </c>
      <c r="D15" s="518">
        <f t="shared" si="9"/>
        <v>0</v>
      </c>
      <c r="E15" s="441">
        <f t="shared" si="0"/>
        <v>0</v>
      </c>
      <c r="F15" s="439">
        <f t="shared" si="6"/>
        <v>0</v>
      </c>
      <c r="G15" s="441">
        <f t="shared" si="1"/>
        <v>0</v>
      </c>
      <c r="H15" s="436">
        <f t="shared" si="7"/>
        <v>1.0000008493157901E-2</v>
      </c>
      <c r="I15" s="1390">
        <f>5000</f>
        <v>5000</v>
      </c>
      <c r="J15" s="441">
        <f t="shared" si="2"/>
        <v>18143.857999999997</v>
      </c>
      <c r="K15" s="439">
        <f t="shared" si="10"/>
        <v>1.7749999999999999</v>
      </c>
      <c r="L15" s="441">
        <f t="shared" si="4"/>
        <v>2921.65</v>
      </c>
      <c r="M15" s="1694">
        <f t="shared" si="8"/>
        <v>1825000</v>
      </c>
      <c r="O15" s="416">
        <v>0</v>
      </c>
    </row>
    <row r="16" spans="2:15">
      <c r="B16" s="274" t="s">
        <v>373</v>
      </c>
      <c r="C16" s="430">
        <f t="shared" si="5"/>
        <v>0.46301369863013697</v>
      </c>
      <c r="D16" s="1243">
        <f>O16*(1-$D$5)+IF(D5=1,O10,0)</f>
        <v>115753.42465753424</v>
      </c>
      <c r="E16" s="442">
        <f t="shared" si="0"/>
        <v>420042.73999999993</v>
      </c>
      <c r="F16" s="440">
        <f t="shared" si="6"/>
        <v>41.092465753424655</v>
      </c>
      <c r="G16" s="442">
        <f t="shared" si="1"/>
        <v>67638.198630136991</v>
      </c>
      <c r="H16" s="283">
        <f t="shared" si="7"/>
        <v>0.69150658730696479</v>
      </c>
      <c r="I16" s="1391">
        <v>345753</v>
      </c>
      <c r="J16" s="442">
        <f t="shared" si="2"/>
        <v>1254658.6670147998</v>
      </c>
      <c r="K16" s="440">
        <f t="shared" si="10"/>
        <v>122.742315</v>
      </c>
      <c r="L16" s="442">
        <f t="shared" si="4"/>
        <v>202033.85049000001</v>
      </c>
      <c r="M16" s="1695">
        <f>I16*365</f>
        <v>126199845</v>
      </c>
      <c r="O16" s="417">
        <v>115753.42465753424</v>
      </c>
    </row>
    <row r="17" spans="1:14">
      <c r="B17" s="273"/>
      <c r="C17" s="429"/>
      <c r="D17" s="416"/>
      <c r="E17" s="441"/>
      <c r="F17" s="439"/>
      <c r="G17" s="441"/>
      <c r="H17" s="280"/>
      <c r="I17" s="416"/>
      <c r="J17" s="441"/>
      <c r="K17" s="439"/>
      <c r="L17" s="441"/>
    </row>
    <row r="18" spans="1:14">
      <c r="B18" s="235"/>
      <c r="C18" s="235"/>
      <c r="D18" s="235"/>
      <c r="E18" s="235"/>
      <c r="F18" s="1630" t="s">
        <v>1256</v>
      </c>
      <c r="G18" s="1631">
        <f>Results!F53</f>
        <v>-5.4838536659401527E-2</v>
      </c>
      <c r="H18" s="1632">
        <f>Results!E52/1000</f>
        <v>-39.89703390037478</v>
      </c>
      <c r="I18" s="341" t="s">
        <v>1490</v>
      </c>
      <c r="J18" s="1633"/>
    </row>
    <row r="19" spans="1:14" ht="15.75">
      <c r="A19" s="326"/>
      <c r="B19" s="330" t="s">
        <v>1204</v>
      </c>
      <c r="C19" s="235"/>
      <c r="D19" s="235"/>
      <c r="E19" s="235"/>
      <c r="F19" s="235"/>
    </row>
    <row r="20" spans="1:14" ht="15.75" thickBot="1">
      <c r="A20" s="326"/>
      <c r="B20" s="443"/>
      <c r="C20" s="443" t="s">
        <v>270</v>
      </c>
      <c r="D20" s="1751" t="s">
        <v>524</v>
      </c>
      <c r="E20" s="1751"/>
      <c r="F20" s="235"/>
      <c r="G20" s="1751" t="s">
        <v>1493</v>
      </c>
      <c r="H20" s="1751"/>
      <c r="I20" s="1641" t="s">
        <v>1518</v>
      </c>
      <c r="J20" s="1641"/>
    </row>
    <row r="21" spans="1:14" ht="15.75" thickTop="1">
      <c r="A21" s="326"/>
      <c r="B21" s="1629" t="s">
        <v>1489</v>
      </c>
      <c r="C21" s="1385" t="s">
        <v>376</v>
      </c>
      <c r="D21" s="1752" t="s">
        <v>1266</v>
      </c>
      <c r="E21" s="1752"/>
      <c r="F21" s="235"/>
      <c r="G21" s="1696">
        <v>1</v>
      </c>
      <c r="H21" s="369" t="s">
        <v>1452</v>
      </c>
      <c r="I21" s="369" t="s">
        <v>1519</v>
      </c>
      <c r="J21" s="369"/>
    </row>
    <row r="22" spans="1:14">
      <c r="A22" s="326"/>
      <c r="E22" s="235"/>
      <c r="F22" s="235"/>
      <c r="G22" s="235"/>
      <c r="H22" s="235"/>
    </row>
    <row r="23" spans="1:14" ht="15.75" thickBot="1">
      <c r="A23" s="326"/>
      <c r="B23" s="443"/>
      <c r="C23" s="443" t="s">
        <v>1234</v>
      </c>
      <c r="D23" s="1751" t="s">
        <v>524</v>
      </c>
      <c r="E23" s="1751"/>
      <c r="F23" s="235"/>
      <c r="G23" s="317" t="s">
        <v>1225</v>
      </c>
    </row>
    <row r="24" spans="1:14" ht="16.5" thickTop="1" thickBot="1">
      <c r="A24" s="326"/>
      <c r="B24" s="1629" t="s">
        <v>1235</v>
      </c>
      <c r="C24" s="1586" t="s">
        <v>1536</v>
      </c>
      <c r="D24" s="1752" t="s">
        <v>1266</v>
      </c>
      <c r="E24" s="1752"/>
      <c r="F24" s="235" t="s">
        <v>1467</v>
      </c>
      <c r="G24" s="228" t="str">
        <f>IF(H24=C170,B170,IF(H24=C172,B172,IF(H24=C174,B174,IF(H24=C176,B176,"N/A"))))</f>
        <v>Washington</v>
      </c>
      <c r="H24" s="1459" t="s">
        <v>313</v>
      </c>
      <c r="I24" s="229" t="s">
        <v>1266</v>
      </c>
    </row>
    <row r="25" spans="1:14" ht="16.5" thickTop="1" thickBot="1">
      <c r="A25" s="326"/>
      <c r="E25" s="235"/>
      <c r="F25" s="235" t="s">
        <v>1468</v>
      </c>
      <c r="G25" s="228"/>
      <c r="H25" s="1459" t="s">
        <v>1469</v>
      </c>
      <c r="I25" s="229" t="s">
        <v>1266</v>
      </c>
    </row>
    <row r="26" spans="1:14" ht="16.5" thickTop="1">
      <c r="A26" s="326"/>
      <c r="B26" s="330" t="s">
        <v>518</v>
      </c>
      <c r="D26" s="235"/>
      <c r="E26" s="235"/>
      <c r="F26" s="235"/>
      <c r="G26" s="235"/>
      <c r="H26" s="235"/>
    </row>
    <row r="27" spans="1:14" ht="15.75" thickBot="1">
      <c r="A27" s="326"/>
      <c r="B27" s="228" t="s">
        <v>518</v>
      </c>
      <c r="C27" s="228" t="s">
        <v>516</v>
      </c>
      <c r="D27" s="238" t="s">
        <v>517</v>
      </c>
      <c r="E27" s="235"/>
      <c r="F27" s="235"/>
      <c r="G27" s="235"/>
      <c r="H27" s="235"/>
    </row>
    <row r="28" spans="1:14" ht="15.75" thickTop="1">
      <c r="A28" s="326"/>
      <c r="B28" s="421" t="s">
        <v>520</v>
      </c>
      <c r="C28" s="416">
        <v>8520</v>
      </c>
      <c r="D28" s="424">
        <f>C28/8760*365</f>
        <v>355</v>
      </c>
      <c r="E28" s="235"/>
      <c r="F28" s="235"/>
      <c r="G28" s="419"/>
      <c r="H28" s="235"/>
      <c r="N28" s="1366" t="s">
        <v>1409</v>
      </c>
    </row>
    <row r="29" spans="1:14">
      <c r="A29" s="326"/>
      <c r="B29" s="229" t="s">
        <v>523</v>
      </c>
      <c r="C29" s="416">
        <v>8520</v>
      </c>
      <c r="D29" s="424">
        <f t="shared" ref="D29:D32" si="11">C29/8760*365</f>
        <v>355</v>
      </c>
      <c r="E29" s="235"/>
      <c r="F29" s="235"/>
      <c r="N29" s="1366" t="s">
        <v>1409</v>
      </c>
    </row>
    <row r="30" spans="1:14">
      <c r="A30" s="326"/>
      <c r="B30" s="229" t="s">
        <v>519</v>
      </c>
      <c r="C30" s="416">
        <v>8760</v>
      </c>
      <c r="D30" s="424">
        <f t="shared" si="11"/>
        <v>365</v>
      </c>
      <c r="E30" s="235"/>
      <c r="F30" s="235"/>
    </row>
    <row r="31" spans="1:14">
      <c r="A31" s="326"/>
      <c r="B31" s="229" t="s">
        <v>521</v>
      </c>
      <c r="C31" s="416">
        <v>240</v>
      </c>
      <c r="D31" s="424">
        <f t="shared" si="11"/>
        <v>10</v>
      </c>
      <c r="E31" s="235"/>
      <c r="F31" s="235"/>
      <c r="N31" s="1366" t="s">
        <v>1405</v>
      </c>
    </row>
    <row r="32" spans="1:14">
      <c r="A32" s="326"/>
      <c r="B32" s="272" t="s">
        <v>522</v>
      </c>
      <c r="C32" s="417">
        <v>500</v>
      </c>
      <c r="D32" s="425">
        <f t="shared" si="11"/>
        <v>20.833333333333332</v>
      </c>
      <c r="E32" s="235"/>
      <c r="F32" s="235"/>
      <c r="N32" s="1366" t="s">
        <v>1405</v>
      </c>
    </row>
    <row r="33" spans="1:14">
      <c r="A33" s="326"/>
      <c r="E33" s="235"/>
    </row>
    <row r="34" spans="1:14" ht="15.75">
      <c r="A34" s="326"/>
      <c r="B34" s="330" t="s">
        <v>1220</v>
      </c>
    </row>
    <row r="35" spans="1:14">
      <c r="A35" s="326"/>
      <c r="B35" s="1465" t="str">
        <f>IF(scenario="A","Scenario A","Scenario B")</f>
        <v>Scenario A</v>
      </c>
      <c r="C35" s="784"/>
      <c r="D35" s="1754" t="s">
        <v>1513</v>
      </c>
      <c r="E35" s="1754"/>
      <c r="F35" s="784" t="s">
        <v>1401</v>
      </c>
      <c r="G35" s="784"/>
      <c r="H35" s="784"/>
    </row>
    <row r="36" spans="1:14" ht="15.75" thickBot="1">
      <c r="A36" s="326"/>
      <c r="B36" s="278" t="s">
        <v>1228</v>
      </c>
      <c r="C36" s="278"/>
      <c r="D36" s="1255" t="s">
        <v>1400</v>
      </c>
      <c r="E36" s="278" t="s">
        <v>2</v>
      </c>
      <c r="F36" s="1255" t="s">
        <v>1400</v>
      </c>
      <c r="G36" s="1456"/>
      <c r="H36" s="278" t="s">
        <v>1330</v>
      </c>
      <c r="N36" s="1392"/>
    </row>
    <row r="37" spans="1:14" ht="15.75" thickTop="1">
      <c r="A37" s="326"/>
      <c r="B37" s="235" t="s">
        <v>523</v>
      </c>
      <c r="C37" s="229" t="s">
        <v>407</v>
      </c>
      <c r="D37" s="1414">
        <f>IF(scenario="B",2,1)*H37</f>
        <v>9</v>
      </c>
      <c r="E37" s="229" t="s">
        <v>1494</v>
      </c>
      <c r="H37" s="1297">
        <v>9</v>
      </c>
      <c r="N37" s="1366" t="s">
        <v>1402</v>
      </c>
    </row>
    <row r="38" spans="1:14">
      <c r="A38" s="326"/>
      <c r="B38" s="235" t="s">
        <v>523</v>
      </c>
      <c r="C38" s="229" t="s">
        <v>408</v>
      </c>
      <c r="D38" s="1414">
        <f>IF(scenario="B",2,1)*H38</f>
        <v>1.6</v>
      </c>
      <c r="E38" s="229" t="s">
        <v>1494</v>
      </c>
      <c r="H38" s="282">
        <v>1.6</v>
      </c>
      <c r="N38" s="1366" t="s">
        <v>1403</v>
      </c>
    </row>
    <row r="39" spans="1:14">
      <c r="A39" s="326"/>
      <c r="B39" s="236" t="s">
        <v>470</v>
      </c>
      <c r="C39" s="1675" t="s">
        <v>453</v>
      </c>
      <c r="D39" s="1676">
        <f>IF(scenario="B",2,1)*H39</f>
        <v>35.6</v>
      </c>
      <c r="E39" s="1675"/>
      <c r="F39" s="1677">
        <f>(('PSE LNG Operations'!AP34)*1000000/Input!E88+'PSE LNG Operations'!AU36*1000)/C29</f>
        <v>67.805509378498627</v>
      </c>
      <c r="G39" s="1675"/>
      <c r="H39" s="1678">
        <v>35.6</v>
      </c>
      <c r="N39" s="1366" t="s">
        <v>1405</v>
      </c>
    </row>
    <row r="40" spans="1:14">
      <c r="A40" s="326"/>
      <c r="B40" s="236" t="s">
        <v>1390</v>
      </c>
      <c r="C40" s="1675"/>
      <c r="D40" s="1676">
        <v>77</v>
      </c>
      <c r="E40" s="1675" t="s">
        <v>52</v>
      </c>
      <c r="F40" s="1675"/>
      <c r="G40" s="1675"/>
      <c r="H40" s="1678"/>
    </row>
    <row r="41" spans="1:14">
      <c r="A41" s="326"/>
      <c r="B41" s="236" t="s">
        <v>1391</v>
      </c>
      <c r="C41" s="1675"/>
      <c r="D41" s="1676">
        <v>88</v>
      </c>
      <c r="E41" s="1675" t="s">
        <v>1384</v>
      </c>
      <c r="F41" s="1675"/>
      <c r="G41" s="1675"/>
      <c r="H41" s="1678"/>
    </row>
    <row r="42" spans="1:14">
      <c r="A42" s="326"/>
      <c r="B42" s="1679" t="s">
        <v>385</v>
      </c>
      <c r="C42" s="1679" t="s">
        <v>1389</v>
      </c>
      <c r="D42" s="1680">
        <f>H42</f>
        <v>66</v>
      </c>
      <c r="E42" s="1679"/>
      <c r="F42" s="1679"/>
      <c r="G42" s="1679"/>
      <c r="H42" s="1681">
        <v>66</v>
      </c>
      <c r="N42" s="1366" t="s">
        <v>1404</v>
      </c>
    </row>
    <row r="43" spans="1:14">
      <c r="A43" s="326"/>
      <c r="B43" s="272"/>
      <c r="C43" s="272"/>
      <c r="D43" s="1466" t="s">
        <v>1406</v>
      </c>
      <c r="F43" s="272"/>
      <c r="H43" s="1352"/>
    </row>
    <row r="44" spans="1:14">
      <c r="A44" s="326"/>
      <c r="B44" s="341" t="s">
        <v>461</v>
      </c>
      <c r="C44" s="341" t="s">
        <v>1407</v>
      </c>
      <c r="D44" s="1415">
        <f>H44</f>
        <v>104.6</v>
      </c>
      <c r="E44" s="341" t="s">
        <v>233</v>
      </c>
      <c r="F44" s="341"/>
      <c r="H44" s="1356">
        <v>104.6</v>
      </c>
      <c r="N44" s="1366" t="s">
        <v>1405</v>
      </c>
    </row>
    <row r="45" spans="1:14">
      <c r="A45" s="326"/>
      <c r="B45" s="229" t="s">
        <v>1408</v>
      </c>
    </row>
    <row r="46" spans="1:14">
      <c r="A46" s="326"/>
    </row>
    <row r="47" spans="1:14">
      <c r="A47" s="326"/>
      <c r="E47" s="235"/>
      <c r="F47" s="235"/>
    </row>
    <row r="48" spans="1:14" ht="18.75" thickBot="1">
      <c r="A48" s="326"/>
      <c r="B48" s="228" t="s">
        <v>1336</v>
      </c>
      <c r="C48" s="228"/>
      <c r="D48" s="1353">
        <v>0.99760000000000004</v>
      </c>
      <c r="E48" s="235" t="s">
        <v>1449</v>
      </c>
      <c r="F48" s="235"/>
    </row>
    <row r="49" spans="1:14" ht="15.75" thickTop="1">
      <c r="A49" s="326"/>
      <c r="C49" s="420"/>
      <c r="D49" s="235"/>
      <c r="E49" s="235"/>
      <c r="F49" s="235"/>
    </row>
    <row r="50" spans="1:14" ht="15.75" thickBot="1">
      <c r="A50" s="326"/>
      <c r="B50" s="1245" t="s">
        <v>1230</v>
      </c>
      <c r="C50" s="1245" t="s">
        <v>362</v>
      </c>
      <c r="D50" s="1245"/>
      <c r="E50" s="235"/>
      <c r="F50" s="235"/>
    </row>
    <row r="51" spans="1:14" ht="15.75" thickTop="1">
      <c r="A51" s="326"/>
      <c r="B51" s="1358" t="s">
        <v>365</v>
      </c>
      <c r="C51" s="1359">
        <v>1348</v>
      </c>
      <c r="D51" s="1363" t="s">
        <v>1229</v>
      </c>
      <c r="E51" s="1460"/>
      <c r="F51" s="235"/>
      <c r="N51" s="1367" t="s">
        <v>1233</v>
      </c>
    </row>
    <row r="52" spans="1:14">
      <c r="A52" s="326"/>
      <c r="B52" s="1360" t="s">
        <v>385</v>
      </c>
      <c r="C52" s="1361">
        <v>45</v>
      </c>
      <c r="D52" s="1362" t="s">
        <v>1229</v>
      </c>
      <c r="F52" s="235"/>
    </row>
    <row r="53" spans="1:14">
      <c r="A53" s="326"/>
      <c r="B53" s="1460"/>
      <c r="C53" s="1738"/>
      <c r="D53" s="235"/>
      <c r="E53" s="235"/>
      <c r="F53" s="235"/>
    </row>
    <row r="54" spans="1:14">
      <c r="A54" s="326"/>
      <c r="C54" s="420"/>
      <c r="D54" s="235"/>
      <c r="E54" s="235"/>
      <c r="F54" s="235"/>
      <c r="G54" s="419"/>
      <c r="H54" s="235"/>
    </row>
    <row r="55" spans="1:14" ht="15.75">
      <c r="A55" s="326"/>
      <c r="B55" s="330" t="s">
        <v>511</v>
      </c>
    </row>
    <row r="56" spans="1:14" ht="30.75" thickBot="1">
      <c r="A56" s="326"/>
      <c r="B56" s="367" t="s">
        <v>1364</v>
      </c>
      <c r="C56" s="368" t="s">
        <v>440</v>
      </c>
      <c r="D56" s="368" t="s">
        <v>441</v>
      </c>
      <c r="E56" s="368" t="s">
        <v>512</v>
      </c>
      <c r="F56" s="368"/>
      <c r="G56" s="239" t="s">
        <v>527</v>
      </c>
      <c r="H56" s="239" t="s">
        <v>528</v>
      </c>
    </row>
    <row r="57" spans="1:14" ht="15.75" thickTop="1">
      <c r="A57" s="326"/>
      <c r="B57" s="369"/>
      <c r="C57" s="370">
        <f>IF(scenario="B",2,1)*1012995</f>
        <v>1012995</v>
      </c>
      <c r="D57" s="370">
        <f>IF(scenario="B",2,1)*907013</f>
        <v>907013</v>
      </c>
      <c r="E57" s="1735">
        <f>C57/D57</f>
        <v>1.1168472778229199</v>
      </c>
      <c r="F57" s="371"/>
      <c r="G57" s="370">
        <v>1646</v>
      </c>
      <c r="H57" s="437">
        <f>G57/gperlb</f>
        <v>3.6287715999999994</v>
      </c>
    </row>
    <row r="58" spans="1:14">
      <c r="A58" s="326"/>
      <c r="D58" s="1424"/>
    </row>
    <row r="59" spans="1:14" ht="15.75">
      <c r="A59" s="326"/>
      <c r="B59" s="330" t="s">
        <v>508</v>
      </c>
      <c r="C59" s="325"/>
      <c r="D59" s="325"/>
      <c r="E59" s="325"/>
      <c r="F59" s="325"/>
      <c r="G59" s="325"/>
    </row>
    <row r="60" spans="1:14">
      <c r="A60" s="326"/>
    </row>
    <row r="61" spans="1:14" ht="24.75">
      <c r="A61" s="326"/>
      <c r="B61" s="365" t="s">
        <v>223</v>
      </c>
      <c r="C61" s="1595" t="s">
        <v>1445</v>
      </c>
      <c r="D61" s="1595" t="s">
        <v>1382</v>
      </c>
      <c r="E61" s="1595" t="s">
        <v>1446</v>
      </c>
      <c r="F61" s="1595" t="s">
        <v>1447</v>
      </c>
      <c r="G61" s="1595" t="s">
        <v>52</v>
      </c>
      <c r="H61" s="1595" t="s">
        <v>409</v>
      </c>
    </row>
    <row r="62" spans="1:14">
      <c r="A62" s="326"/>
      <c r="B62" s="365"/>
      <c r="C62" s="365" t="s">
        <v>410</v>
      </c>
      <c r="D62" s="365" t="s">
        <v>410</v>
      </c>
      <c r="E62" s="365" t="s">
        <v>410</v>
      </c>
      <c r="F62" s="365" t="s">
        <v>410</v>
      </c>
      <c r="G62" s="365" t="s">
        <v>410</v>
      </c>
      <c r="H62" s="365" t="s">
        <v>410</v>
      </c>
    </row>
    <row r="63" spans="1:14">
      <c r="A63" s="326"/>
      <c r="B63" s="1504" t="s">
        <v>121</v>
      </c>
      <c r="C63" s="1505">
        <v>0.91313699999999987</v>
      </c>
      <c r="D63" s="1505">
        <v>0</v>
      </c>
      <c r="E63" s="1505">
        <v>5.1176476418378122E-2</v>
      </c>
      <c r="F63" s="1505">
        <v>5.0071749406426773E-2</v>
      </c>
      <c r="G63" s="1505">
        <v>5.3600613399081717E-2</v>
      </c>
      <c r="H63" s="1505">
        <v>0.94355800000000001</v>
      </c>
    </row>
    <row r="64" spans="1:14">
      <c r="A64" s="326"/>
      <c r="B64" s="1504" t="s">
        <v>413</v>
      </c>
      <c r="C64" s="1505">
        <v>6.0698999999999996E-2</v>
      </c>
      <c r="D64" s="1505">
        <v>0</v>
      </c>
      <c r="E64" s="1505">
        <v>0.55731587968229479</v>
      </c>
      <c r="F64" s="1505">
        <v>0.7982634636364232</v>
      </c>
      <c r="G64" s="1505">
        <v>2.8597071908535797E-2</v>
      </c>
      <c r="H64" s="1505">
        <v>4.3172000000000002E-2</v>
      </c>
    </row>
    <row r="65" spans="1:10">
      <c r="A65" s="326"/>
      <c r="B65" s="1537"/>
      <c r="C65" s="1538"/>
      <c r="D65" s="1538"/>
      <c r="E65" s="1538"/>
      <c r="F65" s="1538"/>
      <c r="G65" s="1538"/>
      <c r="H65" s="1538">
        <v>0</v>
      </c>
    </row>
    <row r="66" spans="1:10">
      <c r="A66" s="326"/>
      <c r="B66" s="1504" t="s">
        <v>414</v>
      </c>
      <c r="C66" s="1505">
        <v>1.5436999999999994E-2</v>
      </c>
      <c r="D66" s="1505">
        <v>0</v>
      </c>
      <c r="E66" s="1505">
        <v>0.21833957747503341</v>
      </c>
      <c r="F66" s="1505">
        <v>1.5892061365680537E-2</v>
      </c>
      <c r="G66" s="1505">
        <v>0.66257648409815106</v>
      </c>
      <c r="H66" s="1505">
        <v>8.2760000000000004E-3</v>
      </c>
    </row>
    <row r="67" spans="1:10">
      <c r="A67" s="326"/>
      <c r="B67" s="1504" t="s">
        <v>415</v>
      </c>
      <c r="C67" s="1505">
        <v>2.2389999999999997E-3</v>
      </c>
      <c r="D67" s="1505">
        <v>0</v>
      </c>
      <c r="E67" s="1505">
        <v>3.7175304709777451E-2</v>
      </c>
      <c r="F67" s="1505">
        <v>2.7058411973120721E-3</v>
      </c>
      <c r="G67" s="1505">
        <v>0.11281272490645142</v>
      </c>
      <c r="H67" s="1505">
        <v>1.0059999999999999E-3</v>
      </c>
    </row>
    <row r="68" spans="1:10">
      <c r="A68" s="326"/>
      <c r="B68" s="1504" t="s">
        <v>416</v>
      </c>
      <c r="C68" s="1505">
        <v>2.4149999999999992E-3</v>
      </c>
      <c r="D68" s="1505">
        <v>0</v>
      </c>
      <c r="E68" s="1505">
        <v>4.5454940676522261E-2</v>
      </c>
      <c r="F68" s="1505">
        <v>3.3084826624584949E-3</v>
      </c>
      <c r="G68" s="1505">
        <v>0.13793822964498498</v>
      </c>
      <c r="H68" s="1505">
        <v>8.9599999999999999E-4</v>
      </c>
    </row>
    <row r="69" spans="1:10">
      <c r="A69" s="326"/>
      <c r="B69" s="1504" t="s">
        <v>417</v>
      </c>
      <c r="C69" s="1505">
        <v>4.7599999999999991E-4</v>
      </c>
      <c r="D69" s="1505">
        <v>0</v>
      </c>
      <c r="E69" s="1505">
        <v>1.0789718503129759E-2</v>
      </c>
      <c r="F69" s="1505">
        <v>1.4136125341800443E-2</v>
      </c>
      <c r="G69" s="1505">
        <v>3.4465934755521402E-3</v>
      </c>
      <c r="H69" s="1505">
        <v>1.12E-4</v>
      </c>
    </row>
    <row r="70" spans="1:10">
      <c r="A70" s="326"/>
      <c r="B70" s="1504" t="s">
        <v>418</v>
      </c>
      <c r="C70" s="1505">
        <v>3.4099999999999989E-4</v>
      </c>
      <c r="D70" s="1505">
        <v>0</v>
      </c>
      <c r="E70" s="1505">
        <v>8.076288877347319E-3</v>
      </c>
      <c r="F70" s="1505">
        <v>1.1756812936073677E-2</v>
      </c>
      <c r="G70" s="1505">
        <v>0</v>
      </c>
      <c r="H70" s="1505">
        <v>6.7999999999999999E-5</v>
      </c>
    </row>
    <row r="71" spans="1:10">
      <c r="A71" s="326"/>
      <c r="B71" s="1504" t="s">
        <v>419</v>
      </c>
      <c r="C71" s="1505">
        <v>2.9899999999999995E-4</v>
      </c>
      <c r="D71" s="1505">
        <v>0</v>
      </c>
      <c r="E71" s="1505">
        <v>8.4309703582369239E-3</v>
      </c>
      <c r="F71" s="1505">
        <v>1.2273129760055127E-2</v>
      </c>
      <c r="G71" s="1505">
        <v>0</v>
      </c>
      <c r="H71" s="1505">
        <v>1.2E-5</v>
      </c>
    </row>
    <row r="72" spans="1:10">
      <c r="A72" s="326"/>
      <c r="B72" s="1504" t="s">
        <v>420</v>
      </c>
      <c r="C72" s="1505">
        <v>2.7169999999999989E-3</v>
      </c>
      <c r="D72" s="1505">
        <v>0.54811377849505738</v>
      </c>
      <c r="E72" s="1505">
        <v>3.652455061544906E-4</v>
      </c>
      <c r="F72" s="1505">
        <v>5.3169508382051715E-4</v>
      </c>
      <c r="G72" s="1505">
        <v>0</v>
      </c>
      <c r="H72" s="1505">
        <v>2.8E-3</v>
      </c>
    </row>
    <row r="73" spans="1:10">
      <c r="A73" s="326"/>
      <c r="B73" s="1504" t="s">
        <v>130</v>
      </c>
      <c r="C73" s="1505">
        <v>0</v>
      </c>
      <c r="D73" s="1505">
        <v>0</v>
      </c>
      <c r="E73" s="1505">
        <v>0</v>
      </c>
      <c r="F73" s="1505">
        <v>0</v>
      </c>
      <c r="G73" s="1505">
        <v>0</v>
      </c>
      <c r="H73" s="1505">
        <v>0</v>
      </c>
    </row>
    <row r="74" spans="1:10">
      <c r="A74" s="326"/>
      <c r="B74" s="1504" t="s">
        <v>421</v>
      </c>
      <c r="C74" s="1505">
        <v>0</v>
      </c>
      <c r="D74" s="1505">
        <v>0</v>
      </c>
      <c r="E74" s="1505">
        <v>0</v>
      </c>
      <c r="F74" s="1505">
        <v>0</v>
      </c>
      <c r="G74" s="1505">
        <v>0</v>
      </c>
      <c r="H74" s="1505">
        <v>0</v>
      </c>
    </row>
    <row r="75" spans="1:10">
      <c r="A75" s="326"/>
      <c r="B75" s="1504" t="s">
        <v>422</v>
      </c>
      <c r="C75" s="1505">
        <v>0</v>
      </c>
      <c r="D75" s="1505">
        <v>0</v>
      </c>
      <c r="E75" s="1505">
        <v>0</v>
      </c>
      <c r="F75" s="1505">
        <v>0</v>
      </c>
      <c r="G75" s="1505">
        <v>0</v>
      </c>
      <c r="H75" s="1505">
        <v>0</v>
      </c>
    </row>
    <row r="76" spans="1:10">
      <c r="A76" s="326"/>
      <c r="B76" s="1504" t="s">
        <v>423</v>
      </c>
      <c r="C76" s="1505">
        <v>0</v>
      </c>
      <c r="D76" s="1505">
        <v>0</v>
      </c>
      <c r="E76" s="1505">
        <v>0</v>
      </c>
      <c r="F76" s="1505">
        <v>0</v>
      </c>
      <c r="G76" s="1505">
        <v>0</v>
      </c>
      <c r="H76" s="1505">
        <v>0</v>
      </c>
      <c r="J76" s="229">
        <f>BtuperMJ</f>
        <v>947.81712266701334</v>
      </c>
    </row>
    <row r="77" spans="1:10">
      <c r="A77" s="326"/>
      <c r="B77" s="1504" t="s">
        <v>424</v>
      </c>
      <c r="C77" s="1505">
        <v>0</v>
      </c>
      <c r="D77" s="1505">
        <v>0</v>
      </c>
      <c r="E77" s="1505">
        <v>0</v>
      </c>
      <c r="F77" s="1505">
        <v>0</v>
      </c>
      <c r="G77" s="1505">
        <v>0</v>
      </c>
      <c r="H77" s="1505">
        <v>0</v>
      </c>
    </row>
    <row r="78" spans="1:10">
      <c r="A78" s="326"/>
      <c r="B78" s="1504" t="s">
        <v>118</v>
      </c>
      <c r="C78" s="1505">
        <v>2.2399999999999994E-3</v>
      </c>
      <c r="D78" s="1505">
        <v>0.45188622150494245</v>
      </c>
      <c r="E78" s="1505">
        <v>6.2875597793125501E-2</v>
      </c>
      <c r="F78" s="1505">
        <v>9.1060638609949313E-2</v>
      </c>
      <c r="G78" s="1505">
        <v>1.0282825672427432E-3</v>
      </c>
      <c r="H78" s="1505">
        <v>1E-4</v>
      </c>
    </row>
    <row r="79" spans="1:10">
      <c r="A79" s="326"/>
      <c r="B79" s="365" t="s">
        <v>211</v>
      </c>
      <c r="C79" s="1506">
        <v>0.99999999999999989</v>
      </c>
      <c r="D79" s="1506">
        <v>0.99999999999999978</v>
      </c>
      <c r="E79" s="1506">
        <v>0.99999999999999989</v>
      </c>
      <c r="F79" s="1506">
        <v>1.0000000000000002</v>
      </c>
      <c r="G79" s="1506">
        <v>0.99999999999999978</v>
      </c>
      <c r="H79" s="1506">
        <v>0.99999999999999989</v>
      </c>
    </row>
    <row r="80" spans="1:10">
      <c r="A80" s="326"/>
      <c r="B80" s="1504" t="s">
        <v>567</v>
      </c>
      <c r="C80" s="372">
        <v>118.11028341995417</v>
      </c>
      <c r="D80" s="372">
        <v>0</v>
      </c>
      <c r="E80" s="372">
        <v>136.68137814075516</v>
      </c>
      <c r="F80" s="372">
        <v>136.86564540049366</v>
      </c>
      <c r="G80" s="372">
        <v>136.42139318751362</v>
      </c>
      <c r="H80" s="372">
        <v>116.86703148554251</v>
      </c>
    </row>
    <row r="81" spans="1:13">
      <c r="A81" s="326"/>
      <c r="B81" s="1504" t="s">
        <v>425</v>
      </c>
      <c r="C81" s="373">
        <v>0.12870120913510905</v>
      </c>
      <c r="D81" s="373">
        <v>0</v>
      </c>
      <c r="E81" s="373">
        <v>0.27413263151631528</v>
      </c>
      <c r="F81" s="373">
        <v>0.23385260550374126</v>
      </c>
      <c r="G81" s="373">
        <v>0.36252035045903186</v>
      </c>
      <c r="H81" s="373">
        <v>0.12356852709315738</v>
      </c>
      <c r="K81" s="229">
        <f>Fuel_Specs!E25</f>
        <v>1646</v>
      </c>
    </row>
    <row r="82" spans="1:13">
      <c r="B82" s="1504" t="s">
        <v>426</v>
      </c>
      <c r="C82" s="374">
        <v>49.017063508101224</v>
      </c>
      <c r="D82" s="374">
        <v>0</v>
      </c>
      <c r="E82" s="374">
        <v>43.287203301892653</v>
      </c>
      <c r="F82" s="374">
        <v>41.463880657384351</v>
      </c>
      <c r="G82" s="374">
        <v>46.150525826498843</v>
      </c>
      <c r="H82" s="374">
        <v>49.455310628498445</v>
      </c>
      <c r="J82" s="364">
        <f>F82*BtuperMJ*Fuel_Specs!U24*Lpergal</f>
        <v>75574.238562015569</v>
      </c>
      <c r="K82" s="364">
        <f>L82*BtuperMJ</f>
        <v>77155.575502954132</v>
      </c>
      <c r="L82" s="229">
        <f>H82*K81/1000</f>
        <v>81.403441294508454</v>
      </c>
      <c r="M82" s="229" t="s">
        <v>1476</v>
      </c>
    </row>
    <row r="83" spans="1:13">
      <c r="B83" s="1537" t="s">
        <v>1448</v>
      </c>
      <c r="C83" s="1539">
        <f>C80*gperlb*C90/C89</f>
        <v>59333.728970152973</v>
      </c>
      <c r="D83" s="1539">
        <v>0</v>
      </c>
      <c r="E83" s="1539">
        <f>E80*gperlb*E90/E89</f>
        <v>68663.08005574088</v>
      </c>
      <c r="F83" s="1539">
        <f>F80*gperlb*F90/F89</f>
        <v>68755.648317629835</v>
      </c>
      <c r="G83" s="1539">
        <f>G80*gperlb*G90/G89</f>
        <v>68532.474351433979</v>
      </c>
      <c r="H83" s="1539">
        <f>H80*gperlb*H90/H89</f>
        <v>58709.170538981365</v>
      </c>
      <c r="J83" s="1540"/>
      <c r="K83" s="1540"/>
    </row>
    <row r="84" spans="1:13">
      <c r="A84" s="326"/>
      <c r="B84" s="1504" t="s">
        <v>427</v>
      </c>
      <c r="C84" s="374">
        <v>17.683155152999998</v>
      </c>
      <c r="D84" s="374">
        <v>35.234698406294122</v>
      </c>
      <c r="E84" s="374">
        <v>36.855642820615159</v>
      </c>
      <c r="F84" s="374">
        <v>32.778565971807062</v>
      </c>
      <c r="G84" s="374">
        <v>45.80209986877631</v>
      </c>
      <c r="H84" s="374">
        <v>17.0065043884</v>
      </c>
    </row>
    <row r="85" spans="1:13">
      <c r="A85" s="326"/>
      <c r="B85" s="1504" t="s">
        <v>428</v>
      </c>
      <c r="C85" s="372">
        <v>1.1075809999999999</v>
      </c>
      <c r="D85" s="372">
        <v>0.45188622150494245</v>
      </c>
      <c r="E85" s="372">
        <v>2.3591394065981994</v>
      </c>
      <c r="F85" s="372">
        <v>2.0124962647750477</v>
      </c>
      <c r="G85" s="372">
        <v>3.1197892776613556</v>
      </c>
      <c r="H85" s="372">
        <v>1.0634100000000002</v>
      </c>
    </row>
    <row r="86" spans="1:13">
      <c r="A86" s="326"/>
      <c r="B86" s="1504" t="s">
        <v>429</v>
      </c>
      <c r="C86" s="375">
        <v>0.75224402517009359</v>
      </c>
      <c r="D86" s="375">
        <v>0.15402866395203438</v>
      </c>
      <c r="E86" s="375">
        <v>0.76876326404477191</v>
      </c>
      <c r="F86" s="375">
        <v>0.73737454410717895</v>
      </c>
      <c r="G86" s="375">
        <v>0.81805570775272685</v>
      </c>
      <c r="H86" s="375">
        <v>0.75098055475241432</v>
      </c>
    </row>
    <row r="87" spans="1:13">
      <c r="A87" s="326"/>
      <c r="B87" s="1504" t="s">
        <v>430</v>
      </c>
      <c r="C87" s="374">
        <v>56.23669868208399</v>
      </c>
      <c r="D87" s="374">
        <v>0</v>
      </c>
      <c r="E87" s="374">
        <v>65.079087572954123</v>
      </c>
      <c r="F87" s="374">
        <v>65.166824068565106</v>
      </c>
      <c r="G87" s="374">
        <v>64.955299067381475</v>
      </c>
      <c r="H87" s="374">
        <v>55.644740197209046</v>
      </c>
    </row>
    <row r="88" spans="1:13">
      <c r="A88" s="326"/>
      <c r="B88" s="1504" t="s">
        <v>431</v>
      </c>
      <c r="C88" s="376">
        <v>59332.810128026125</v>
      </c>
      <c r="D88" s="376">
        <v>0</v>
      </c>
      <c r="E88" s="376">
        <v>68662.016739283121</v>
      </c>
      <c r="F88" s="376">
        <v>68754.583567659967</v>
      </c>
      <c r="G88" s="376">
        <v>68531.413057536163</v>
      </c>
      <c r="H88" s="376">
        <v>58708.261368766391</v>
      </c>
    </row>
    <row r="89" spans="1:13">
      <c r="A89" s="326"/>
      <c r="B89" s="1504" t="s">
        <v>432</v>
      </c>
      <c r="C89" s="374">
        <v>983.9004983183695</v>
      </c>
      <c r="D89" s="374">
        <v>0</v>
      </c>
      <c r="E89" s="374">
        <v>1810.9549680375974</v>
      </c>
      <c r="F89" s="374">
        <v>1542.7801002686247</v>
      </c>
      <c r="G89" s="374">
        <v>2399.4194549389908</v>
      </c>
      <c r="H89" s="374">
        <v>954.71143068127606</v>
      </c>
    </row>
    <row r="90" spans="1:13">
      <c r="A90" s="326"/>
      <c r="B90" s="1504" t="s">
        <v>433</v>
      </c>
      <c r="C90" s="374">
        <v>1089.6698018875941</v>
      </c>
      <c r="D90" s="374">
        <v>0</v>
      </c>
      <c r="E90" s="374">
        <v>2005.6326271016389</v>
      </c>
      <c r="F90" s="374">
        <v>1708.6289610475017</v>
      </c>
      <c r="G90" s="374">
        <v>2657.3570463449323</v>
      </c>
      <c r="H90" s="374">
        <v>1057.3429094795131</v>
      </c>
      <c r="I90" s="229">
        <f>(E90*E131+F90*F131)/(E89*E131+F89*F131)</f>
        <v>1.1074999999999999</v>
      </c>
      <c r="J90" s="229">
        <f>1/I90</f>
        <v>0.90293453724604977</v>
      </c>
      <c r="K90" s="229">
        <f>C89/C90</f>
        <v>0.90293453724604977</v>
      </c>
    </row>
    <row r="91" spans="1:13">
      <c r="A91" s="326"/>
      <c r="B91" s="1504" t="s">
        <v>434</v>
      </c>
      <c r="C91" s="374">
        <v>36.659254710812966</v>
      </c>
      <c r="D91" s="374">
        <v>0</v>
      </c>
      <c r="E91" s="374">
        <v>67.474566337317341</v>
      </c>
      <c r="F91" s="374">
        <v>57.482610035451337</v>
      </c>
      <c r="G91" s="374">
        <v>89.400228078984213</v>
      </c>
      <c r="H91" s="374">
        <v>35.571696093749317</v>
      </c>
    </row>
    <row r="92" spans="1:13">
      <c r="B92" s="1504" t="s">
        <v>222</v>
      </c>
      <c r="C92" s="377">
        <v>0.61047970562038245</v>
      </c>
      <c r="D92" s="377">
        <v>1.2164157428120597</v>
      </c>
      <c r="E92" s="377">
        <v>1.2723759863500366</v>
      </c>
      <c r="F92" s="377">
        <v>1.1316221077058297</v>
      </c>
      <c r="G92" s="377">
        <v>1.5812366177165058</v>
      </c>
      <c r="H92" s="377">
        <v>0.58711953284540497</v>
      </c>
    </row>
    <row r="93" spans="1:13">
      <c r="B93" s="1504" t="s">
        <v>435</v>
      </c>
      <c r="C93" s="374">
        <v>21.177818855908775</v>
      </c>
      <c r="D93" s="374">
        <v>42.198015785914798</v>
      </c>
      <c r="E93" s="374">
        <v>44.139302105294533</v>
      </c>
      <c r="F93" s="374">
        <v>39.25648598913164</v>
      </c>
      <c r="G93" s="374">
        <v>54.85381798941161</v>
      </c>
      <c r="H93" s="374">
        <v>20.367443829652231</v>
      </c>
    </row>
    <row r="94" spans="1:13">
      <c r="B94" s="1504" t="s">
        <v>436</v>
      </c>
      <c r="C94" s="374">
        <v>747.8876147844752</v>
      </c>
      <c r="D94" s="374">
        <v>1490.2088637876955</v>
      </c>
      <c r="E94" s="374">
        <v>1558.7647431675759</v>
      </c>
      <c r="F94" s="374">
        <v>1386.3297193629703</v>
      </c>
      <c r="G94" s="374">
        <v>1937.1443006972661</v>
      </c>
      <c r="H94" s="374">
        <v>719.26949081280782</v>
      </c>
    </row>
    <row r="95" spans="1:13">
      <c r="B95" s="1504"/>
      <c r="C95" s="1470" t="s">
        <v>411</v>
      </c>
      <c r="D95" s="1470" t="s">
        <v>411</v>
      </c>
      <c r="E95" s="1470" t="s">
        <v>411</v>
      </c>
      <c r="F95" s="1470" t="s">
        <v>411</v>
      </c>
      <c r="G95" s="1470" t="s">
        <v>411</v>
      </c>
      <c r="H95" s="1470" t="s">
        <v>411</v>
      </c>
    </row>
    <row r="96" spans="1:13">
      <c r="B96" s="1504" t="s">
        <v>219</v>
      </c>
      <c r="C96" s="1507">
        <v>94.536416112516918</v>
      </c>
      <c r="D96" s="1507">
        <v>0</v>
      </c>
      <c r="E96" s="1507">
        <v>0.18061611251690449</v>
      </c>
      <c r="F96" s="1507">
        <v>0.12139508718277323</v>
      </c>
      <c r="G96" s="1507">
        <v>5.9221025334131261E-2</v>
      </c>
      <c r="H96" s="1507">
        <v>94.355800000000002</v>
      </c>
    </row>
    <row r="97" spans="2:8">
      <c r="B97" s="1504" t="s">
        <v>225</v>
      </c>
      <c r="C97" s="1507">
        <v>6.2841237641379823</v>
      </c>
      <c r="D97" s="1507">
        <v>0</v>
      </c>
      <c r="E97" s="1507">
        <v>1.9669237641379818</v>
      </c>
      <c r="F97" s="1507">
        <v>1.9353280824362051</v>
      </c>
      <c r="G97" s="1507">
        <v>3.1595681701776672E-2</v>
      </c>
      <c r="H97" s="1507">
        <v>4.3172000000000006</v>
      </c>
    </row>
    <row r="98" spans="2:8">
      <c r="B98" s="1504" t="s">
        <v>226</v>
      </c>
      <c r="C98" s="1507">
        <v>1.5981814947033395</v>
      </c>
      <c r="D98" s="1507">
        <v>0</v>
      </c>
      <c r="E98" s="1507">
        <v>0.77058149470333948</v>
      </c>
      <c r="F98" s="1507">
        <v>3.8529074735166993E-2</v>
      </c>
      <c r="G98" s="1507">
        <v>0.7320524199681725</v>
      </c>
      <c r="H98" s="1507">
        <v>0.8276</v>
      </c>
    </row>
    <row r="99" spans="2:8">
      <c r="B99" s="1504" t="s">
        <v>227</v>
      </c>
      <c r="C99" s="1507">
        <v>0.23180205782475727</v>
      </c>
      <c r="D99" s="1507">
        <v>0</v>
      </c>
      <c r="E99" s="1507">
        <v>0.13120205782475727</v>
      </c>
      <c r="F99" s="1507">
        <v>6.5601028912378716E-3</v>
      </c>
      <c r="G99" s="1507">
        <v>0.12464195493351941</v>
      </c>
      <c r="H99" s="1507">
        <v>0.10059999999999999</v>
      </c>
    </row>
    <row r="100" spans="2:8">
      <c r="B100" s="1504" t="s">
        <v>228</v>
      </c>
      <c r="C100" s="1507">
        <v>0.25002321109727055</v>
      </c>
      <c r="D100" s="1507">
        <v>0</v>
      </c>
      <c r="E100" s="1507">
        <v>0.16042321109727056</v>
      </c>
      <c r="F100" s="1507">
        <v>8.0211605548635469E-3</v>
      </c>
      <c r="G100" s="1507">
        <v>0.15240205054240702</v>
      </c>
      <c r="H100" s="1507">
        <v>8.9599999999999999E-2</v>
      </c>
    </row>
    <row r="101" spans="2:8">
      <c r="B101" s="1504" t="s">
        <v>229</v>
      </c>
      <c r="C101" s="1507">
        <v>4.9279937259751883E-2</v>
      </c>
      <c r="D101" s="1507">
        <v>0</v>
      </c>
      <c r="E101" s="1507">
        <v>3.8079937259751881E-2</v>
      </c>
      <c r="F101" s="1507">
        <v>3.4271943533776689E-2</v>
      </c>
      <c r="G101" s="1507">
        <v>3.8079937259751884E-3</v>
      </c>
      <c r="H101" s="1507">
        <v>1.12E-2</v>
      </c>
    </row>
    <row r="102" spans="2:8">
      <c r="B102" s="1504" t="s">
        <v>230</v>
      </c>
      <c r="C102" s="1507">
        <v>3.5303484465494514E-2</v>
      </c>
      <c r="D102" s="1507">
        <v>0</v>
      </c>
      <c r="E102" s="1507">
        <v>2.850348446549452E-2</v>
      </c>
      <c r="F102" s="1507">
        <v>2.850348446549452E-2</v>
      </c>
      <c r="G102" s="1507">
        <v>0</v>
      </c>
      <c r="H102" s="1507">
        <v>6.7999999999999996E-3</v>
      </c>
    </row>
    <row r="103" spans="2:8">
      <c r="B103" s="1504" t="s">
        <v>447</v>
      </c>
      <c r="C103" s="1507">
        <v>3.0955254707281117E-2</v>
      </c>
      <c r="D103" s="1507">
        <v>0</v>
      </c>
      <c r="E103" s="1507">
        <v>2.9755254707281117E-2</v>
      </c>
      <c r="F103" s="1507">
        <v>2.9755254707281117E-2</v>
      </c>
      <c r="G103" s="1507">
        <v>0</v>
      </c>
      <c r="H103" s="1507">
        <v>1.2000000000000001E-3</v>
      </c>
    </row>
    <row r="104" spans="2:8">
      <c r="B104" s="1504" t="s">
        <v>236</v>
      </c>
      <c r="C104" s="1507">
        <v>0.28128905364442403</v>
      </c>
      <c r="D104" s="1507">
        <v>0.28128905364442403</v>
      </c>
      <c r="E104" s="1507">
        <v>1.289053644424078E-3</v>
      </c>
      <c r="F104" s="1507">
        <v>1.289053644424078E-3</v>
      </c>
      <c r="G104" s="1507">
        <v>0</v>
      </c>
      <c r="H104" s="1507">
        <v>0.27999999999999997</v>
      </c>
    </row>
    <row r="105" spans="2:8">
      <c r="B105" s="1504" t="s">
        <v>130</v>
      </c>
      <c r="C105" s="1507">
        <v>0</v>
      </c>
      <c r="D105" s="1507">
        <v>0</v>
      </c>
      <c r="E105" s="1507">
        <v>0</v>
      </c>
      <c r="F105" s="1507">
        <v>0</v>
      </c>
      <c r="G105" s="1507">
        <v>0</v>
      </c>
      <c r="H105" s="1507">
        <v>0</v>
      </c>
    </row>
    <row r="106" spans="2:8">
      <c r="B106" s="1504" t="s">
        <v>234</v>
      </c>
      <c r="C106" s="1507">
        <v>0</v>
      </c>
      <c r="D106" s="1507">
        <v>0</v>
      </c>
      <c r="E106" s="1507">
        <v>0</v>
      </c>
      <c r="F106" s="1507">
        <v>0</v>
      </c>
      <c r="G106" s="1507">
        <v>0</v>
      </c>
      <c r="H106" s="1507">
        <v>0</v>
      </c>
    </row>
    <row r="107" spans="2:8">
      <c r="B107" s="1504" t="s">
        <v>235</v>
      </c>
      <c r="C107" s="1507">
        <v>0</v>
      </c>
      <c r="D107" s="1507">
        <v>0</v>
      </c>
      <c r="E107" s="1507">
        <v>0</v>
      </c>
      <c r="F107" s="1507">
        <v>0</v>
      </c>
      <c r="G107" s="1507">
        <v>0</v>
      </c>
      <c r="H107" s="1507">
        <v>0</v>
      </c>
    </row>
    <row r="108" spans="2:8">
      <c r="B108" s="1504" t="s">
        <v>237</v>
      </c>
      <c r="C108" s="1507">
        <v>0</v>
      </c>
      <c r="D108" s="1507">
        <v>0</v>
      </c>
      <c r="E108" s="1507">
        <v>0</v>
      </c>
      <c r="F108" s="1507">
        <v>0</v>
      </c>
      <c r="G108" s="1507">
        <v>0</v>
      </c>
      <c r="H108" s="1507">
        <v>0</v>
      </c>
    </row>
    <row r="109" spans="2:8">
      <c r="B109" s="1537" t="s">
        <v>424</v>
      </c>
      <c r="C109" s="1541"/>
      <c r="D109" s="1541"/>
      <c r="E109" s="1541"/>
      <c r="F109" s="1541"/>
      <c r="G109" s="1541"/>
      <c r="H109" s="1541"/>
    </row>
    <row r="110" spans="2:8">
      <c r="B110" s="1504" t="s">
        <v>218</v>
      </c>
      <c r="C110" s="1507">
        <v>0.23190558710471471</v>
      </c>
      <c r="D110" s="1507">
        <v>0.23190558710471471</v>
      </c>
      <c r="E110" s="1507">
        <v>0.22190558710471472</v>
      </c>
      <c r="F110" s="1507">
        <v>0.22076948167413074</v>
      </c>
      <c r="G110" s="1507">
        <v>1.1361054305839583E-3</v>
      </c>
      <c r="H110" s="1507">
        <v>0.01</v>
      </c>
    </row>
    <row r="111" spans="2:8">
      <c r="B111" s="1504" t="s">
        <v>211</v>
      </c>
      <c r="C111" s="366">
        <v>103.52927995746195</v>
      </c>
      <c r="D111" s="366">
        <v>0.51319464074913879</v>
      </c>
      <c r="E111" s="366">
        <v>3.5292799574619198</v>
      </c>
      <c r="F111" s="366">
        <v>2.4244227258253535</v>
      </c>
      <c r="G111" s="366">
        <v>1.1048572316365661</v>
      </c>
      <c r="H111" s="366">
        <v>100</v>
      </c>
    </row>
    <row r="112" spans="2:8">
      <c r="B112" s="1504"/>
      <c r="C112" s="1470"/>
      <c r="D112" s="1542"/>
      <c r="E112" s="1543"/>
      <c r="F112" s="1470"/>
      <c r="G112" s="1470"/>
      <c r="H112" s="1470"/>
    </row>
    <row r="113" spans="2:9" ht="20.25" customHeight="1">
      <c r="B113" s="1534" t="s">
        <v>509</v>
      </c>
      <c r="C113" s="1535" t="s">
        <v>448</v>
      </c>
      <c r="D113" s="1535" t="s">
        <v>118</v>
      </c>
      <c r="E113" s="1535" t="s">
        <v>384</v>
      </c>
      <c r="F113" s="1535" t="s">
        <v>1447</v>
      </c>
      <c r="G113" s="1536" t="s">
        <v>52</v>
      </c>
      <c r="H113" s="1535" t="s">
        <v>347</v>
      </c>
    </row>
    <row r="114" spans="2:9">
      <c r="B114" s="1470"/>
      <c r="C114" s="1470" t="s">
        <v>412</v>
      </c>
      <c r="D114" s="1470" t="s">
        <v>412</v>
      </c>
      <c r="E114" s="1470" t="s">
        <v>412</v>
      </c>
      <c r="F114" s="1470"/>
      <c r="G114" s="1470"/>
      <c r="H114" s="1470" t="s">
        <v>412</v>
      </c>
    </row>
    <row r="115" spans="2:9">
      <c r="B115" s="1504" t="s">
        <v>219</v>
      </c>
      <c r="C115" s="1508">
        <v>1516.5153727105512</v>
      </c>
      <c r="D115" s="1508">
        <v>0</v>
      </c>
      <c r="E115" s="1508">
        <v>2.8973714305511749</v>
      </c>
      <c r="F115" s="1508">
        <v>1.9473714305511749</v>
      </c>
      <c r="G115" s="1508">
        <v>0.95</v>
      </c>
      <c r="H115" s="1508">
        <v>1513.61800128</v>
      </c>
    </row>
    <row r="116" spans="2:9">
      <c r="B116" s="1504" t="s">
        <v>225</v>
      </c>
      <c r="C116" s="1508">
        <v>188.94726286584236</v>
      </c>
      <c r="D116" s="1508">
        <v>0</v>
      </c>
      <c r="E116" s="1508">
        <v>59.140283585842354</v>
      </c>
      <c r="F116" s="1508">
        <v>58.190283585842351</v>
      </c>
      <c r="G116" s="1508">
        <v>0.95</v>
      </c>
      <c r="H116" s="1508">
        <v>129.80697928000001</v>
      </c>
      <c r="I116" s="333"/>
    </row>
    <row r="117" spans="2:9">
      <c r="B117" s="1504"/>
      <c r="C117" s="1508">
        <v>0</v>
      </c>
      <c r="D117" s="1508">
        <v>0</v>
      </c>
      <c r="E117" s="1508">
        <v>0</v>
      </c>
      <c r="F117" s="1508">
        <v>0</v>
      </c>
      <c r="G117" s="1508">
        <v>0</v>
      </c>
      <c r="H117" s="1508"/>
      <c r="I117" s="333"/>
    </row>
    <row r="118" spans="2:9">
      <c r="B118" s="1504" t="s">
        <v>226</v>
      </c>
      <c r="C118" s="1508">
        <v>70.468936282253296</v>
      </c>
      <c r="D118" s="1508">
        <v>0</v>
      </c>
      <c r="E118" s="1508">
        <v>33.977403962253291</v>
      </c>
      <c r="F118" s="1508">
        <v>1.6988701981126653</v>
      </c>
      <c r="G118" s="1508">
        <v>32.278533764140626</v>
      </c>
      <c r="H118" s="1508">
        <v>36.491532320000005</v>
      </c>
      <c r="I118" s="333"/>
    </row>
    <row r="119" spans="2:9">
      <c r="B119" s="1504" t="s">
        <v>227</v>
      </c>
      <c r="C119" s="1508">
        <v>13.472103798717068</v>
      </c>
      <c r="D119" s="1508">
        <v>0</v>
      </c>
      <c r="E119" s="1508">
        <v>7.6253323987170685</v>
      </c>
      <c r="F119" s="1508">
        <v>0.38126661993585387</v>
      </c>
      <c r="G119" s="1508">
        <v>7.2440657787812146</v>
      </c>
      <c r="H119" s="1508">
        <v>5.8467713999999997</v>
      </c>
      <c r="I119" s="333"/>
    </row>
    <row r="120" spans="2:9">
      <c r="B120" s="1504" t="s">
        <v>228</v>
      </c>
      <c r="C120" s="1508">
        <v>14.531099005762266</v>
      </c>
      <c r="D120" s="1508">
        <v>0</v>
      </c>
      <c r="E120" s="1508">
        <v>9.3236366057622675</v>
      </c>
      <c r="F120" s="1508">
        <v>0.46618183028811444</v>
      </c>
      <c r="G120" s="1508">
        <v>8.8574547754741531</v>
      </c>
      <c r="H120" s="1508">
        <v>5.2074623999999998</v>
      </c>
      <c r="I120" s="333"/>
    </row>
    <row r="121" spans="2:9">
      <c r="B121" s="1504" t="s">
        <v>229</v>
      </c>
      <c r="C121" s="1508">
        <v>3.5552912176173477</v>
      </c>
      <c r="D121" s="1508">
        <v>0</v>
      </c>
      <c r="E121" s="1508">
        <v>2.7472694576173478</v>
      </c>
      <c r="F121" s="1508">
        <v>2.4725425118556128</v>
      </c>
      <c r="G121" s="1508">
        <v>0.27472694576173479</v>
      </c>
      <c r="H121" s="1508">
        <v>0.80802176000000003</v>
      </c>
      <c r="I121" s="333"/>
    </row>
    <row r="122" spans="2:9">
      <c r="B122" s="1504" t="s">
        <v>230</v>
      </c>
      <c r="C122" s="1508">
        <v>2.5469628260662089</v>
      </c>
      <c r="D122" s="1508">
        <v>0</v>
      </c>
      <c r="E122" s="1508">
        <v>2.0563781860662091</v>
      </c>
      <c r="F122" s="1508">
        <v>2.0563781860662091</v>
      </c>
      <c r="G122" s="1508">
        <v>0</v>
      </c>
      <c r="H122" s="1508">
        <v>0.49058464000000002</v>
      </c>
      <c r="I122" s="333"/>
    </row>
    <row r="123" spans="2:9">
      <c r="B123" s="1504" t="s">
        <v>447</v>
      </c>
      <c r="C123" s="1508">
        <v>2.6050332688403008</v>
      </c>
      <c r="D123" s="1508">
        <v>0</v>
      </c>
      <c r="E123" s="1508">
        <v>2.5040475088403009</v>
      </c>
      <c r="F123" s="1508">
        <v>2.5040475088403009</v>
      </c>
      <c r="G123" s="1508">
        <v>0</v>
      </c>
      <c r="H123" s="1508">
        <v>0.10098576000000001</v>
      </c>
      <c r="I123" s="333"/>
    </row>
    <row r="124" spans="2:9">
      <c r="B124" s="1504" t="s">
        <v>236</v>
      </c>
      <c r="C124" s="1508">
        <v>7.8760935020438732</v>
      </c>
      <c r="D124" s="1508">
        <v>7.8760935020438732</v>
      </c>
      <c r="E124" s="1508">
        <v>3.6093502043874182E-2</v>
      </c>
      <c r="F124" s="1508">
        <v>3.6093502043874182E-2</v>
      </c>
      <c r="G124" s="1508">
        <v>0</v>
      </c>
      <c r="H124" s="1508">
        <v>7.839999999999999</v>
      </c>
      <c r="I124" s="333"/>
    </row>
    <row r="125" spans="2:9">
      <c r="B125" s="1504" t="s">
        <v>130</v>
      </c>
      <c r="C125" s="1508">
        <v>0</v>
      </c>
      <c r="D125" s="1508">
        <v>0</v>
      </c>
      <c r="E125" s="1508">
        <v>0</v>
      </c>
      <c r="F125" s="1508">
        <v>0</v>
      </c>
      <c r="G125" s="1508">
        <v>0</v>
      </c>
      <c r="H125" s="1508">
        <v>0</v>
      </c>
      <c r="I125" s="333"/>
    </row>
    <row r="126" spans="2:9">
      <c r="B126" s="1504" t="s">
        <v>234</v>
      </c>
      <c r="C126" s="1508">
        <v>0</v>
      </c>
      <c r="D126" s="1508">
        <v>0</v>
      </c>
      <c r="E126" s="1508">
        <v>0</v>
      </c>
      <c r="F126" s="1508">
        <v>0</v>
      </c>
      <c r="G126" s="1508">
        <v>0</v>
      </c>
      <c r="H126" s="1508">
        <v>0</v>
      </c>
      <c r="I126" s="333"/>
    </row>
    <row r="127" spans="2:9">
      <c r="B127" s="1504" t="s">
        <v>235</v>
      </c>
      <c r="C127" s="1508">
        <v>0</v>
      </c>
      <c r="D127" s="1508">
        <v>0</v>
      </c>
      <c r="E127" s="1508">
        <v>0</v>
      </c>
      <c r="F127" s="1508">
        <v>0</v>
      </c>
      <c r="G127" s="1508">
        <v>0</v>
      </c>
      <c r="H127" s="1508">
        <v>0</v>
      </c>
      <c r="I127" s="333"/>
    </row>
    <row r="128" spans="2:9">
      <c r="B128" s="1504" t="s">
        <v>237</v>
      </c>
      <c r="C128" s="1508">
        <v>0</v>
      </c>
      <c r="D128" s="1508">
        <v>0</v>
      </c>
      <c r="E128" s="1508">
        <v>0</v>
      </c>
      <c r="F128" s="1508">
        <v>0</v>
      </c>
      <c r="G128" s="1508">
        <v>0</v>
      </c>
      <c r="H128" s="1508">
        <v>0</v>
      </c>
      <c r="I128" s="333"/>
    </row>
    <row r="129" spans="2:17">
      <c r="B129" s="1504" t="s">
        <v>424</v>
      </c>
      <c r="C129" s="1508">
        <v>0</v>
      </c>
      <c r="D129" s="1508">
        <v>0</v>
      </c>
      <c r="E129" s="1508">
        <v>0</v>
      </c>
      <c r="F129" s="1508">
        <v>0</v>
      </c>
      <c r="G129" s="1508">
        <v>0</v>
      </c>
      <c r="H129" s="1508">
        <v>0</v>
      </c>
      <c r="I129" s="333"/>
    </row>
    <row r="130" spans="2:17">
      <c r="B130" s="1504" t="s">
        <v>218</v>
      </c>
      <c r="C130" s="1508">
        <v>10.206164888478494</v>
      </c>
      <c r="D130" s="1508">
        <v>10.206164888478494</v>
      </c>
      <c r="E130" s="1508">
        <v>9.7660648884784944</v>
      </c>
      <c r="F130" s="1508">
        <v>9.7160648884784937</v>
      </c>
      <c r="G130" s="1508">
        <v>0.05</v>
      </c>
      <c r="H130" s="1508">
        <v>0.44009999999999999</v>
      </c>
      <c r="I130" s="333"/>
    </row>
    <row r="131" spans="2:17">
      <c r="B131" s="1504" t="s">
        <v>211</v>
      </c>
      <c r="C131" s="366">
        <v>1830.7243203661722</v>
      </c>
      <c r="D131" s="366">
        <v>18.082258390522366</v>
      </c>
      <c r="E131" s="366">
        <v>130.07388152617239</v>
      </c>
      <c r="F131" s="366">
        <v>79.469100262014649</v>
      </c>
      <c r="G131" s="366">
        <v>50.604781264157722</v>
      </c>
      <c r="H131" s="366">
        <v>1700.6504388399999</v>
      </c>
    </row>
    <row r="132" spans="2:17">
      <c r="B132" s="1470" t="s">
        <v>510</v>
      </c>
      <c r="C132" s="1509">
        <f>C131/$H$131</f>
        <v>1.0764847840305705</v>
      </c>
      <c r="D132" s="1509">
        <f t="shared" ref="D132:H132" si="12">D131/$H$131</f>
        <v>1.0632554449494118E-2</v>
      </c>
      <c r="E132" s="1509">
        <f t="shared" si="12"/>
        <v>7.6484784030570532E-2</v>
      </c>
      <c r="F132" s="1509">
        <f t="shared" si="12"/>
        <v>4.6728650666282658E-2</v>
      </c>
      <c r="G132" s="1509">
        <f>G131/$H$131</f>
        <v>2.9756133364287868E-2</v>
      </c>
      <c r="H132" s="1736">
        <f t="shared" si="12"/>
        <v>1</v>
      </c>
      <c r="I132" s="1737">
        <f>C132-E132</f>
        <v>0.99999999999999989</v>
      </c>
    </row>
    <row r="133" spans="2:17">
      <c r="C133" s="441">
        <f>C132*$G$133</f>
        <v>4703.7539389161593</v>
      </c>
      <c r="D133" s="441">
        <f t="shared" ref="D133:F133" si="13">D132*$G$133</f>
        <v>46.459476821669789</v>
      </c>
      <c r="E133" s="441">
        <f t="shared" si="13"/>
        <v>334.20407746397939</v>
      </c>
      <c r="F133" s="441">
        <f t="shared" si="13"/>
        <v>204.18316904470271</v>
      </c>
      <c r="G133" s="441">
        <f>G132*('PSE LNG Operations'!AU51+'PSE LNG Operations'!AP51)</f>
        <v>4369.5498614521803</v>
      </c>
    </row>
    <row r="134" spans="2:17">
      <c r="C134" s="441"/>
      <c r="D134" s="441"/>
      <c r="E134" s="441"/>
      <c r="F134" s="441"/>
      <c r="G134" s="441"/>
    </row>
    <row r="135" spans="2:17" ht="15.75">
      <c r="B135" s="330" t="s">
        <v>1217</v>
      </c>
      <c r="I135" s="1674" t="s">
        <v>1514</v>
      </c>
      <c r="J135" s="1674"/>
      <c r="K135" s="1674"/>
      <c r="L135" s="1674"/>
      <c r="M135" s="1674"/>
      <c r="N135" s="1674"/>
      <c r="O135" s="1674"/>
      <c r="P135" s="1674"/>
      <c r="Q135" s="1674"/>
    </row>
    <row r="136" spans="2:17">
      <c r="B136" s="304" t="s">
        <v>1322</v>
      </c>
      <c r="C136" s="304"/>
      <c r="D136" s="1753" t="s">
        <v>281</v>
      </c>
      <c r="E136" s="1753"/>
      <c r="F136" s="1753"/>
      <c r="G136" s="1753"/>
      <c r="I136" s="229" t="s">
        <v>1469</v>
      </c>
      <c r="L136" s="229" t="s">
        <v>1399</v>
      </c>
      <c r="O136" s="229" t="s">
        <v>1515</v>
      </c>
    </row>
    <row r="137" spans="2:17" ht="18.75" thickBot="1">
      <c r="B137" s="228" t="s">
        <v>275</v>
      </c>
      <c r="C137" s="228"/>
      <c r="D137" s="279" t="s">
        <v>277</v>
      </c>
      <c r="E137" s="279" t="s">
        <v>278</v>
      </c>
      <c r="F137" s="279" t="s">
        <v>279</v>
      </c>
      <c r="G137" s="1684" t="s">
        <v>1516</v>
      </c>
      <c r="I137" s="229" t="s">
        <v>118</v>
      </c>
      <c r="J137" s="229" t="s">
        <v>121</v>
      </c>
      <c r="K137" s="229" t="s">
        <v>124</v>
      </c>
      <c r="L137" s="229" t="s">
        <v>118</v>
      </c>
      <c r="M137" s="229" t="s">
        <v>121</v>
      </c>
      <c r="N137" s="229" t="s">
        <v>124</v>
      </c>
      <c r="O137" s="229" t="s">
        <v>118</v>
      </c>
      <c r="P137" s="229" t="s">
        <v>121</v>
      </c>
      <c r="Q137" s="229" t="s">
        <v>124</v>
      </c>
    </row>
    <row r="138" spans="2:17" ht="15.75" thickTop="1">
      <c r="B138" s="241" t="s">
        <v>205</v>
      </c>
      <c r="C138" s="241"/>
      <c r="D138" s="1682">
        <f>IF($H$25="GHGenius",I138,IF($H$25="GREET",L138,O138))</f>
        <v>2355.5587032693575</v>
      </c>
      <c r="E138" s="1569">
        <f t="shared" ref="E138:F143" si="14">IF($H$25="GHGenius",J138,IF($H$25="GREET",M138,P138))</f>
        <v>8.9051802234184283</v>
      </c>
      <c r="F138" s="1569">
        <f t="shared" si="14"/>
        <v>2.0759457627761164E-2</v>
      </c>
      <c r="G138" s="1685">
        <f t="shared" ref="G138:G160" si="15">D138+E138*CH4_GWP+N2O_GWP</f>
        <v>2876.1882088548182</v>
      </c>
      <c r="I138" s="1565">
        <v>2355.5587032693575</v>
      </c>
      <c r="J138" s="1565">
        <v>8.9051802234184283</v>
      </c>
      <c r="K138" s="1565">
        <v>2.0759457627761164E-2</v>
      </c>
      <c r="L138" s="1566">
        <v>2126.9153076924222</v>
      </c>
      <c r="M138" s="1566">
        <v>8.0407947841249925</v>
      </c>
      <c r="N138" s="1566">
        <v>1.8744431266601504E-2</v>
      </c>
      <c r="O138" s="1568">
        <f>D159</f>
        <v>6030</v>
      </c>
      <c r="P138" s="1568">
        <f t="shared" ref="P138:Q138" si="16">E159</f>
        <v>45.5</v>
      </c>
      <c r="Q138" s="1568">
        <f t="shared" si="16"/>
        <v>0.16</v>
      </c>
    </row>
    <row r="139" spans="2:17">
      <c r="B139" s="241" t="s">
        <v>271</v>
      </c>
      <c r="C139" s="241"/>
      <c r="D139" s="1570">
        <f t="shared" ref="D139:D143" si="17">IF($H$25="GHGenius",I139,IF($H$25="GREET",L139,O139))</f>
        <v>0</v>
      </c>
      <c r="E139" s="1570">
        <f t="shared" si="14"/>
        <v>135.74397149866587</v>
      </c>
      <c r="F139" s="1570">
        <f t="shared" si="14"/>
        <v>0</v>
      </c>
      <c r="G139" s="1686">
        <f t="shared" si="15"/>
        <v>3691.5992874666467</v>
      </c>
      <c r="I139" s="1565"/>
      <c r="J139" s="1565">
        <v>135.74397149866587</v>
      </c>
      <c r="K139" s="1565"/>
      <c r="L139" s="1566"/>
      <c r="M139" s="1566">
        <v>122.56792008908884</v>
      </c>
      <c r="N139" s="1566"/>
      <c r="O139" s="1568">
        <f>D160</f>
        <v>824</v>
      </c>
      <c r="P139" s="1568">
        <f t="shared" ref="P139:Q139" si="18">E160</f>
        <v>5.9</v>
      </c>
      <c r="Q139" s="1568">
        <f t="shared" si="18"/>
        <v>0.02</v>
      </c>
    </row>
    <row r="140" spans="2:17">
      <c r="B140" s="241" t="s">
        <v>272</v>
      </c>
      <c r="C140" s="241"/>
      <c r="D140" s="1683">
        <f t="shared" si="17"/>
        <v>1845.0755233852692</v>
      </c>
      <c r="E140" s="1570">
        <f t="shared" si="14"/>
        <v>4.3718533343453005</v>
      </c>
      <c r="F140" s="1570">
        <f t="shared" si="14"/>
        <v>1.4210695286107558E-2</v>
      </c>
      <c r="G140" s="1686">
        <f t="shared" si="15"/>
        <v>2252.3718567439018</v>
      </c>
      <c r="I140" s="1565">
        <v>1845.0755233852692</v>
      </c>
      <c r="J140" s="1565">
        <v>4.3718533343453005</v>
      </c>
      <c r="K140" s="1565">
        <v>1.4210695286107558E-2</v>
      </c>
      <c r="L140" s="1566">
        <v>1665.9824138918912</v>
      </c>
      <c r="M140" s="1566">
        <v>3.9474973673546736</v>
      </c>
      <c r="N140" s="1566">
        <v>1.2831327572106149E-2</v>
      </c>
      <c r="O140" s="1567"/>
      <c r="P140" s="1567"/>
      <c r="Q140" s="1567"/>
    </row>
    <row r="141" spans="2:17">
      <c r="B141" s="241" t="s">
        <v>273</v>
      </c>
      <c r="C141" s="241"/>
      <c r="D141" s="1683">
        <f t="shared" si="17"/>
        <v>777.53587034799432</v>
      </c>
      <c r="E141" s="1570">
        <f t="shared" si="14"/>
        <v>6.8307681056741885</v>
      </c>
      <c r="F141" s="1570">
        <f t="shared" si="14"/>
        <v>0</v>
      </c>
      <c r="G141" s="1686">
        <f t="shared" si="15"/>
        <v>1246.3050729898491</v>
      </c>
      <c r="I141" s="1565">
        <v>777.53587034799432</v>
      </c>
      <c r="J141" s="1565">
        <v>6.8307681056741885</v>
      </c>
      <c r="K141" s="1565"/>
      <c r="L141" s="1566">
        <v>702.06399128487078</v>
      </c>
      <c r="M141" s="1566">
        <v>6.1677364385319997</v>
      </c>
      <c r="N141" s="1566"/>
      <c r="O141" s="1567"/>
      <c r="P141" s="1567"/>
      <c r="Q141" s="1567"/>
    </row>
    <row r="142" spans="2:17">
      <c r="B142" s="241" t="s">
        <v>282</v>
      </c>
      <c r="C142" s="241"/>
      <c r="D142" s="1683">
        <f t="shared" si="17"/>
        <v>377</v>
      </c>
      <c r="E142" s="1570">
        <f t="shared" si="14"/>
        <v>13.68</v>
      </c>
      <c r="F142" s="1570">
        <f t="shared" si="14"/>
        <v>0.29499999999999998</v>
      </c>
      <c r="G142" s="1686">
        <f t="shared" si="15"/>
        <v>1017</v>
      </c>
      <c r="I142" s="1565">
        <v>377</v>
      </c>
      <c r="J142" s="1565">
        <v>13.68</v>
      </c>
      <c r="K142" s="1565">
        <v>0.29499999999999998</v>
      </c>
      <c r="L142" s="1566">
        <v>1650.7440774381828</v>
      </c>
      <c r="M142" s="1566">
        <v>17.698757768646068</v>
      </c>
      <c r="N142" s="1566">
        <v>1.2536466414662726</v>
      </c>
      <c r="O142" s="1567"/>
      <c r="P142" s="1567"/>
      <c r="Q142" s="1567"/>
    </row>
    <row r="143" spans="2:17">
      <c r="B143" s="298" t="s">
        <v>274</v>
      </c>
      <c r="C143" s="298"/>
      <c r="D143" s="1571">
        <f t="shared" si="17"/>
        <v>0</v>
      </c>
      <c r="E143" s="1571">
        <f t="shared" si="14"/>
        <v>19.190000000000001</v>
      </c>
      <c r="F143" s="1571">
        <f t="shared" si="14"/>
        <v>0</v>
      </c>
      <c r="G143" s="520">
        <f t="shared" si="15"/>
        <v>777.75</v>
      </c>
      <c r="I143" s="1565"/>
      <c r="J143" s="1565">
        <v>19.190000000000001</v>
      </c>
      <c r="K143" s="1565"/>
      <c r="L143" s="1566"/>
      <c r="M143" s="1566">
        <v>40.361321855743789</v>
      </c>
      <c r="N143" s="1566"/>
      <c r="O143" s="1567"/>
      <c r="P143" s="1567"/>
      <c r="Q143" s="1567"/>
    </row>
    <row r="144" spans="2:17">
      <c r="B144" s="1422" t="s">
        <v>211</v>
      </c>
      <c r="C144" s="1422"/>
      <c r="D144" s="1423">
        <f>SUM(D138:D143)</f>
        <v>5355.1700970026213</v>
      </c>
      <c r="E144" s="1423">
        <f t="shared" ref="E144:F144" si="19">SUM(E138:E143)</f>
        <v>188.7217731621038</v>
      </c>
      <c r="F144" s="1423">
        <f t="shared" si="19"/>
        <v>0.32997015291386872</v>
      </c>
      <c r="G144" s="1423">
        <f t="shared" si="15"/>
        <v>10371.214426055216</v>
      </c>
      <c r="N144" s="229"/>
    </row>
    <row r="146" spans="2:20" ht="15.75">
      <c r="B146" s="330" t="s">
        <v>1323</v>
      </c>
    </row>
    <row r="147" spans="2:20">
      <c r="B147" s="304" t="s">
        <v>1324</v>
      </c>
      <c r="C147" s="304"/>
      <c r="D147" s="1753" t="s">
        <v>1325</v>
      </c>
      <c r="E147" s="1753"/>
      <c r="F147" s="1753"/>
    </row>
    <row r="148" spans="2:20" ht="15.75" thickBot="1">
      <c r="B148" s="228"/>
      <c r="C148" s="228"/>
      <c r="D148" s="279" t="s">
        <v>118</v>
      </c>
      <c r="E148" s="279" t="s">
        <v>121</v>
      </c>
      <c r="F148" s="279" t="s">
        <v>124</v>
      </c>
    </row>
    <row r="149" spans="2:20" ht="15.75" thickTop="1">
      <c r="B149" s="421" t="s">
        <v>205</v>
      </c>
      <c r="C149" s="421"/>
      <c r="D149" s="416">
        <f>D138</f>
        <v>2355.5587032693575</v>
      </c>
      <c r="E149" s="416">
        <f t="shared" ref="E149:F149" si="20">E138</f>
        <v>8.9051802234184283</v>
      </c>
      <c r="F149" s="416">
        <f t="shared" si="20"/>
        <v>2.0759457627761164E-2</v>
      </c>
      <c r="G149" s="229">
        <f t="shared" si="15"/>
        <v>2876.1882088548182</v>
      </c>
    </row>
    <row r="150" spans="2:20">
      <c r="B150" s="421" t="s">
        <v>1334</v>
      </c>
      <c r="C150" s="421"/>
      <c r="D150" s="416">
        <f t="shared" ref="D150:F150" si="21">D139</f>
        <v>0</v>
      </c>
      <c r="E150" s="416">
        <f t="shared" si="21"/>
        <v>135.74397149866587</v>
      </c>
      <c r="F150" s="416">
        <f t="shared" si="21"/>
        <v>0</v>
      </c>
      <c r="G150" s="229">
        <f t="shared" si="15"/>
        <v>3691.5992874666467</v>
      </c>
      <c r="S150" s="1747">
        <v>0.32</v>
      </c>
      <c r="T150" s="229">
        <f>S151/S150</f>
        <v>4.6875</v>
      </c>
    </row>
    <row r="151" spans="2:20">
      <c r="B151" s="421"/>
      <c r="C151" s="421"/>
      <c r="D151" s="416"/>
      <c r="E151" s="416"/>
      <c r="F151" s="416"/>
      <c r="S151" s="1747">
        <v>1.5</v>
      </c>
    </row>
    <row r="152" spans="2:20">
      <c r="B152" s="1688" t="s">
        <v>272</v>
      </c>
      <c r="C152" s="1688"/>
      <c r="D152" s="1689">
        <f t="shared" ref="D152:F153" si="22">D140</f>
        <v>1845.0755233852692</v>
      </c>
      <c r="E152" s="1689">
        <f t="shared" si="22"/>
        <v>4.3718533343453005</v>
      </c>
      <c r="F152" s="1689">
        <f t="shared" si="22"/>
        <v>1.4210695286107558E-2</v>
      </c>
      <c r="G152" s="1675">
        <f t="shared" si="15"/>
        <v>2252.3718567439018</v>
      </c>
      <c r="H152" s="1675"/>
    </row>
    <row r="153" spans="2:20">
      <c r="B153" s="421" t="s">
        <v>1335</v>
      </c>
      <c r="C153" s="421"/>
      <c r="D153" s="416">
        <f t="shared" si="22"/>
        <v>777.53587034799432</v>
      </c>
      <c r="E153" s="416">
        <f t="shared" si="22"/>
        <v>6.8307681056741885</v>
      </c>
      <c r="F153" s="416">
        <f t="shared" si="22"/>
        <v>0</v>
      </c>
      <c r="G153" s="229">
        <f t="shared" si="15"/>
        <v>1246.3050729898491</v>
      </c>
    </row>
    <row r="154" spans="2:20">
      <c r="B154" s="1422" t="s">
        <v>211</v>
      </c>
      <c r="C154" s="1422"/>
      <c r="D154" s="1423">
        <f>SUM(D149:D153)</f>
        <v>4978.1700970026213</v>
      </c>
      <c r="E154" s="1423">
        <f t="shared" ref="E154:F154" si="23">SUM(E149:E153)</f>
        <v>155.8517731621038</v>
      </c>
      <c r="F154" s="1423">
        <f t="shared" si="23"/>
        <v>3.4970152913868721E-2</v>
      </c>
      <c r="G154" s="229">
        <f t="shared" si="15"/>
        <v>9172.4644260552159</v>
      </c>
    </row>
    <row r="155" spans="2:20">
      <c r="G155" s="229">
        <f t="shared" si="15"/>
        <v>298</v>
      </c>
    </row>
    <row r="156" spans="2:20" ht="15.75">
      <c r="B156" s="1687" t="s">
        <v>1517</v>
      </c>
      <c r="C156" s="1675"/>
      <c r="D156" s="1675"/>
      <c r="G156" s="229">
        <f t="shared" si="15"/>
        <v>298</v>
      </c>
    </row>
    <row r="157" spans="2:20">
      <c r="B157" s="304" t="s">
        <v>1324</v>
      </c>
      <c r="C157" s="304"/>
      <c r="D157" s="1753" t="s">
        <v>1325</v>
      </c>
      <c r="E157" s="1753"/>
      <c r="F157" s="1753"/>
      <c r="G157" s="229" t="e">
        <f t="shared" si="15"/>
        <v>#VALUE!</v>
      </c>
    </row>
    <row r="158" spans="2:20" ht="15.75" thickBot="1">
      <c r="B158" s="228"/>
      <c r="C158" s="228"/>
      <c r="D158" s="279" t="s">
        <v>118</v>
      </c>
      <c r="E158" s="279" t="s">
        <v>121</v>
      </c>
      <c r="F158" s="279" t="s">
        <v>124</v>
      </c>
      <c r="G158" s="229" t="e">
        <f t="shared" si="15"/>
        <v>#VALUE!</v>
      </c>
    </row>
    <row r="159" spans="2:20" ht="15.75" thickTop="1">
      <c r="B159" s="421" t="s">
        <v>1459</v>
      </c>
      <c r="C159" s="421"/>
      <c r="D159" s="416">
        <v>6030</v>
      </c>
      <c r="E159" s="416">
        <v>45.5</v>
      </c>
      <c r="F159" s="1549">
        <v>0.16</v>
      </c>
      <c r="G159" s="229">
        <f t="shared" si="15"/>
        <v>7465.5</v>
      </c>
    </row>
    <row r="160" spans="2:20">
      <c r="B160" s="421" t="s">
        <v>1335</v>
      </c>
      <c r="C160" s="421"/>
      <c r="D160" s="416">
        <v>824</v>
      </c>
      <c r="E160" s="416">
        <v>5.9</v>
      </c>
      <c r="F160" s="1549">
        <v>0.02</v>
      </c>
      <c r="G160" s="229">
        <f t="shared" si="15"/>
        <v>1269.5</v>
      </c>
    </row>
    <row r="161" spans="2:7">
      <c r="G161" s="229">
        <f>D164+E164*CH4_GWP+N2O_GWP</f>
        <v>365.5</v>
      </c>
    </row>
    <row r="162" spans="2:7">
      <c r="B162" s="421"/>
      <c r="C162" s="421"/>
      <c r="D162" s="416"/>
      <c r="E162" s="416"/>
      <c r="F162" s="1549"/>
      <c r="G162" s="229">
        <f>D162+E162*CH4_GWP+N2O_GWP</f>
        <v>298</v>
      </c>
    </row>
    <row r="163" spans="2:7">
      <c r="B163" s="1422" t="s">
        <v>211</v>
      </c>
      <c r="C163" s="1422"/>
      <c r="D163" s="1423">
        <f>SUM(D159:D162)</f>
        <v>6854</v>
      </c>
      <c r="E163" s="1423">
        <f>SUM(E159:E162)</f>
        <v>51.4</v>
      </c>
      <c r="F163" s="1423">
        <f>SUM(F159:F162)</f>
        <v>0.18</v>
      </c>
      <c r="G163" s="229">
        <f>D163+E163*CH4_GWP+N2O_GWP</f>
        <v>8437</v>
      </c>
    </row>
    <row r="164" spans="2:7">
      <c r="B164" s="421" t="s">
        <v>1460</v>
      </c>
      <c r="C164" s="421"/>
      <c r="D164" s="416">
        <v>10</v>
      </c>
      <c r="E164" s="416">
        <v>2.2999999999999998</v>
      </c>
      <c r="F164" s="1549">
        <v>0</v>
      </c>
    </row>
    <row r="165" spans="2:7">
      <c r="B165" s="241"/>
      <c r="C165" s="241"/>
      <c r="D165" s="403"/>
      <c r="E165" s="405"/>
      <c r="F165" s="406"/>
    </row>
    <row r="168" spans="2:7">
      <c r="B168" s="275" t="s">
        <v>513</v>
      </c>
      <c r="C168" s="275"/>
      <c r="D168" s="275"/>
      <c r="E168" s="309" t="s">
        <v>312</v>
      </c>
      <c r="F168" s="309"/>
      <c r="G168" s="309"/>
    </row>
    <row r="169" spans="2:7" ht="18.75" thickBot="1">
      <c r="B169" s="278" t="s">
        <v>275</v>
      </c>
      <c r="C169" s="278" t="s">
        <v>1222</v>
      </c>
      <c r="D169" s="278"/>
      <c r="E169" s="279" t="s">
        <v>277</v>
      </c>
      <c r="F169" s="279" t="s">
        <v>278</v>
      </c>
      <c r="G169" s="279" t="s">
        <v>279</v>
      </c>
    </row>
    <row r="170" spans="2:7" ht="15.75" thickTop="1">
      <c r="B170" s="1298" t="s">
        <v>212</v>
      </c>
      <c r="C170" s="1295" t="s">
        <v>313</v>
      </c>
      <c r="D170" s="1298" t="s">
        <v>242</v>
      </c>
      <c r="E170" s="405">
        <v>8.1999999999999993</v>
      </c>
      <c r="F170" s="1288">
        <v>0.38</v>
      </c>
      <c r="G170" s="1288">
        <v>1E-3</v>
      </c>
    </row>
    <row r="171" spans="2:7">
      <c r="B171" s="1299"/>
      <c r="C171" s="1296"/>
      <c r="D171" s="1299" t="s">
        <v>311</v>
      </c>
      <c r="E171" s="407">
        <v>196</v>
      </c>
      <c r="F171" s="1289">
        <v>0.01</v>
      </c>
      <c r="G171" s="1289">
        <v>3.0000000000000001E-3</v>
      </c>
    </row>
    <row r="172" spans="2:7">
      <c r="B172" s="1298" t="s">
        <v>982</v>
      </c>
      <c r="C172" s="1295" t="s">
        <v>1453</v>
      </c>
      <c r="D172" s="1298" t="s">
        <v>242</v>
      </c>
      <c r="E172" s="1301">
        <v>1.2776192871865839</v>
      </c>
      <c r="F172" s="1302">
        <v>4.5362243122767348E-2</v>
      </c>
      <c r="G172" s="1302">
        <v>7.3136628832094915E-5</v>
      </c>
    </row>
    <row r="173" spans="2:7">
      <c r="B173" s="1299"/>
      <c r="C173" s="1296"/>
      <c r="D173" s="1299" t="s">
        <v>311</v>
      </c>
      <c r="E173" s="404">
        <v>27.390241363146632</v>
      </c>
      <c r="F173" s="1289">
        <v>2.954462273294569E-4</v>
      </c>
      <c r="G173" s="1289">
        <v>3.2853823259947643E-4</v>
      </c>
    </row>
    <row r="174" spans="2:7">
      <c r="B174" s="1298" t="s">
        <v>241</v>
      </c>
      <c r="C174" s="1295" t="s">
        <v>1223</v>
      </c>
      <c r="D174" s="1298" t="s">
        <v>242</v>
      </c>
      <c r="E174" s="1301">
        <v>19.740203625011802</v>
      </c>
      <c r="F174" s="1302">
        <v>0.6461686800881562</v>
      </c>
      <c r="G174" s="1302">
        <v>2.5750805496714607E-3</v>
      </c>
    </row>
    <row r="175" spans="2:7">
      <c r="B175" s="1299"/>
      <c r="C175" s="1296"/>
      <c r="D175" s="1299" t="s">
        <v>311</v>
      </c>
      <c r="E175" s="404">
        <v>212.25293056950503</v>
      </c>
      <c r="F175" s="1289">
        <v>9.007750958385248E-3</v>
      </c>
      <c r="G175" s="1289">
        <v>1.3744831761170083E-3</v>
      </c>
    </row>
    <row r="176" spans="2:7">
      <c r="B176" s="1298" t="s">
        <v>363</v>
      </c>
      <c r="C176" s="1295" t="s">
        <v>1224</v>
      </c>
      <c r="D176" s="1298" t="s">
        <v>242</v>
      </c>
      <c r="E176" s="1301">
        <v>11.460240622823047</v>
      </c>
      <c r="F176" s="1302">
        <v>0.55693831623285128</v>
      </c>
      <c r="G176" s="1302">
        <v>9.7871837577018488E-4</v>
      </c>
    </row>
    <row r="177" spans="2:7">
      <c r="B177" s="1296"/>
      <c r="C177" s="1296"/>
      <c r="D177" s="1299" t="s">
        <v>311</v>
      </c>
      <c r="E177" s="404">
        <v>297.20820206969563</v>
      </c>
      <c r="F177" s="1289">
        <v>1.0672129279142323E-2</v>
      </c>
      <c r="G177" s="1289">
        <v>4.6755650349940931E-3</v>
      </c>
    </row>
    <row r="178" spans="2:7">
      <c r="C178" s="1297"/>
    </row>
    <row r="183" spans="2:7">
      <c r="D183" s="243"/>
      <c r="E183" s="243"/>
      <c r="F183" s="243"/>
    </row>
    <row r="184" spans="2:7">
      <c r="B184" s="235"/>
      <c r="C184" s="235"/>
      <c r="D184" s="235"/>
      <c r="E184" s="235"/>
      <c r="F184" s="235"/>
    </row>
    <row r="185" spans="2:7" ht="15.75" thickBot="1">
      <c r="B185" s="385" t="s">
        <v>334</v>
      </c>
      <c r="C185" s="385" t="s">
        <v>310</v>
      </c>
      <c r="D185" s="235"/>
      <c r="E185" s="235"/>
      <c r="F185" s="235"/>
    </row>
    <row r="186" spans="2:7" ht="15.75" thickTop="1">
      <c r="B186" s="386" t="s">
        <v>335</v>
      </c>
      <c r="C186" s="408">
        <v>31.243764769685725</v>
      </c>
      <c r="D186" s="235"/>
      <c r="E186" s="235"/>
      <c r="F186" s="235"/>
    </row>
    <row r="187" spans="2:7">
      <c r="B187" s="386" t="s">
        <v>342</v>
      </c>
      <c r="C187" s="409">
        <v>0.438</v>
      </c>
      <c r="D187" s="235"/>
      <c r="E187" s="235"/>
      <c r="F187" s="235"/>
    </row>
    <row r="188" spans="2:7">
      <c r="B188" s="386" t="s">
        <v>336</v>
      </c>
      <c r="C188" s="409">
        <v>0.10299999999999999</v>
      </c>
      <c r="D188" s="235"/>
      <c r="E188" s="235"/>
      <c r="F188" s="235"/>
    </row>
    <row r="189" spans="2:7">
      <c r="B189" s="387" t="s">
        <v>333</v>
      </c>
      <c r="C189" s="410"/>
      <c r="D189" s="235"/>
      <c r="E189" s="235"/>
      <c r="F189" s="235"/>
    </row>
    <row r="190" spans="2:7">
      <c r="B190" s="388" t="s">
        <v>245</v>
      </c>
      <c r="C190" s="409">
        <v>0.94828367124920465</v>
      </c>
      <c r="D190" s="235"/>
      <c r="E190" s="235"/>
      <c r="F190" s="235"/>
    </row>
    <row r="191" spans="2:7">
      <c r="B191" s="388" t="s">
        <v>233</v>
      </c>
      <c r="C191" s="409">
        <v>0.90922379885292581</v>
      </c>
      <c r="D191" s="235"/>
      <c r="E191" s="235"/>
      <c r="F191" s="235"/>
    </row>
    <row r="192" spans="2:7">
      <c r="B192" s="387" t="s">
        <v>343</v>
      </c>
      <c r="C192" s="410"/>
      <c r="D192" s="235"/>
      <c r="E192" s="235"/>
      <c r="F192" s="235"/>
    </row>
    <row r="193" spans="2:6">
      <c r="B193" s="388" t="s">
        <v>344</v>
      </c>
      <c r="C193" s="411">
        <v>0.2901564773874869</v>
      </c>
      <c r="D193" s="235"/>
      <c r="E193" s="235"/>
      <c r="F193" s="235"/>
    </row>
    <row r="194" spans="2:6">
      <c r="B194" s="389" t="s">
        <v>345</v>
      </c>
      <c r="C194" s="412">
        <v>8373</v>
      </c>
      <c r="D194" s="235"/>
      <c r="E194" s="235"/>
      <c r="F194" s="235"/>
    </row>
    <row r="195" spans="2:6">
      <c r="B195" s="390"/>
      <c r="C195" s="390"/>
      <c r="D195" s="390"/>
      <c r="E195" s="390"/>
      <c r="F195" s="390"/>
    </row>
    <row r="196" spans="2:6">
      <c r="B196" s="1323"/>
      <c r="C196" s="1750" t="s">
        <v>281</v>
      </c>
      <c r="D196" s="1750"/>
      <c r="E196" s="1750"/>
      <c r="F196" s="390"/>
    </row>
    <row r="197" spans="2:6" ht="18.75" thickBot="1">
      <c r="B197" s="391" t="s">
        <v>275</v>
      </c>
      <c r="C197" s="392" t="s">
        <v>277</v>
      </c>
      <c r="D197" s="392" t="s">
        <v>278</v>
      </c>
      <c r="E197" s="392" t="s">
        <v>279</v>
      </c>
      <c r="F197" s="390"/>
    </row>
    <row r="198" spans="2:6" ht="15.75" thickTop="1">
      <c r="B198" s="387" t="s">
        <v>337</v>
      </c>
      <c r="C198" s="393"/>
      <c r="D198" s="393"/>
      <c r="E198" s="393"/>
      <c r="F198" s="390"/>
    </row>
    <row r="199" spans="2:6">
      <c r="B199" s="388" t="s">
        <v>330</v>
      </c>
      <c r="C199" s="1328">
        <v>12627</v>
      </c>
      <c r="D199" s="1329"/>
      <c r="E199" s="1329"/>
      <c r="F199" s="390"/>
    </row>
    <row r="200" spans="2:6">
      <c r="B200" s="388" t="s">
        <v>271</v>
      </c>
      <c r="C200" s="1328"/>
      <c r="D200" s="1329"/>
      <c r="E200" s="1330"/>
      <c r="F200" s="390"/>
    </row>
    <row r="201" spans="2:6">
      <c r="B201" s="388" t="s">
        <v>331</v>
      </c>
      <c r="C201" s="1328">
        <v>4049.2068880487527</v>
      </c>
      <c r="D201" s="1329">
        <v>10.490857046064631</v>
      </c>
      <c r="E201" s="1329">
        <v>7.2979005040374648E-2</v>
      </c>
      <c r="F201" s="390"/>
    </row>
    <row r="202" spans="2:6">
      <c r="B202" s="388" t="s">
        <v>338</v>
      </c>
      <c r="C202" s="1328"/>
      <c r="D202" s="1329"/>
      <c r="E202" s="1330"/>
      <c r="F202" s="390"/>
    </row>
    <row r="203" spans="2:6">
      <c r="B203" s="388" t="s">
        <v>210</v>
      </c>
      <c r="C203" s="1328">
        <v>418.6417385810069</v>
      </c>
      <c r="D203" s="1329">
        <v>0.69152175345783629</v>
      </c>
      <c r="E203" s="1329">
        <v>9.4362678497567284E-3</v>
      </c>
      <c r="F203" s="390"/>
    </row>
    <row r="204" spans="2:6">
      <c r="B204" s="397" t="s">
        <v>332</v>
      </c>
      <c r="C204" s="1331"/>
      <c r="D204" s="1331"/>
      <c r="E204" s="1331"/>
      <c r="F204" s="390"/>
    </row>
    <row r="205" spans="2:6">
      <c r="B205" s="399" t="s">
        <v>339</v>
      </c>
      <c r="C205" s="400">
        <f>SUM(C199:C204)</f>
        <v>17094.848626629759</v>
      </c>
      <c r="D205" s="400">
        <f t="shared" ref="D205:E205" si="24">SUM(D199:D204)</f>
        <v>11.182378799522468</v>
      </c>
      <c r="E205" s="400">
        <f t="shared" si="24"/>
        <v>8.2415272890131369E-2</v>
      </c>
      <c r="F205" s="390"/>
    </row>
    <row r="206" spans="2:6">
      <c r="B206" s="387" t="s">
        <v>340</v>
      </c>
      <c r="C206" s="396"/>
      <c r="D206" s="396"/>
      <c r="E206" s="396"/>
      <c r="F206" s="390"/>
    </row>
    <row r="207" spans="2:6">
      <c r="B207" s="388" t="s">
        <v>330</v>
      </c>
      <c r="C207" s="1328">
        <v>13155</v>
      </c>
      <c r="D207" s="1329"/>
      <c r="E207" s="1329"/>
      <c r="F207" s="390"/>
    </row>
    <row r="208" spans="2:6">
      <c r="B208" s="388" t="s">
        <v>271</v>
      </c>
      <c r="C208" s="1328"/>
      <c r="D208" s="1329"/>
      <c r="E208" s="1330"/>
      <c r="F208" s="390"/>
    </row>
    <row r="209" spans="2:6">
      <c r="B209" s="388" t="s">
        <v>331</v>
      </c>
      <c r="C209" s="1328">
        <v>7386.3022257664425</v>
      </c>
      <c r="D209" s="1329">
        <v>20.455409613024798</v>
      </c>
      <c r="E209" s="1329">
        <v>0.1377479536665745</v>
      </c>
      <c r="F209" s="390"/>
    </row>
    <row r="210" spans="2:6">
      <c r="B210" s="388" t="s">
        <v>338</v>
      </c>
      <c r="C210" s="1328"/>
      <c r="D210" s="1329"/>
      <c r="E210" s="1330"/>
      <c r="F210" s="390"/>
    </row>
    <row r="211" spans="2:6">
      <c r="B211" s="388" t="s">
        <v>210</v>
      </c>
      <c r="C211" s="1328">
        <v>376.33245740004946</v>
      </c>
      <c r="D211" s="1329">
        <v>0.65801921931266627</v>
      </c>
      <c r="E211" s="1329">
        <v>6.2889710524869739E-3</v>
      </c>
      <c r="F211" s="390"/>
    </row>
    <row r="212" spans="2:6">
      <c r="B212" s="397" t="s">
        <v>332</v>
      </c>
      <c r="C212" s="1331"/>
      <c r="D212" s="1331"/>
      <c r="E212" s="1331"/>
      <c r="F212" s="390"/>
    </row>
    <row r="213" spans="2:6">
      <c r="B213" s="399" t="s">
        <v>341</v>
      </c>
      <c r="C213" s="400">
        <f>SUM(C207:C212)</f>
        <v>20917.634683166492</v>
      </c>
      <c r="D213" s="400">
        <f t="shared" ref="D213" si="25">SUM(D207:D212)</f>
        <v>21.113428832337465</v>
      </c>
      <c r="E213" s="400">
        <f t="shared" ref="E213" si="26">SUM(E207:E212)</f>
        <v>0.14403692471906146</v>
      </c>
      <c r="F213" s="390"/>
    </row>
    <row r="214" spans="2:6">
      <c r="B214" s="387" t="s">
        <v>864</v>
      </c>
      <c r="C214" s="1327"/>
      <c r="D214" s="1327"/>
      <c r="E214" s="1327"/>
      <c r="F214" s="390"/>
    </row>
    <row r="215" spans="2:6">
      <c r="B215" s="388" t="s">
        <v>330</v>
      </c>
      <c r="C215" s="1328">
        <v>11532.928397010797</v>
      </c>
      <c r="D215" s="1329"/>
      <c r="E215" s="1329"/>
      <c r="F215" s="390"/>
    </row>
    <row r="216" spans="2:6">
      <c r="B216" s="388" t="s">
        <v>271</v>
      </c>
      <c r="C216" s="1328"/>
      <c r="D216" s="1329"/>
      <c r="E216" s="1330"/>
      <c r="F216" s="390"/>
    </row>
    <row r="217" spans="2:6">
      <c r="B217" s="388" t="s">
        <v>331</v>
      </c>
      <c r="C217" s="1328">
        <v>13232.458545744157</v>
      </c>
      <c r="D217" s="1329"/>
      <c r="E217" s="1329"/>
      <c r="F217" s="390"/>
    </row>
    <row r="218" spans="2:6">
      <c r="B218" s="388" t="s">
        <v>338</v>
      </c>
      <c r="C218" s="1328"/>
      <c r="D218" s="1329"/>
      <c r="E218" s="1330"/>
      <c r="F218" s="390"/>
    </row>
    <row r="219" spans="2:6">
      <c r="B219" s="388" t="s">
        <v>210</v>
      </c>
      <c r="C219" s="1328">
        <v>491.24811965733971</v>
      </c>
      <c r="D219" s="1329"/>
      <c r="E219" s="1329"/>
      <c r="F219" s="390"/>
    </row>
    <row r="220" spans="2:6">
      <c r="B220" s="397" t="s">
        <v>332</v>
      </c>
      <c r="C220" s="1331"/>
      <c r="D220" s="1331"/>
      <c r="E220" s="1331"/>
      <c r="F220" s="390"/>
    </row>
    <row r="221" spans="2:6">
      <c r="B221" s="397" t="s">
        <v>1279</v>
      </c>
      <c r="C221" s="1331">
        <v>-1006.1280218618485</v>
      </c>
      <c r="D221" s="1331"/>
      <c r="E221" s="1331"/>
      <c r="F221" s="390"/>
    </row>
    <row r="222" spans="2:6">
      <c r="B222" s="399" t="s">
        <v>1362</v>
      </c>
      <c r="C222" s="400">
        <f>SUM(C215:C221)</f>
        <v>24250.507040550445</v>
      </c>
      <c r="D222" s="400">
        <f t="shared" ref="D222:E222" si="27">SUM(D215:D221)</f>
        <v>0</v>
      </c>
      <c r="E222" s="400">
        <f t="shared" si="27"/>
        <v>0</v>
      </c>
      <c r="F222" s="390"/>
    </row>
    <row r="224" spans="2:6" ht="18.75">
      <c r="B224" s="445" t="s">
        <v>1227</v>
      </c>
    </row>
    <row r="226" spans="2:3">
      <c r="B226" s="304" t="s">
        <v>390</v>
      </c>
      <c r="C226" s="413" t="s">
        <v>514</v>
      </c>
    </row>
    <row r="227" spans="2:3" ht="15.75" thickBot="1">
      <c r="B227" s="228" t="s">
        <v>275</v>
      </c>
      <c r="C227" s="1245" t="s">
        <v>437</v>
      </c>
    </row>
    <row r="228" spans="2:3" ht="15.75" thickTop="1">
      <c r="B228" s="311" t="s">
        <v>391</v>
      </c>
      <c r="C228" s="504">
        <v>0.01</v>
      </c>
    </row>
    <row r="230" spans="2:3">
      <c r="B230" s="304" t="s">
        <v>388</v>
      </c>
      <c r="C230" s="413" t="s">
        <v>514</v>
      </c>
    </row>
    <row r="231" spans="2:3" ht="15.75" thickBot="1">
      <c r="B231" s="228" t="s">
        <v>275</v>
      </c>
      <c r="C231" s="1245" t="s">
        <v>437</v>
      </c>
    </row>
    <row r="232" spans="2:3" ht="15.75" thickTop="1">
      <c r="B232" s="311" t="s">
        <v>387</v>
      </c>
      <c r="C232" s="504">
        <v>0.01</v>
      </c>
    </row>
    <row r="235" spans="2:3" ht="18.75">
      <c r="B235" s="445" t="s">
        <v>1280</v>
      </c>
    </row>
    <row r="237" spans="2:3">
      <c r="B237" s="317" t="s">
        <v>1281</v>
      </c>
    </row>
    <row r="239" spans="2:3" ht="15.75" thickBot="1">
      <c r="B239" s="228" t="s">
        <v>1282</v>
      </c>
      <c r="C239" s="1386" t="s">
        <v>1283</v>
      </c>
    </row>
    <row r="240" spans="2:3" ht="15.75" thickTop="1">
      <c r="B240" s="229" t="s">
        <v>1075</v>
      </c>
      <c r="C240" s="1297">
        <v>17</v>
      </c>
    </row>
    <row r="241" spans="2:3">
      <c r="B241" s="272" t="s">
        <v>1076</v>
      </c>
      <c r="C241" s="1296">
        <v>175</v>
      </c>
    </row>
    <row r="243" spans="2:3" ht="15.75" thickBot="1">
      <c r="B243" s="228" t="s">
        <v>1284</v>
      </c>
      <c r="C243" s="1386" t="s">
        <v>1286</v>
      </c>
    </row>
    <row r="244" spans="2:3" ht="15.75" thickTop="1">
      <c r="B244" s="272" t="s">
        <v>1285</v>
      </c>
      <c r="C244" s="1393">
        <v>10000</v>
      </c>
    </row>
    <row r="246" spans="2:3" ht="15.75" thickBot="1">
      <c r="B246" s="228" t="s">
        <v>1287</v>
      </c>
      <c r="C246" s="1386" t="s">
        <v>1288</v>
      </c>
    </row>
    <row r="247" spans="2:3" ht="15.75" thickTop="1">
      <c r="B247" s="272"/>
      <c r="C247" s="1393">
        <v>17738</v>
      </c>
    </row>
  </sheetData>
  <sheetProtection password="C8A2" sheet="1" objects="1" scenarios="1"/>
  <mergeCells count="10">
    <mergeCell ref="C196:E196"/>
    <mergeCell ref="D20:E20"/>
    <mergeCell ref="D21:E21"/>
    <mergeCell ref="D23:E23"/>
    <mergeCell ref="D24:E24"/>
    <mergeCell ref="D147:F147"/>
    <mergeCell ref="D35:E35"/>
    <mergeCell ref="D157:F157"/>
    <mergeCell ref="D136:G136"/>
    <mergeCell ref="G20:H20"/>
  </mergeCells>
  <dataValidations count="4">
    <dataValidation type="list" allowBlank="1" showInputMessage="1" showErrorMessage="1" sqref="C21">
      <formula1>"A, B"</formula1>
    </dataValidation>
    <dataValidation type="list" allowBlank="1" showInputMessage="1" showErrorMessage="1" sqref="H24">
      <formula1>$C$170:$C$176</formula1>
    </dataValidation>
    <dataValidation type="list" allowBlank="1" showInputMessage="1" showErrorMessage="1" sqref="H25">
      <formula1>"GHGenius, BC, GREET"</formula1>
    </dataValidation>
    <dataValidation type="list" allowBlank="1" showInputMessage="1" showErrorMessage="1" sqref="C24">
      <formula1>"Yes, No"</formula1>
    </dataValidation>
  </dataValidations>
  <pageMargins left="0.7" right="0.7" top="0.75" bottom="0.75" header="0.3" footer="0.3"/>
  <pageSetup paperSize="9" scale="50" orientation="landscape" r:id="rId1"/>
  <headerFooter>
    <oddHeader>&amp;CTacoma LNG Facility DSEIS Life Cycle Analsis GHG Emission Calculations Scenario A</oddHeader>
    <oddFooter>Page &amp;P of &amp;N</oddFooter>
  </headerFooter>
  <rowBreaks count="4" manualBreakCount="4">
    <brk id="54" max="16" man="1"/>
    <brk id="112" max="16" man="1"/>
    <brk id="134" max="16" man="1"/>
    <brk id="183" max="16" man="1"/>
  </rowBreaks>
  <colBreaks count="1" manualBreakCount="1">
    <brk id="17"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B1:K43"/>
  <sheetViews>
    <sheetView zoomScaleNormal="100" zoomScaleSheetLayoutView="100" workbookViewId="0"/>
  </sheetViews>
  <sheetFormatPr defaultColWidth="9.140625" defaultRowHeight="15"/>
  <cols>
    <col min="2" max="2" width="20.7109375" customWidth="1"/>
    <col min="3" max="3" width="11" customWidth="1"/>
    <col min="4" max="4" width="10.5703125" customWidth="1"/>
    <col min="5" max="6" width="10.28515625" customWidth="1"/>
    <col min="7" max="7" width="18.28515625" customWidth="1"/>
    <col min="8" max="8" width="9.5703125" customWidth="1"/>
    <col min="10" max="10" width="14.5703125" customWidth="1"/>
    <col min="11" max="11" width="15.140625" customWidth="1"/>
  </cols>
  <sheetData>
    <row r="1" spans="2:11" s="675" customFormat="1" ht="18.75">
      <c r="B1" s="675" t="s">
        <v>1236</v>
      </c>
    </row>
    <row r="4" spans="2:11" ht="15.75" thickBot="1">
      <c r="B4" s="208" t="s">
        <v>203</v>
      </c>
      <c r="C4" s="189" t="s">
        <v>325</v>
      </c>
      <c r="D4" s="223" t="s">
        <v>20</v>
      </c>
    </row>
    <row r="5" spans="2:11" ht="15.75" thickTop="1">
      <c r="B5" s="184" t="s">
        <v>328</v>
      </c>
      <c r="C5" s="1369">
        <v>4745</v>
      </c>
      <c r="D5" s="1374" t="s">
        <v>1360</v>
      </c>
    </row>
    <row r="6" spans="2:11">
      <c r="B6" s="184" t="s">
        <v>327</v>
      </c>
      <c r="C6" s="1370">
        <v>1666</v>
      </c>
    </row>
    <row r="7" spans="2:11">
      <c r="B7" s="184" t="s">
        <v>320</v>
      </c>
      <c r="C7" s="1370">
        <v>290</v>
      </c>
    </row>
    <row r="8" spans="2:11">
      <c r="B8" s="184" t="s">
        <v>321</v>
      </c>
      <c r="C8" s="1371">
        <v>26</v>
      </c>
    </row>
    <row r="9" spans="2:11">
      <c r="B9" s="184" t="s">
        <v>324</v>
      </c>
      <c r="C9" s="1370">
        <v>7570</v>
      </c>
    </row>
    <row r="10" spans="2:11">
      <c r="B10" s="184" t="s">
        <v>326</v>
      </c>
      <c r="C10" s="1370">
        <v>5</v>
      </c>
    </row>
    <row r="11" spans="2:11">
      <c r="B11" s="184" t="s">
        <v>322</v>
      </c>
      <c r="C11" s="1370">
        <v>80110</v>
      </c>
    </row>
    <row r="12" spans="2:11">
      <c r="B12" s="224" t="s">
        <v>323</v>
      </c>
      <c r="C12" s="1372">
        <v>1716</v>
      </c>
      <c r="K12" s="185"/>
    </row>
    <row r="13" spans="2:11">
      <c r="B13" s="205"/>
      <c r="C13" s="232"/>
      <c r="D13" s="232"/>
      <c r="E13" s="182"/>
      <c r="K13" s="185"/>
    </row>
    <row r="14" spans="2:11">
      <c r="K14" s="185"/>
    </row>
    <row r="15" spans="2:11">
      <c r="K15" s="185"/>
    </row>
    <row r="16" spans="2:11" ht="18.75" thickBot="1">
      <c r="B16" s="223" t="s">
        <v>317</v>
      </c>
      <c r="C16" s="223" t="s">
        <v>277</v>
      </c>
      <c r="D16" s="223" t="s">
        <v>278</v>
      </c>
      <c r="E16" s="223" t="s">
        <v>279</v>
      </c>
      <c r="F16" s="223" t="s">
        <v>276</v>
      </c>
      <c r="G16" s="223" t="s">
        <v>20</v>
      </c>
      <c r="K16" s="185"/>
    </row>
    <row r="17" spans="2:7" ht="15.75" thickTop="1">
      <c r="B17" s="1807" t="s">
        <v>329</v>
      </c>
      <c r="C17" s="1807"/>
      <c r="D17" s="1807"/>
      <c r="E17" s="1807"/>
      <c r="F17" s="1807"/>
    </row>
    <row r="18" spans="2:7">
      <c r="B18" s="184" t="s">
        <v>319</v>
      </c>
      <c r="C18" s="1280">
        <v>2686.5347074711176</v>
      </c>
      <c r="D18" s="1281">
        <v>4.3438958108185597</v>
      </c>
      <c r="E18" s="1281">
        <v>2.1507238844896481E-2</v>
      </c>
      <c r="F18" s="219">
        <f t="shared" ref="F18:F27" si="0">C18+D18*CH4_GWP+E18*N2O_GWP</f>
        <v>2801.5412599173605</v>
      </c>
      <c r="G18" t="s">
        <v>1441</v>
      </c>
    </row>
    <row r="19" spans="2:7">
      <c r="B19" s="184" t="s">
        <v>327</v>
      </c>
      <c r="C19" s="1280">
        <v>2020.414085028548</v>
      </c>
      <c r="D19" s="1281">
        <v>3.5338347074988792</v>
      </c>
      <c r="E19" s="1281">
        <v>2.2565465521633507E-2</v>
      </c>
      <c r="F19" s="219">
        <f t="shared" si="0"/>
        <v>2115.4844614414669</v>
      </c>
      <c r="G19" t="s">
        <v>1441</v>
      </c>
    </row>
    <row r="20" spans="2:7">
      <c r="B20" s="184" t="s">
        <v>320</v>
      </c>
      <c r="C20" s="1280">
        <v>5203.8326508116588</v>
      </c>
      <c r="D20" s="1281">
        <v>11.252629437045652</v>
      </c>
      <c r="E20" s="1281">
        <v>9.0114831671468054E-2</v>
      </c>
      <c r="F20" s="219">
        <f t="shared" si="0"/>
        <v>5512.0026065758975</v>
      </c>
      <c r="G20" t="s">
        <v>1441</v>
      </c>
    </row>
    <row r="21" spans="2:7">
      <c r="B21" s="184" t="s">
        <v>321</v>
      </c>
      <c r="C21" s="1280">
        <v>3083.2365409557851</v>
      </c>
      <c r="D21" s="1510">
        <v>6.3074319647980488</v>
      </c>
      <c r="E21" s="1281">
        <v>5.5471337178993906E-2</v>
      </c>
      <c r="F21" s="219">
        <f t="shared" si="0"/>
        <v>3257.4527985550767</v>
      </c>
      <c r="G21" t="s">
        <v>1441</v>
      </c>
    </row>
    <row r="22" spans="2:7">
      <c r="B22" s="184" t="s">
        <v>324</v>
      </c>
      <c r="C22" s="1280">
        <v>639.47359234120518</v>
      </c>
      <c r="D22" s="1510">
        <v>0.41830358974470566</v>
      </c>
      <c r="E22" s="1281">
        <v>3.0829401433980831E-3</v>
      </c>
      <c r="F22" s="219">
        <f t="shared" si="0"/>
        <v>650.84989824755542</v>
      </c>
      <c r="G22" s="182" t="s">
        <v>280</v>
      </c>
    </row>
    <row r="23" spans="2:7">
      <c r="B23" s="184" t="s">
        <v>322</v>
      </c>
      <c r="C23" s="1280">
        <v>300</v>
      </c>
      <c r="D23" s="1510">
        <v>0.2</v>
      </c>
      <c r="E23" s="1281">
        <v>0</v>
      </c>
      <c r="F23" s="219">
        <f t="shared" si="0"/>
        <v>305</v>
      </c>
      <c r="G23" s="182" t="s">
        <v>280</v>
      </c>
    </row>
    <row r="24" spans="2:7">
      <c r="B24" s="224" t="s">
        <v>323</v>
      </c>
      <c r="C24" s="1280">
        <v>2900</v>
      </c>
      <c r="D24" s="1511">
        <v>0.7</v>
      </c>
      <c r="E24" s="1282">
        <v>2E-3</v>
      </c>
      <c r="F24" s="202">
        <f>C24+D24*CH4_GWP+E24*N2O_GWP</f>
        <v>2918.096</v>
      </c>
      <c r="G24" s="182" t="s">
        <v>280</v>
      </c>
    </row>
    <row r="25" spans="2:7">
      <c r="B25" s="205"/>
      <c r="C25" s="232"/>
      <c r="D25" s="232"/>
      <c r="E25" s="232"/>
      <c r="F25" s="203"/>
      <c r="G25" s="198"/>
    </row>
    <row r="26" spans="2:7">
      <c r="B26" s="222" t="s">
        <v>318</v>
      </c>
      <c r="C26" s="185"/>
      <c r="E26" s="199"/>
      <c r="F26" s="219"/>
    </row>
    <row r="27" spans="2:7">
      <c r="B27" s="184" t="s">
        <v>319</v>
      </c>
      <c r="C27" s="231">
        <f t="shared" ref="C27:E31" si="1">$C5*C18/1000</f>
        <v>12747.607186950452</v>
      </c>
      <c r="D27" s="1513">
        <f t="shared" si="1"/>
        <v>20.611785622334065</v>
      </c>
      <c r="E27" s="233">
        <f t="shared" si="1"/>
        <v>0.1020518483190338</v>
      </c>
      <c r="F27" s="219">
        <f t="shared" si="0"/>
        <v>13293.313278307876</v>
      </c>
    </row>
    <row r="28" spans="2:7">
      <c r="B28" s="184" t="s">
        <v>327</v>
      </c>
      <c r="C28" s="231">
        <f t="shared" si="1"/>
        <v>3366.009865657561</v>
      </c>
      <c r="D28" s="1513">
        <f t="shared" si="1"/>
        <v>5.887368622693133</v>
      </c>
      <c r="E28" s="233">
        <f t="shared" si="1"/>
        <v>3.7594065559041427E-2</v>
      </c>
      <c r="F28" s="219">
        <f t="shared" ref="F28:F34" si="2">C28+D28*CH4_GWP+E28*N2O_GWP</f>
        <v>3524.3971127614836</v>
      </c>
    </row>
    <row r="29" spans="2:7">
      <c r="B29" s="184" t="s">
        <v>320</v>
      </c>
      <c r="C29" s="231">
        <f t="shared" si="1"/>
        <v>1509.1114687353811</v>
      </c>
      <c r="D29" s="1513">
        <f t="shared" si="1"/>
        <v>3.2632625367432393</v>
      </c>
      <c r="E29" s="233">
        <f t="shared" si="1"/>
        <v>2.6133301184725736E-2</v>
      </c>
      <c r="F29" s="219">
        <f t="shared" si="2"/>
        <v>1598.4807559070105</v>
      </c>
    </row>
    <row r="30" spans="2:7">
      <c r="B30" s="184" t="s">
        <v>321</v>
      </c>
      <c r="C30" s="1513">
        <f t="shared" si="1"/>
        <v>80.164150064850418</v>
      </c>
      <c r="D30" s="1513">
        <f t="shared" si="1"/>
        <v>0.16399323108474925</v>
      </c>
      <c r="E30" s="233">
        <f t="shared" si="1"/>
        <v>1.4422547666538413E-3</v>
      </c>
      <c r="F30" s="220">
        <f t="shared" si="2"/>
        <v>84.69377276243199</v>
      </c>
    </row>
    <row r="31" spans="2:7">
      <c r="B31" s="184" t="s">
        <v>324</v>
      </c>
      <c r="C31" s="231">
        <f t="shared" si="1"/>
        <v>4840.8150940229234</v>
      </c>
      <c r="D31" s="1513">
        <f t="shared" si="1"/>
        <v>3.166558174367422</v>
      </c>
      <c r="E31" s="233">
        <f t="shared" si="1"/>
        <v>2.3337856885523488E-2</v>
      </c>
      <c r="F31" s="219">
        <f t="shared" si="2"/>
        <v>4926.9337297339953</v>
      </c>
    </row>
    <row r="32" spans="2:7">
      <c r="B32" s="184" t="s">
        <v>322</v>
      </c>
      <c r="C32" s="231">
        <f t="shared" ref="C32:E33" si="3">$C11*C23/1000</f>
        <v>24033</v>
      </c>
      <c r="D32" s="1513">
        <f t="shared" si="3"/>
        <v>16.021999999999998</v>
      </c>
      <c r="E32" s="233">
        <f t="shared" si="3"/>
        <v>0</v>
      </c>
      <c r="F32" s="219">
        <f t="shared" si="2"/>
        <v>24433.55</v>
      </c>
    </row>
    <row r="33" spans="2:6">
      <c r="B33" s="224" t="s">
        <v>323</v>
      </c>
      <c r="C33" s="231">
        <f t="shared" si="3"/>
        <v>4976.3999999999996</v>
      </c>
      <c r="D33" s="1513">
        <f t="shared" si="3"/>
        <v>1.2011999999999998</v>
      </c>
      <c r="E33" s="233">
        <f t="shared" si="3"/>
        <v>3.4320000000000002E-3</v>
      </c>
      <c r="F33" s="219">
        <f t="shared" si="2"/>
        <v>5007.4527359999993</v>
      </c>
    </row>
    <row r="34" spans="2:6" ht="15.75" thickBot="1">
      <c r="B34" s="223" t="s">
        <v>211</v>
      </c>
      <c r="C34" s="1375">
        <f>SUM(C27:C33)</f>
        <v>51553.107765431174</v>
      </c>
      <c r="D34" s="1512">
        <f>SUM(D27:D33)</f>
        <v>50.316168187222608</v>
      </c>
      <c r="E34" s="1373">
        <f>SUM(E27:E33)</f>
        <v>0.19399132671497826</v>
      </c>
      <c r="F34" s="1375">
        <f t="shared" si="2"/>
        <v>52868.821385472802</v>
      </c>
    </row>
    <row r="35" spans="2:6" ht="15.75" thickTop="1"/>
    <row r="38" spans="2:6" ht="15.75">
      <c r="B38" s="1376" t="s">
        <v>1237</v>
      </c>
    </row>
    <row r="40" spans="2:6" ht="15.75" thickBot="1">
      <c r="B40" s="223" t="s">
        <v>544</v>
      </c>
      <c r="C40" s="1375">
        <v>10512000</v>
      </c>
      <c r="D40" s="1373" t="s">
        <v>1238</v>
      </c>
    </row>
    <row r="41" spans="2:6" ht="15.75" thickTop="1">
      <c r="B41" t="s">
        <v>1239</v>
      </c>
    </row>
    <row r="43" spans="2:6">
      <c r="B43" s="187" t="s">
        <v>1245</v>
      </c>
    </row>
  </sheetData>
  <sheetProtection password="C8A2" sheet="1" objects="1" scenarios="1"/>
  <mergeCells count="1">
    <mergeCell ref="B17:F17"/>
  </mergeCells>
  <pageMargins left="0.7" right="0.7" top="0.75" bottom="0.75" header="0.3" footer="0.3"/>
  <pageSetup paperSize="9" scale="50" orientation="landscape" r:id="rId1"/>
  <headerFooter>
    <oddHeader>&amp;CTacoma LNG Facility DSEIS Life Cycle Analsis GHG Emission Calculations Scenario A</oddHeader>
    <oddFooter>Page &amp;P of &amp;N</oddFooter>
  </headerFooter>
  <colBreaks count="1" manualBreakCount="1">
    <brk id="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G17"/>
  <sheetViews>
    <sheetView zoomScaleNormal="100" zoomScaleSheetLayoutView="120" workbookViewId="0"/>
  </sheetViews>
  <sheetFormatPr defaultColWidth="11.42578125" defaultRowHeight="15"/>
  <cols>
    <col min="1" max="1" width="11.42578125" style="235"/>
    <col min="2" max="2" width="26" style="235" customWidth="1"/>
    <col min="3" max="3" width="21.28515625" style="235" customWidth="1"/>
    <col min="4" max="4" width="11.42578125" style="235"/>
    <col min="5" max="5" width="14.28515625" style="235" customWidth="1"/>
    <col min="6" max="6" width="14.85546875" style="235" customWidth="1"/>
    <col min="7" max="16384" width="11.42578125" style="235"/>
  </cols>
  <sheetData>
    <row r="2" spans="2:7" ht="18.75">
      <c r="B2" s="675" t="s">
        <v>370</v>
      </c>
    </row>
    <row r="3" spans="2:7" ht="15.75" thickBot="1">
      <c r="B3" s="443" t="s">
        <v>1372</v>
      </c>
      <c r="C3" s="443"/>
      <c r="D3" s="443"/>
      <c r="E3" s="443"/>
      <c r="F3" s="443"/>
    </row>
    <row r="4" spans="2:7" ht="15.75" thickTop="1">
      <c r="B4" s="235" t="s">
        <v>1371</v>
      </c>
      <c r="D4" s="359">
        <f>'Direct End use'!E25*1000000</f>
        <v>0</v>
      </c>
      <c r="E4" s="235" t="s">
        <v>291</v>
      </c>
    </row>
    <row r="5" spans="2:7">
      <c r="B5" s="235" t="s">
        <v>1284</v>
      </c>
      <c r="D5" s="359">
        <v>10000</v>
      </c>
      <c r="E5" s="235" t="s">
        <v>291</v>
      </c>
    </row>
    <row r="6" spans="2:7">
      <c r="B6" s="272" t="s">
        <v>1289</v>
      </c>
      <c r="C6" s="272"/>
      <c r="D6" s="272">
        <f>D4/D5</f>
        <v>0</v>
      </c>
      <c r="E6" s="272"/>
      <c r="F6" s="272"/>
    </row>
    <row r="8" spans="2:7" ht="15.75" thickBot="1">
      <c r="B8" s="443" t="s">
        <v>1373</v>
      </c>
      <c r="C8" s="443"/>
      <c r="D8" s="1387" t="s">
        <v>1126</v>
      </c>
      <c r="E8" s="1387" t="s">
        <v>1292</v>
      </c>
      <c r="F8" s="1387"/>
    </row>
    <row r="9" spans="2:7" ht="15.75" thickTop="1">
      <c r="B9" s="235" t="s">
        <v>1291</v>
      </c>
      <c r="D9" s="244">
        <f>Input!C240</f>
        <v>17</v>
      </c>
      <c r="E9" s="244">
        <f>Input!C241</f>
        <v>175</v>
      </c>
      <c r="F9" s="235" t="s">
        <v>1294</v>
      </c>
    </row>
    <row r="10" spans="2:7">
      <c r="B10" s="235" t="s">
        <v>1290</v>
      </c>
      <c r="D10" s="243">
        <f>D9*D6</f>
        <v>0</v>
      </c>
      <c r="E10" s="243">
        <f>E9*D6</f>
        <v>0</v>
      </c>
      <c r="F10" s="235" t="s">
        <v>1293</v>
      </c>
    </row>
    <row r="11" spans="2:7">
      <c r="B11" s="271" t="s">
        <v>1295</v>
      </c>
      <c r="C11" s="271"/>
      <c r="D11" s="953">
        <f>Input!C247</f>
        <v>17738</v>
      </c>
      <c r="E11" s="953">
        <f>D11</f>
        <v>17738</v>
      </c>
      <c r="F11" s="271" t="s">
        <v>1504</v>
      </c>
    </row>
    <row r="12" spans="2:7">
      <c r="B12" s="310" t="s">
        <v>1296</v>
      </c>
      <c r="C12" s="310"/>
      <c r="D12" s="1454">
        <f>D11*D10/1000000</f>
        <v>0</v>
      </c>
      <c r="E12" s="1454">
        <f>E11*E10/1000000</f>
        <v>0</v>
      </c>
      <c r="F12" s="310" t="s">
        <v>446</v>
      </c>
    </row>
    <row r="14" spans="2:7">
      <c r="B14" s="784"/>
      <c r="C14" s="1254" t="s">
        <v>1374</v>
      </c>
      <c r="D14" s="1753" t="s">
        <v>1480</v>
      </c>
      <c r="E14" s="1753"/>
      <c r="F14" s="1753"/>
      <c r="G14" s="1753"/>
    </row>
    <row r="15" spans="2:7" ht="18.75" thickBot="1">
      <c r="B15" s="278" t="s">
        <v>275</v>
      </c>
      <c r="C15" s="1255" t="s">
        <v>446</v>
      </c>
      <c r="D15" s="279" t="s">
        <v>1154</v>
      </c>
      <c r="E15" s="279" t="s">
        <v>1155</v>
      </c>
      <c r="F15" s="279" t="s">
        <v>1306</v>
      </c>
      <c r="G15" s="279" t="s">
        <v>1307</v>
      </c>
    </row>
    <row r="16" spans="2:7" ht="15.75" thickTop="1">
      <c r="B16" s="235" t="s">
        <v>1126</v>
      </c>
      <c r="C16" s="1653">
        <f>D12</f>
        <v>0</v>
      </c>
      <c r="D16" s="1396">
        <f>Factors!D63*$C$16/1000000</f>
        <v>0</v>
      </c>
      <c r="E16" s="1397">
        <f>Factors!E63*$C$16/1000000</f>
        <v>0</v>
      </c>
      <c r="F16" s="1397">
        <f>Factors!F63*$C$16/1000000</f>
        <v>0</v>
      </c>
      <c r="G16" s="292">
        <f t="shared" ref="G16:G17" si="0">D16+E16*CH4_GWP+F16*N2O_GWP</f>
        <v>0</v>
      </c>
    </row>
    <row r="17" spans="2:7">
      <c r="B17" s="272" t="s">
        <v>1292</v>
      </c>
      <c r="C17" s="1395">
        <f>E12</f>
        <v>0</v>
      </c>
      <c r="D17" s="1395">
        <f>Factors!D64*$C$17/1000000</f>
        <v>0</v>
      </c>
      <c r="E17" s="1455">
        <f>Factors!E64*$C$17/1000000</f>
        <v>0</v>
      </c>
      <c r="F17" s="1455">
        <f>Factors!F64*$C$17/1000000</f>
        <v>0</v>
      </c>
      <c r="G17" s="300">
        <f t="shared" si="0"/>
        <v>0</v>
      </c>
    </row>
  </sheetData>
  <sheetProtection password="C8A2" sheet="1" objects="1" scenarios="1"/>
  <mergeCells count="1">
    <mergeCell ref="D14:G14"/>
  </mergeCells>
  <pageMargins left="0.7" right="0.7" top="0.75" bottom="0.75" header="0.3" footer="0.3"/>
  <pageSetup paperSize="9" scale="50" orientation="landscape" r:id="rId1"/>
  <headerFooter>
    <oddHeader>&amp;CTacoma LNG Facility DSEIS Life Cycle Analsis GHG Emission Calculations Scenario 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2:M23"/>
  <sheetViews>
    <sheetView zoomScaleNormal="100" zoomScaleSheetLayoutView="100" workbookViewId="0"/>
  </sheetViews>
  <sheetFormatPr defaultColWidth="11.42578125" defaultRowHeight="15"/>
  <cols>
    <col min="1" max="1" width="11.42578125" style="235"/>
    <col min="2" max="2" width="31.28515625" style="235" customWidth="1"/>
    <col min="3" max="3" width="12.85546875" style="235" customWidth="1"/>
    <col min="4" max="16384" width="11.42578125" style="235"/>
  </cols>
  <sheetData>
    <row r="2" spans="1:13" ht="15" customHeight="1">
      <c r="B2" s="675" t="s">
        <v>1351</v>
      </c>
    </row>
    <row r="4" spans="1:13">
      <c r="B4" s="784" t="s">
        <v>1376</v>
      </c>
      <c r="C4" s="784"/>
      <c r="D4" s="1754" t="s">
        <v>544</v>
      </c>
      <c r="E4" s="1754"/>
    </row>
    <row r="5" spans="1:13" ht="15.75" thickBot="1">
      <c r="B5" s="1456"/>
      <c r="C5" s="1456" t="s">
        <v>1172</v>
      </c>
      <c r="D5" s="1456" t="s">
        <v>1299</v>
      </c>
      <c r="E5" s="1456" t="s">
        <v>564</v>
      </c>
    </row>
    <row r="6" spans="1:13" ht="15.75" thickTop="1">
      <c r="B6" s="244" t="s">
        <v>347</v>
      </c>
      <c r="C6" s="235" t="s">
        <v>1375</v>
      </c>
      <c r="D6" s="242">
        <f>'Direct End use'!E28</f>
        <v>0</v>
      </c>
      <c r="E6" s="243">
        <f>'Direct End use'!F28</f>
        <v>0</v>
      </c>
    </row>
    <row r="7" spans="1:13">
      <c r="B7" s="1435" t="s">
        <v>233</v>
      </c>
      <c r="C7" s="272" t="s">
        <v>1375</v>
      </c>
      <c r="D7" s="1394">
        <f>'Direct End use'!E29</f>
        <v>0</v>
      </c>
      <c r="E7" s="299">
        <f>'Direct End use'!F29</f>
        <v>0</v>
      </c>
    </row>
    <row r="8" spans="1:13">
      <c r="J8" s="235" t="s">
        <v>1436</v>
      </c>
    </row>
    <row r="9" spans="1:13">
      <c r="A9" s="229"/>
      <c r="B9" s="229"/>
      <c r="C9" s="229"/>
      <c r="D9" s="229"/>
      <c r="E9" s="229"/>
      <c r="F9" s="229"/>
      <c r="G9" s="229"/>
      <c r="H9" s="229"/>
      <c r="I9" s="229"/>
      <c r="J9" s="235" t="s">
        <v>1437</v>
      </c>
    </row>
    <row r="10" spans="1:13" ht="18.75">
      <c r="A10" s="229"/>
      <c r="B10" s="1403"/>
      <c r="C10" s="1809" t="s">
        <v>1301</v>
      </c>
      <c r="D10" s="1809"/>
      <c r="E10" s="1809"/>
      <c r="F10" s="1809"/>
      <c r="G10" s="1809"/>
      <c r="H10" s="1809"/>
      <c r="I10" s="784"/>
      <c r="J10" s="784"/>
    </row>
    <row r="11" spans="1:13" ht="18.75" thickBot="1">
      <c r="A11" s="229"/>
      <c r="B11" s="1401" t="s">
        <v>1300</v>
      </c>
      <c r="C11" s="1401" t="s">
        <v>127</v>
      </c>
      <c r="D11" s="1402" t="s">
        <v>130</v>
      </c>
      <c r="E11" s="1402" t="s">
        <v>1308</v>
      </c>
      <c r="F11" s="1402" t="s">
        <v>1309</v>
      </c>
      <c r="G11" s="1402" t="s">
        <v>1310</v>
      </c>
      <c r="H11" s="1402" t="s">
        <v>1311</v>
      </c>
      <c r="I11" s="1402" t="s">
        <v>1312</v>
      </c>
      <c r="J11" s="1402" t="s">
        <v>1312</v>
      </c>
    </row>
    <row r="12" spans="1:13" ht="15.75" hidden="1" thickTop="1">
      <c r="A12" s="229"/>
      <c r="B12" s="1808" t="s">
        <v>1302</v>
      </c>
      <c r="C12" s="1704"/>
      <c r="D12" s="1704"/>
      <c r="E12" s="1704"/>
      <c r="F12" s="1704"/>
      <c r="G12" s="1704"/>
      <c r="H12" s="1704"/>
      <c r="I12" s="1704"/>
      <c r="J12" s="1704"/>
      <c r="M12" s="236"/>
    </row>
    <row r="13" spans="1:13" hidden="1">
      <c r="A13" s="229"/>
      <c r="B13" s="1808"/>
      <c r="C13" s="1705"/>
      <c r="D13" s="1705"/>
      <c r="E13" s="1705"/>
      <c r="F13" s="1705"/>
      <c r="G13" s="1705"/>
      <c r="H13" s="1705"/>
      <c r="I13" s="1706"/>
      <c r="J13" s="1706"/>
      <c r="M13" s="236"/>
    </row>
    <row r="14" spans="1:13" ht="30.75" thickTop="1">
      <c r="A14" s="229"/>
      <c r="B14" s="1707" t="s">
        <v>1304</v>
      </c>
      <c r="C14" s="1707">
        <v>21.07</v>
      </c>
      <c r="D14" s="1708">
        <v>1167</v>
      </c>
      <c r="E14" s="1707">
        <v>66.09</v>
      </c>
      <c r="F14" s="1709">
        <f>Factors!E76</f>
        <v>309.76673694124082</v>
      </c>
      <c r="G14" s="1709">
        <f>Factors!F76</f>
        <v>3.2506528037593428E-2</v>
      </c>
      <c r="H14" s="1708">
        <f>I14-C14*44/14-D14*44/28</f>
        <v>55559.264330554441</v>
      </c>
      <c r="I14" s="1710">
        <f>Factors!D76</f>
        <v>57459.341473411587</v>
      </c>
      <c r="J14" s="1708">
        <f>H14+C14*VOC_C_Ratio/CO2_C_Ratio+D14*CO_C_Ratio/CO2_C_Ratio</f>
        <v>57458.367252252043</v>
      </c>
      <c r="M14" s="236"/>
    </row>
    <row r="15" spans="1:13" ht="15.75" thickBot="1">
      <c r="A15" s="229"/>
      <c r="B15" s="1711" t="s">
        <v>1377</v>
      </c>
      <c r="C15" s="1373">
        <f>C13+C14</f>
        <v>21.07</v>
      </c>
      <c r="D15" s="1375">
        <f t="shared" ref="D15:H15" si="0">D13+D14</f>
        <v>1167</v>
      </c>
      <c r="E15" s="1373">
        <f t="shared" si="0"/>
        <v>66.09</v>
      </c>
      <c r="F15" s="1512">
        <f t="shared" si="0"/>
        <v>309.76673694124082</v>
      </c>
      <c r="G15" s="1373">
        <f t="shared" si="0"/>
        <v>3.2506528037593428E-2</v>
      </c>
      <c r="H15" s="1375">
        <f t="shared" si="0"/>
        <v>55559.264330554441</v>
      </c>
      <c r="I15" s="1375">
        <f>I13+I14</f>
        <v>57459.341473411587</v>
      </c>
      <c r="J15" s="1375">
        <f>J13+J14</f>
        <v>57458.367252252043</v>
      </c>
      <c r="M15" s="236"/>
    </row>
    <row r="16" spans="1:13" ht="30.75" thickTop="1">
      <c r="A16" s="229"/>
      <c r="B16" s="1712" t="s">
        <v>1303</v>
      </c>
      <c r="C16" s="1712">
        <v>31.52</v>
      </c>
      <c r="D16" s="1712">
        <v>94.58</v>
      </c>
      <c r="E16" s="1712">
        <v>228.4</v>
      </c>
      <c r="F16" s="1713">
        <f>Factors!E64</f>
        <v>4.7499816359937208</v>
      </c>
      <c r="G16" s="1713">
        <f>Factors!F64</f>
        <v>0.17522813503592519</v>
      </c>
      <c r="H16" s="1708">
        <f>I16-C16*44/14-D16*44/28</f>
        <v>77938.266888360944</v>
      </c>
      <c r="I16" s="1714">
        <f>Factors!D64</f>
        <v>78185.955459789518</v>
      </c>
      <c r="J16" s="1714">
        <f>H16+C16*VOC_C_Ratio/CO2_C_Ratio+D16*CO_C_Ratio/CO2_C_Ratio</f>
        <v>78185.010185001331</v>
      </c>
      <c r="M16" s="236"/>
    </row>
    <row r="17" spans="1:13">
      <c r="A17" s="229"/>
      <c r="B17" s="1808" t="s">
        <v>1302</v>
      </c>
      <c r="C17" s="1704"/>
      <c r="D17" s="1704"/>
      <c r="E17" s="1704"/>
      <c r="F17" s="1704"/>
      <c r="G17" s="1704"/>
      <c r="H17" s="1704"/>
      <c r="I17" s="1704"/>
      <c r="J17" s="1704"/>
      <c r="M17" s="236"/>
    </row>
    <row r="18" spans="1:13">
      <c r="A18" s="229"/>
      <c r="B18" s="1808"/>
      <c r="C18" s="1705">
        <v>0.308</v>
      </c>
      <c r="D18" s="1705">
        <v>1.2889999999999999</v>
      </c>
      <c r="E18" s="1705">
        <v>7.2990000000000004</v>
      </c>
      <c r="F18" s="1705">
        <v>104.5</v>
      </c>
      <c r="G18" s="1705">
        <v>1.7000000000000001E-2</v>
      </c>
      <c r="H18" s="1705">
        <v>753</v>
      </c>
      <c r="I18" s="1706">
        <f>H18+C18*VOC_C_Ratio/CO2_C_Ratio+D18*CO_C_Ratio/CO2_C_Ratio</f>
        <v>755.98422146152859</v>
      </c>
      <c r="J18" s="1706">
        <f>H18+C18*VOC_C_Ratio/CO2_C_Ratio+D18*CO_C_Ratio/CO2_C_Ratio</f>
        <v>755.98422146152859</v>
      </c>
      <c r="M18" s="236"/>
    </row>
    <row r="19" spans="1:13">
      <c r="A19" s="229"/>
      <c r="B19" s="1675"/>
      <c r="C19" s="1675"/>
      <c r="D19" s="1675"/>
      <c r="E19" s="1675"/>
      <c r="F19" s="1675"/>
      <c r="G19" s="1675"/>
      <c r="H19" s="1675"/>
      <c r="I19" s="1675"/>
      <c r="J19" s="1675"/>
      <c r="M19" s="236"/>
    </row>
    <row r="20" spans="1:13" ht="18" customHeight="1">
      <c r="A20" s="229"/>
      <c r="B20" s="1254"/>
      <c r="C20" s="1254" t="s">
        <v>544</v>
      </c>
      <c r="D20" s="1756" t="s">
        <v>1480</v>
      </c>
      <c r="E20" s="1756"/>
      <c r="F20" s="1756"/>
      <c r="G20" s="1756"/>
      <c r="H20" s="1400"/>
      <c r="I20" s="1400"/>
    </row>
    <row r="21" spans="1:13" ht="15" customHeight="1" thickBot="1">
      <c r="A21" s="229"/>
      <c r="B21" s="278" t="s">
        <v>275</v>
      </c>
      <c r="C21" s="1255" t="s">
        <v>446</v>
      </c>
      <c r="D21" s="279" t="s">
        <v>1313</v>
      </c>
      <c r="E21" s="279" t="s">
        <v>1155</v>
      </c>
      <c r="F21" s="279" t="s">
        <v>1306</v>
      </c>
      <c r="G21" s="279" t="s">
        <v>1307</v>
      </c>
      <c r="H21" s="229"/>
      <c r="I21" s="229"/>
    </row>
    <row r="22" spans="1:13" ht="15.75" thickTop="1">
      <c r="B22" s="235" t="s">
        <v>1378</v>
      </c>
      <c r="C22" s="441">
        <f>E6*1000</f>
        <v>0</v>
      </c>
      <c r="D22" s="518">
        <f>I15*C22/1000000</f>
        <v>0</v>
      </c>
      <c r="E22" s="1396">
        <f>F15*C22/1000000</f>
        <v>0</v>
      </c>
      <c r="F22" s="1396">
        <f>G15*C22/1000000</f>
        <v>0</v>
      </c>
      <c r="G22" s="243">
        <f t="shared" ref="G22" si="1">D22+E22*CH4_GWP+F22*N2O_GWP</f>
        <v>0</v>
      </c>
    </row>
    <row r="23" spans="1:13">
      <c r="B23" s="272" t="s">
        <v>1305</v>
      </c>
      <c r="C23" s="442">
        <f>E7*1000</f>
        <v>0</v>
      </c>
      <c r="D23" s="1243">
        <f>I16*C23/1000000</f>
        <v>0</v>
      </c>
      <c r="E23" s="1404">
        <f>F16*C23/1000000</f>
        <v>0</v>
      </c>
      <c r="F23" s="1404">
        <f>G16*C23/1000000</f>
        <v>0</v>
      </c>
      <c r="G23" s="299">
        <f>D23+E23*CH4_GWP+F23*N2O_GWP</f>
        <v>0</v>
      </c>
    </row>
  </sheetData>
  <sheetProtection password="C8A2" sheet="1" objects="1" scenarios="1"/>
  <mergeCells count="5">
    <mergeCell ref="B12:B13"/>
    <mergeCell ref="C10:H10"/>
    <mergeCell ref="D4:E4"/>
    <mergeCell ref="D20:G20"/>
    <mergeCell ref="B17:B18"/>
  </mergeCells>
  <pageMargins left="0.7" right="0.7" top="0.75" bottom="0.75" header="0.3" footer="0.3"/>
  <pageSetup paperSize="9" scale="50" orientation="landscape" r:id="rId1"/>
  <headerFooter>
    <oddHeader>&amp;CTacoma LNG Facility DSEIS Life Cycle Analsis GHG Emission Calculations Scenario A</oddHeader>
    <oddFooter>Page &amp;P of &amp;N</oddFooter>
  </headerFooter>
  <colBreaks count="1" manualBreakCount="1">
    <brk id="1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N91"/>
  <sheetViews>
    <sheetView zoomScale="90" zoomScaleNormal="90" zoomScaleSheetLayoutView="80" zoomScalePageLayoutView="20" workbookViewId="0"/>
  </sheetViews>
  <sheetFormatPr defaultColWidth="9.140625" defaultRowHeight="15"/>
  <cols>
    <col min="1" max="1" width="1.28515625" style="677" customWidth="1"/>
    <col min="2" max="2" width="34.140625" style="677" customWidth="1"/>
    <col min="3" max="9" width="9" style="677" customWidth="1"/>
    <col min="10" max="10" width="10.5703125" style="677" customWidth="1"/>
    <col min="11" max="11" width="34.42578125" style="677" customWidth="1"/>
    <col min="12" max="12" width="11.7109375" style="677" customWidth="1"/>
    <col min="13" max="14" width="10.5703125" style="677" customWidth="1"/>
    <col min="15" max="16" width="11.28515625" style="677" customWidth="1"/>
    <col min="17" max="17" width="12.140625" style="677" bestFit="1" customWidth="1"/>
    <col min="18" max="19" width="14.42578125" style="677" bestFit="1" customWidth="1"/>
    <col min="20" max="20" width="12.140625" style="677" bestFit="1" customWidth="1"/>
    <col min="21" max="21" width="14.42578125" style="677" bestFit="1" customWidth="1"/>
    <col min="22" max="22" width="13.28515625" style="677" bestFit="1" customWidth="1"/>
    <col min="23" max="25" width="12.140625" style="677" bestFit="1" customWidth="1"/>
    <col min="26" max="26" width="16.7109375" style="677" bestFit="1" customWidth="1"/>
    <col min="27" max="27" width="12.140625" style="677" bestFit="1" customWidth="1"/>
    <col min="28" max="29" width="14.42578125" style="677" bestFit="1" customWidth="1"/>
    <col min="30" max="30" width="12.140625" style="677" bestFit="1" customWidth="1"/>
    <col min="31" max="31" width="14.42578125" style="677" bestFit="1" customWidth="1"/>
    <col min="32" max="32" width="13.28515625" style="677" bestFit="1" customWidth="1"/>
    <col min="33" max="35" width="12.140625" style="677" bestFit="1" customWidth="1"/>
    <col min="36" max="36" width="16.7109375" style="677" bestFit="1" customWidth="1"/>
    <col min="37" max="37" width="12.140625" style="677" bestFit="1" customWidth="1"/>
    <col min="38" max="38" width="14.42578125" style="677" bestFit="1" customWidth="1"/>
    <col min="39" max="16384" width="9.140625" style="677"/>
  </cols>
  <sheetData>
    <row r="1" spans="2:38" ht="23.25">
      <c r="B1" s="1814" t="s">
        <v>967</v>
      </c>
      <c r="C1" s="1814"/>
      <c r="D1" s="1814"/>
      <c r="E1" s="1814"/>
      <c r="F1" s="1814"/>
      <c r="G1" s="1814"/>
      <c r="H1" s="1814"/>
      <c r="I1" s="1814"/>
      <c r="J1" s="1814"/>
      <c r="K1" s="1814"/>
      <c r="L1" s="1814"/>
      <c r="M1" s="1814"/>
      <c r="N1" s="1814"/>
      <c r="O1" s="1814"/>
      <c r="P1" s="1814"/>
      <c r="Q1" s="1814"/>
      <c r="R1" s="1814"/>
      <c r="S1" s="1814"/>
      <c r="T1" s="1814"/>
      <c r="U1" s="1814"/>
      <c r="V1" s="1814"/>
      <c r="W1" s="1814"/>
      <c r="X1" s="1814"/>
      <c r="Y1" s="1814"/>
      <c r="Z1" s="1814"/>
      <c r="AA1" s="1814"/>
      <c r="AB1" s="1814"/>
      <c r="AC1" s="1814"/>
      <c r="AD1" s="1814"/>
      <c r="AE1" s="1814"/>
      <c r="AF1" s="1814"/>
      <c r="AG1" s="1814"/>
      <c r="AH1" s="1814"/>
      <c r="AI1" s="1814"/>
      <c r="AJ1" s="1814"/>
      <c r="AK1" s="1814"/>
      <c r="AL1" s="1814"/>
    </row>
    <row r="2" spans="2:38" ht="18.75">
      <c r="B2" s="1815"/>
      <c r="C2" s="1815"/>
      <c r="D2" s="1815"/>
      <c r="E2" s="1815"/>
      <c r="F2" s="1815"/>
      <c r="G2" s="1815"/>
      <c r="H2" s="1815"/>
      <c r="I2" s="1815"/>
      <c r="J2" s="1815"/>
      <c r="K2" s="1815"/>
      <c r="L2" s="1815"/>
      <c r="M2" s="1815"/>
      <c r="N2" s="1815"/>
      <c r="O2" s="1815"/>
      <c r="P2" s="1815"/>
      <c r="Q2" s="1815"/>
      <c r="R2" s="1815"/>
      <c r="S2" s="1815"/>
      <c r="T2" s="1815"/>
      <c r="U2" s="1815"/>
      <c r="V2" s="1815"/>
      <c r="W2" s="1815"/>
      <c r="X2" s="1815"/>
      <c r="Y2" s="1815"/>
      <c r="Z2" s="1815"/>
      <c r="AA2" s="1815"/>
      <c r="AB2" s="1815"/>
      <c r="AC2" s="1815"/>
      <c r="AD2" s="1815"/>
      <c r="AE2" s="1815"/>
      <c r="AF2" s="1815"/>
      <c r="AG2" s="1815"/>
      <c r="AH2" s="1815"/>
      <c r="AI2" s="1815"/>
      <c r="AJ2" s="1815"/>
      <c r="AK2" s="1815"/>
      <c r="AL2" s="1815"/>
    </row>
    <row r="3" spans="2:38" ht="19.5" thickBot="1">
      <c r="B3" s="1048" t="s">
        <v>968</v>
      </c>
      <c r="C3" s="1048"/>
      <c r="D3" s="1048"/>
      <c r="E3" s="1048"/>
      <c r="F3" s="1048"/>
      <c r="G3" s="1048"/>
      <c r="H3" s="1048"/>
      <c r="I3" s="1048"/>
      <c r="J3" s="1048"/>
      <c r="K3" s="1048"/>
      <c r="L3" s="1048"/>
      <c r="M3" s="1048"/>
      <c r="O3" s="1441" t="s">
        <v>1416</v>
      </c>
    </row>
    <row r="4" spans="2:38" ht="19.5" thickTop="1">
      <c r="B4" s="1195"/>
      <c r="C4" s="1194"/>
      <c r="D4" s="1194"/>
      <c r="E4" s="1194"/>
      <c r="F4" s="1194"/>
      <c r="G4" s="1194"/>
      <c r="H4" s="1194"/>
      <c r="I4" s="1194"/>
      <c r="J4" s="1194"/>
      <c r="K4" s="1816" t="s">
        <v>969</v>
      </c>
      <c r="L4" s="1816"/>
      <c r="M4" s="1816"/>
    </row>
    <row r="5" spans="2:38" ht="60.75" thickBot="1">
      <c r="B5" s="1196" t="s">
        <v>970</v>
      </c>
      <c r="C5" s="1196" t="s">
        <v>971</v>
      </c>
      <c r="D5" s="1196" t="s">
        <v>972</v>
      </c>
      <c r="E5" s="1196" t="s">
        <v>973</v>
      </c>
      <c r="F5" s="1196" t="s">
        <v>974</v>
      </c>
      <c r="G5" s="1196" t="s">
        <v>975</v>
      </c>
      <c r="H5" s="1196" t="s">
        <v>976</v>
      </c>
      <c r="I5" s="1196" t="s">
        <v>977</v>
      </c>
      <c r="J5" s="1196" t="s">
        <v>978</v>
      </c>
      <c r="K5" s="1196" t="s">
        <v>979</v>
      </c>
      <c r="L5" s="1196" t="s">
        <v>1369</v>
      </c>
      <c r="M5" s="1196" t="s">
        <v>980</v>
      </c>
    </row>
    <row r="6" spans="2:38" ht="15.75" thickTop="1">
      <c r="B6" s="753" t="s">
        <v>919</v>
      </c>
      <c r="C6" s="753" t="s">
        <v>981</v>
      </c>
      <c r="D6" s="753" t="s">
        <v>982</v>
      </c>
      <c r="E6" s="753">
        <v>1450</v>
      </c>
      <c r="F6" s="753">
        <v>22</v>
      </c>
      <c r="G6" s="1198">
        <v>65.909090909090907</v>
      </c>
      <c r="H6" s="753">
        <v>2</v>
      </c>
      <c r="I6" s="753">
        <v>10</v>
      </c>
      <c r="J6" s="753">
        <v>10</v>
      </c>
      <c r="K6" s="752">
        <v>0.13793103448275862</v>
      </c>
      <c r="L6" s="752">
        <v>0.5</v>
      </c>
      <c r="M6" s="752">
        <v>0.5</v>
      </c>
    </row>
    <row r="8" spans="2:38" ht="15.75" thickBot="1">
      <c r="B8" s="443" t="s">
        <v>1123</v>
      </c>
      <c r="C8" s="443"/>
      <c r="D8" s="443"/>
      <c r="E8" s="1059">
        <v>0.03</v>
      </c>
    </row>
    <row r="9" spans="2:38" ht="15.75" thickTop="1">
      <c r="B9" s="229"/>
      <c r="C9" s="229"/>
      <c r="D9" s="229"/>
      <c r="E9" s="1365"/>
    </row>
    <row r="10" spans="2:38" ht="18.75">
      <c r="B10" s="678" t="s">
        <v>983</v>
      </c>
    </row>
    <row r="11" spans="2:38" ht="60.75" thickBot="1">
      <c r="B11" s="747" t="s">
        <v>984</v>
      </c>
      <c r="C11" s="747" t="s">
        <v>985</v>
      </c>
      <c r="D11" s="747" t="s">
        <v>986</v>
      </c>
      <c r="E11" s="747" t="s">
        <v>987</v>
      </c>
      <c r="F11" s="747" t="s">
        <v>988</v>
      </c>
      <c r="G11" s="747" t="s">
        <v>989</v>
      </c>
      <c r="H11" s="747" t="s">
        <v>990</v>
      </c>
      <c r="I11" s="747" t="s">
        <v>991</v>
      </c>
    </row>
    <row r="12" spans="2:38" ht="60.75" thickTop="1">
      <c r="B12" s="753">
        <v>24</v>
      </c>
      <c r="C12" s="1198">
        <v>25.531914893617024</v>
      </c>
      <c r="D12" s="753">
        <v>52200</v>
      </c>
      <c r="E12" s="753">
        <v>400</v>
      </c>
      <c r="F12" s="753">
        <v>720</v>
      </c>
      <c r="G12" s="1200" t="s">
        <v>1008</v>
      </c>
      <c r="H12" s="1200" t="s">
        <v>1008</v>
      </c>
      <c r="I12" s="1200" t="s">
        <v>1009</v>
      </c>
    </row>
    <row r="14" spans="2:38" ht="18.75">
      <c r="B14" s="1815" t="s">
        <v>994</v>
      </c>
      <c r="C14" s="1815"/>
      <c r="D14" s="1815"/>
      <c r="E14" s="1815"/>
      <c r="F14" s="1815"/>
      <c r="G14" s="1815"/>
      <c r="H14" s="1815"/>
      <c r="I14" s="1815"/>
      <c r="J14" s="1815"/>
      <c r="K14" s="1815"/>
      <c r="L14" s="1815"/>
      <c r="M14" s="1815"/>
      <c r="N14" s="1815"/>
      <c r="O14" s="1815"/>
      <c r="P14" s="1815"/>
      <c r="Q14" s="1815"/>
      <c r="R14" s="1815"/>
      <c r="S14" s="1815"/>
      <c r="T14" s="1815"/>
      <c r="U14" s="1815"/>
      <c r="V14" s="1815"/>
      <c r="W14" s="1815"/>
      <c r="X14" s="1815"/>
      <c r="Y14" s="1815"/>
      <c r="Z14" s="1815"/>
      <c r="AA14" s="1815"/>
      <c r="AB14" s="1815"/>
      <c r="AC14" s="1815"/>
      <c r="AD14" s="1815"/>
      <c r="AE14" s="1815"/>
      <c r="AF14" s="1815"/>
      <c r="AG14" s="1815"/>
      <c r="AH14" s="1815"/>
      <c r="AI14" s="1815"/>
      <c r="AJ14" s="1815"/>
      <c r="AK14" s="1815"/>
      <c r="AL14" s="1815"/>
    </row>
    <row r="16" spans="2:38" ht="18.75">
      <c r="B16" s="678" t="s">
        <v>1170</v>
      </c>
    </row>
    <row r="17" spans="2:40" ht="60.75" thickBot="1">
      <c r="B17" s="747" t="s">
        <v>996</v>
      </c>
      <c r="C17" s="747" t="s">
        <v>1058</v>
      </c>
      <c r="D17" s="747" t="s">
        <v>997</v>
      </c>
      <c r="E17" s="747" t="s">
        <v>998</v>
      </c>
      <c r="F17" s="747" t="s">
        <v>999</v>
      </c>
      <c r="G17" s="747" t="s">
        <v>1000</v>
      </c>
      <c r="H17" s="747" t="s">
        <v>1001</v>
      </c>
    </row>
    <row r="18" spans="2:40" ht="15.75" thickTop="1">
      <c r="B18" s="679" t="s">
        <v>979</v>
      </c>
      <c r="C18" s="1203">
        <f>G6</f>
        <v>65.909090909090907</v>
      </c>
      <c r="D18" s="1205">
        <f>(F6/C12)^3*D12</f>
        <v>33395.533141666652</v>
      </c>
      <c r="E18" s="1206">
        <f>VLOOKUP(B6,'EF Marine Vessels spec. TOTE'!$B$68:$E$92,2,FALSE)</f>
        <v>132</v>
      </c>
      <c r="F18" s="1206">
        <f>VLOOKUP(B6,'EF Marine Vessels spec. TOTE'!N68:Q92,2,FALSE)</f>
        <v>0</v>
      </c>
      <c r="G18" s="788" t="s">
        <v>347</v>
      </c>
      <c r="H18" s="788" t="s">
        <v>347</v>
      </c>
    </row>
    <row r="19" spans="2:40">
      <c r="B19" s="679" t="s">
        <v>1369</v>
      </c>
      <c r="C19" s="1203">
        <f>H6</f>
        <v>2</v>
      </c>
      <c r="D19" s="1206">
        <f>AVERAGE('EF Marine Vessels spec. TOTE'!O34:P34)*D12</f>
        <v>1044</v>
      </c>
      <c r="E19" s="1206">
        <f>VLOOKUP(B6,'EF Marine Vessels spec. TOTE'!$B$68:$E$92,3,FALSE)</f>
        <v>396</v>
      </c>
      <c r="F19" s="1206">
        <f>VLOOKUP(B6,'EF Marine Vessels spec. TOTE'!N68:Q92,3,FALSE)</f>
        <v>148</v>
      </c>
      <c r="G19" s="788" t="s">
        <v>347</v>
      </c>
      <c r="H19" s="788" t="s">
        <v>347</v>
      </c>
    </row>
    <row r="20" spans="2:40">
      <c r="B20" s="1201" t="s">
        <v>980</v>
      </c>
      <c r="C20" s="1204">
        <f>I6+J6</f>
        <v>20</v>
      </c>
      <c r="D20" s="1207">
        <v>0</v>
      </c>
      <c r="E20" s="1207">
        <f>VLOOKUP(B6,'EF Marine Vessels spec. TOTE'!$B$68:$E$92,4,FALSE)</f>
        <v>229</v>
      </c>
      <c r="F20" s="1207">
        <f>VLOOKUP(B6,'EF Marine Vessels spec. TOTE'!N68:Q92,4,FALSE)</f>
        <v>259</v>
      </c>
      <c r="G20" s="1202" t="s">
        <v>347</v>
      </c>
      <c r="H20" s="1202" t="s">
        <v>347</v>
      </c>
    </row>
    <row r="21" spans="2:40">
      <c r="B21" s="679"/>
      <c r="C21" s="1203"/>
      <c r="D21" s="1206"/>
      <c r="E21" s="1206"/>
      <c r="F21" s="1206"/>
      <c r="G21" s="788"/>
      <c r="H21" s="788"/>
    </row>
    <row r="22" spans="2:40" ht="18.75">
      <c r="B22" s="678" t="s">
        <v>995</v>
      </c>
      <c r="K22" s="678" t="s">
        <v>995</v>
      </c>
    </row>
    <row r="23" spans="2:40" ht="15.75">
      <c r="B23" s="1194"/>
      <c r="C23" s="1817" t="s">
        <v>1066</v>
      </c>
      <c r="D23" s="1817"/>
      <c r="E23" s="1817"/>
      <c r="F23" s="1817"/>
      <c r="G23" s="1817"/>
      <c r="H23" s="1817"/>
      <c r="I23" s="1817"/>
      <c r="K23" s="1194"/>
      <c r="L23" s="1817" t="s">
        <v>1066</v>
      </c>
      <c r="M23" s="1817"/>
      <c r="N23" s="1817"/>
      <c r="O23" s="1817"/>
      <c r="P23" s="1817"/>
    </row>
    <row r="24" spans="2:40" ht="18.75" thickBot="1">
      <c r="B24" s="1208" t="s">
        <v>1202</v>
      </c>
      <c r="C24" s="1196" t="s">
        <v>1193</v>
      </c>
      <c r="D24" s="1196" t="s">
        <v>127</v>
      </c>
      <c r="E24" s="1196" t="s">
        <v>880</v>
      </c>
      <c r="F24" s="1196" t="s">
        <v>1194</v>
      </c>
      <c r="G24" s="1196" t="s">
        <v>882</v>
      </c>
      <c r="H24" s="1196" t="s">
        <v>883</v>
      </c>
      <c r="I24" s="1196" t="s">
        <v>884</v>
      </c>
      <c r="K24" s="1208" t="s">
        <v>1202</v>
      </c>
      <c r="L24" s="1209" t="s">
        <v>1188</v>
      </c>
      <c r="M24" s="1209" t="s">
        <v>1189</v>
      </c>
      <c r="N24" s="1209" t="s">
        <v>1190</v>
      </c>
      <c r="O24" s="1209" t="s">
        <v>1191</v>
      </c>
      <c r="P24" s="1209" t="s">
        <v>1192</v>
      </c>
    </row>
    <row r="25" spans="2:40" ht="15.75" customHeight="1" thickTop="1">
      <c r="B25" s="785"/>
      <c r="C25" s="785">
        <f t="shared" ref="C25:I25" si="0">$C18*$K$6*($D18*C66+$E18*C70+$F18*C74)/1000000</f>
        <v>0.579111936083333</v>
      </c>
      <c r="D25" s="785">
        <f t="shared" si="0"/>
        <v>1.1582238721666661E-4</v>
      </c>
      <c r="E25" s="785">
        <f t="shared" si="0"/>
        <v>0.579111936083333</v>
      </c>
      <c r="F25" s="785">
        <f t="shared" si="0"/>
        <v>1.0713570817541664E-3</v>
      </c>
      <c r="G25" s="785">
        <f t="shared" si="0"/>
        <v>6.0959151166666637E-3</v>
      </c>
      <c r="H25" s="785">
        <f t="shared" si="0"/>
        <v>6.0959151166666637E-3</v>
      </c>
      <c r="I25" s="785">
        <f t="shared" si="0"/>
        <v>0</v>
      </c>
      <c r="K25" s="785"/>
      <c r="L25" s="786">
        <f>$C18*$K$6*($D18*J66+$E18*J70+$F18*J74)/1000000</f>
        <v>135.32931558999994</v>
      </c>
      <c r="M25" s="785">
        <f>$C18*$K$6*($D18*K66+$E18*K70+$F18*K74)/1000000</f>
        <v>9.4462684308333281E-3</v>
      </c>
      <c r="N25" s="785">
        <f>$C18*$K$6*($D18*L66+$E18*L70+$F18*L74)/1000000</f>
        <v>1.6154175059166658</v>
      </c>
      <c r="O25" s="786">
        <f>L25+D25*VOC_C_Ratio/CO2_C_Ratio+E25*CO_C_Ratio/CO2_C_Ratio</f>
        <v>136.23952966721041</v>
      </c>
      <c r="P25" s="786">
        <f>O25+N25*CH4_GWP+M25*N2O_GWP</f>
        <v>179.43995530751536</v>
      </c>
    </row>
    <row r="26" spans="2:40" ht="15" customHeight="1">
      <c r="B26" s="785"/>
      <c r="C26" s="785">
        <f t="shared" ref="C26:I26" si="1">$C19*$L$6*($D19*C67+$E19*C71+$F19*C75)/1000000</f>
        <v>1.0232468E-2</v>
      </c>
      <c r="D26" s="785">
        <f t="shared" si="1"/>
        <v>2.3353009599999999E-5</v>
      </c>
      <c r="E26" s="785">
        <f t="shared" si="1"/>
        <v>1.9983247999999999E-2</v>
      </c>
      <c r="F26" s="785">
        <f t="shared" si="1"/>
        <v>5.0616E-6</v>
      </c>
      <c r="G26" s="785">
        <f t="shared" si="1"/>
        <v>2.5281352E-3</v>
      </c>
      <c r="H26" s="785">
        <f t="shared" si="1"/>
        <v>1.8233519999999998E-4</v>
      </c>
      <c r="I26" s="785">
        <f t="shared" si="1"/>
        <v>0</v>
      </c>
      <c r="K26" s="785"/>
      <c r="L26" s="786">
        <f>$C19*$L$6*($D19*J67+$E19*J71+$F19*J75)/1000000</f>
        <v>0.73464393103448278</v>
      </c>
      <c r="M26" s="785">
        <f>$C19*$L$6*($D19*K67+$E19*K71+$F19*K75)/1000000</f>
        <v>5.4948000000000003E-5</v>
      </c>
      <c r="N26" s="785">
        <f>$C19*$L$6*($D19*L67+$E19*L71+$F19*L75)/1000000</f>
        <v>7.6322960000000002E-3</v>
      </c>
      <c r="O26" s="786">
        <f>L26+D26*VOC_C_Ratio/CO2_C_Ratio+E26*CO_C_Ratio/CO2_C_Ratio</f>
        <v>0.76611269660411774</v>
      </c>
      <c r="P26" s="786">
        <f>O26+N26*CH4_GWP+M26*N2O_GWP</f>
        <v>0.97329460060411777</v>
      </c>
    </row>
    <row r="27" spans="2:40" ht="15" customHeight="1">
      <c r="B27" s="785"/>
      <c r="C27" s="785">
        <f t="shared" ref="C27:I27" si="2">$C20*$M$6*($D20*C68+$E20*C72+$F20*C76)/1000000</f>
        <v>9.5309999999999995E-3</v>
      </c>
      <c r="D27" s="785">
        <f t="shared" si="2"/>
        <v>2.598702E-4</v>
      </c>
      <c r="E27" s="785">
        <f t="shared" si="2"/>
        <v>4.8690000000000001E-3</v>
      </c>
      <c r="F27" s="785">
        <f t="shared" si="2"/>
        <v>8.0493500000000011E-6</v>
      </c>
      <c r="G27" s="785">
        <f t="shared" si="2"/>
        <v>4.1485800000000003E-2</v>
      </c>
      <c r="H27" s="785">
        <f t="shared" si="2"/>
        <v>4.3429999999999999E-4</v>
      </c>
      <c r="I27" s="785">
        <f t="shared" si="2"/>
        <v>0</v>
      </c>
      <c r="K27" s="785"/>
      <c r="L27" s="786">
        <f>$C20*$M$6*($D20*J68+$E20*J72+$F20*J76)/1000000</f>
        <v>2.6842287931034483</v>
      </c>
      <c r="M27" s="785">
        <f>$C20*$M$6*($D20*K68+$E20*K72+$F20*K76)/1000000</f>
        <v>2.6066000000000001E-4</v>
      </c>
      <c r="N27" s="785">
        <f>$C20*$M$6*($D20*L68+$E20*L72+$F20*L76)/1000000</f>
        <v>1.2142180000000001E-2</v>
      </c>
      <c r="O27" s="786">
        <f>L27+D27*VOC_C_Ratio/CO2_C_Ratio+E27*CO_C_Ratio/CO2_C_Ratio</f>
        <v>2.6926877520260226</v>
      </c>
      <c r="P27" s="786">
        <f>O27+N27*CH4_GWP+M27*N2O_GWP</f>
        <v>3.073918932026023</v>
      </c>
    </row>
    <row r="28" spans="2:40" ht="15.75" customHeight="1" thickBot="1">
      <c r="B28" s="1212" t="s">
        <v>1069</v>
      </c>
      <c r="C28" s="1212">
        <f t="shared" ref="C28:I28" si="3">SUM(C25:C27)</f>
        <v>0.59887540408333295</v>
      </c>
      <c r="D28" s="1212">
        <f t="shared" si="3"/>
        <v>3.9904559681666662E-4</v>
      </c>
      <c r="E28" s="1212">
        <f t="shared" si="3"/>
        <v>0.60396418408333297</v>
      </c>
      <c r="F28" s="1212">
        <f t="shared" si="3"/>
        <v>1.0844680317541665E-3</v>
      </c>
      <c r="G28" s="1212">
        <f t="shared" si="3"/>
        <v>5.0109850316666663E-2</v>
      </c>
      <c r="H28" s="1212">
        <f t="shared" si="3"/>
        <v>6.7125503166666637E-3</v>
      </c>
      <c r="I28" s="1212">
        <f t="shared" si="3"/>
        <v>0</v>
      </c>
      <c r="K28" s="1212" t="s">
        <v>1069</v>
      </c>
      <c r="L28" s="1213">
        <f>SUM(L25:L27)</f>
        <v>138.74818831413785</v>
      </c>
      <c r="M28" s="1212">
        <f>SUM(M25:M27)</f>
        <v>9.7618764308333283E-3</v>
      </c>
      <c r="N28" s="1212">
        <f>SUM(N25:N27)</f>
        <v>1.6351919819166656</v>
      </c>
      <c r="O28" s="1213">
        <f>L28+D28*VOC_C_Ratio/CO2_C_Ratio+E28*CO_C_Ratio/CO2_C_Ratio</f>
        <v>139.69833011584049</v>
      </c>
      <c r="P28" s="1213">
        <f>O28+N28*CH4_GWP+M28*N2O_GWP</f>
        <v>183.48716884014544</v>
      </c>
    </row>
    <row r="29" spans="2:40" ht="15" customHeight="1">
      <c r="B29" s="785" t="s">
        <v>1168</v>
      </c>
      <c r="C29" s="786">
        <f>C28*1000000/SUM($D$58:$F$58)</f>
        <v>9408.4927737858507</v>
      </c>
      <c r="D29" s="786">
        <f t="shared" ref="D29:I29" si="4">D28*1000000/SUM($D$58:$F$58)</f>
        <v>6.2691130550057554</v>
      </c>
      <c r="E29" s="786">
        <f t="shared" si="4"/>
        <v>9488.4388686345283</v>
      </c>
      <c r="F29" s="786">
        <f t="shared" si="4"/>
        <v>17.037282831440297</v>
      </c>
      <c r="G29" s="786">
        <f t="shared" si="4"/>
        <v>787.23915089063485</v>
      </c>
      <c r="H29" s="786">
        <f t="shared" si="4"/>
        <v>105.45596081826108</v>
      </c>
      <c r="I29" s="786">
        <f t="shared" si="4"/>
        <v>0</v>
      </c>
      <c r="K29" s="785" t="s">
        <v>1168</v>
      </c>
      <c r="L29" s="786">
        <f>L28*1000000/SUM($D$58:$F$58)</f>
        <v>2179771.1481031161</v>
      </c>
      <c r="M29" s="786">
        <f>M28*1000000/SUM($D$58:$F$58)</f>
        <v>153.36168964672606</v>
      </c>
      <c r="N29" s="786">
        <f>N28*1000000/SUM($D$58:$F$58)</f>
        <v>25689.303385508123</v>
      </c>
      <c r="O29" s="786">
        <f>O28*1000000/SUM($D$60:$F$60)</f>
        <v>308265.54096825386</v>
      </c>
      <c r="P29" s="786">
        <f>P28*1000000/SUM($D$60:$F$60)</f>
        <v>404892.25115531334</v>
      </c>
    </row>
    <row r="30" spans="2:40" ht="15" customHeight="1">
      <c r="B30" s="1210" t="s">
        <v>1169</v>
      </c>
      <c r="C30" s="1211">
        <f>C29/(lbperkg*Fuel_Specs!$P$18)*1000</f>
        <v>251.51428940223391</v>
      </c>
      <c r="D30" s="1211">
        <f>D29/(lbperkg*Fuel_Specs!$P$18)*1000</f>
        <v>0.16759023502736548</v>
      </c>
      <c r="E30" s="1211">
        <f>E29/(lbperkg*Fuel_Specs!$P$18)*1000</f>
        <v>253.65146330668469</v>
      </c>
      <c r="F30" s="1211">
        <f>F29/(lbperkg*Fuel_Specs!$P$18)*1000</f>
        <v>0.45545234372012083</v>
      </c>
      <c r="G30" s="1211">
        <f>G29/(lbperkg*Fuel_Specs!$P$18)*1000</f>
        <v>21.045017558769164</v>
      </c>
      <c r="H30" s="1211">
        <f>H29/(lbperkg*Fuel_Specs!$P$18)*1000</f>
        <v>2.8191211585277105</v>
      </c>
      <c r="I30" s="1211">
        <f>I29/(lbperkg*Fuel_Specs!$P$18)*1000</f>
        <v>0</v>
      </c>
      <c r="K30" s="1210" t="s">
        <v>1169</v>
      </c>
      <c r="L30" s="1211">
        <f>L29/(lbperkg*Fuel_Specs!$P$18)*1000</f>
        <v>58271.139124661408</v>
      </c>
      <c r="M30" s="1211">
        <f>M29/(lbperkg*Fuel_Specs!$P$18)*1000</f>
        <v>4.0997699972193447</v>
      </c>
      <c r="N30" s="1211">
        <f>N29/(lbperkg*Fuel_Specs!$P$18)*1000</f>
        <v>686.74409829456317</v>
      </c>
      <c r="O30" s="1211">
        <f>L30+D30*VOC_C_Ratio/CO2_C_Ratio+E30*CO_C_Ratio/CO2_C_Ratio</f>
        <v>58670.177452930016</v>
      </c>
      <c r="P30" s="1211">
        <f>O30+N30*CH4_GWP+M30*N2O_GWP</f>
        <v>77060.511369465457</v>
      </c>
    </row>
    <row r="31" spans="2:40" ht="15" customHeight="1"/>
    <row r="32" spans="2:40" ht="15" customHeight="1">
      <c r="I32" s="940"/>
      <c r="L32" s="940"/>
      <c r="M32" s="940"/>
      <c r="N32" s="940"/>
      <c r="O32" s="940"/>
      <c r="P32" s="940"/>
      <c r="Q32" s="940"/>
      <c r="R32" s="940"/>
      <c r="S32" s="940"/>
      <c r="T32" s="940"/>
      <c r="U32" s="940"/>
      <c r="V32" s="940"/>
      <c r="W32" s="940"/>
      <c r="X32" s="940"/>
      <c r="Y32" s="940"/>
      <c r="Z32" s="941"/>
      <c r="AA32" s="940"/>
      <c r="AB32" s="940"/>
      <c r="AC32" s="940"/>
      <c r="AD32" s="940"/>
      <c r="AE32" s="940"/>
      <c r="AF32" s="940"/>
      <c r="AG32" s="940"/>
      <c r="AH32" s="940"/>
      <c r="AI32" s="940"/>
      <c r="AJ32" s="941"/>
      <c r="AK32" s="940"/>
      <c r="AL32" s="940"/>
      <c r="AM32" s="941"/>
      <c r="AN32" s="941"/>
    </row>
    <row r="33" spans="1:40" ht="15.75">
      <c r="B33" s="1194"/>
      <c r="C33" s="1817" t="s">
        <v>1067</v>
      </c>
      <c r="D33" s="1817"/>
      <c r="E33" s="1817"/>
      <c r="F33" s="1817"/>
      <c r="G33" s="1817"/>
      <c r="H33" s="1817"/>
      <c r="I33" s="1817"/>
      <c r="K33" s="1194"/>
      <c r="L33" s="1817" t="s">
        <v>1067</v>
      </c>
      <c r="M33" s="1817"/>
      <c r="N33" s="1817"/>
      <c r="O33" s="1817"/>
      <c r="P33" s="1817"/>
      <c r="Q33" s="940"/>
      <c r="R33" s="940"/>
      <c r="S33" s="940"/>
      <c r="T33" s="940"/>
      <c r="U33" s="940"/>
      <c r="V33" s="940"/>
      <c r="W33" s="940"/>
      <c r="X33" s="940"/>
      <c r="Y33" s="940"/>
      <c r="Z33" s="941"/>
      <c r="AA33" s="940"/>
      <c r="AB33" s="940"/>
      <c r="AC33" s="940"/>
      <c r="AD33" s="940"/>
      <c r="AE33" s="940"/>
      <c r="AF33" s="940"/>
      <c r="AG33" s="940"/>
      <c r="AH33" s="940"/>
      <c r="AI33" s="940"/>
      <c r="AJ33" s="941"/>
      <c r="AK33" s="940"/>
      <c r="AL33" s="940"/>
      <c r="AM33" s="941"/>
      <c r="AN33" s="941"/>
    </row>
    <row r="34" spans="1:40" ht="18.75" thickBot="1">
      <c r="B34" s="1208" t="s">
        <v>1202</v>
      </c>
      <c r="C34" s="1196" t="s">
        <v>1193</v>
      </c>
      <c r="D34" s="1196" t="s">
        <v>127</v>
      </c>
      <c r="E34" s="1196" t="s">
        <v>880</v>
      </c>
      <c r="F34" s="1196" t="s">
        <v>1194</v>
      </c>
      <c r="G34" s="1196" t="s">
        <v>882</v>
      </c>
      <c r="H34" s="1196" t="s">
        <v>883</v>
      </c>
      <c r="I34" s="1196" t="s">
        <v>884</v>
      </c>
      <c r="K34" s="1208" t="s">
        <v>1202</v>
      </c>
      <c r="L34" s="1209" t="s">
        <v>1188</v>
      </c>
      <c r="M34" s="1209" t="s">
        <v>1189</v>
      </c>
      <c r="N34" s="1209" t="s">
        <v>1190</v>
      </c>
      <c r="O34" s="1209" t="s">
        <v>1191</v>
      </c>
      <c r="P34" s="1209" t="s">
        <v>1192</v>
      </c>
      <c r="Q34" s="940"/>
      <c r="R34" s="941"/>
      <c r="S34" s="940"/>
      <c r="T34" s="940"/>
      <c r="U34" s="940"/>
      <c r="V34" s="940"/>
      <c r="W34" s="940"/>
      <c r="X34" s="940"/>
      <c r="Y34" s="940"/>
      <c r="Z34" s="941"/>
      <c r="AA34" s="940"/>
      <c r="AB34" s="940"/>
      <c r="AC34" s="940"/>
      <c r="AD34" s="940"/>
      <c r="AE34" s="940"/>
      <c r="AF34" s="940"/>
      <c r="AG34" s="940"/>
      <c r="AH34" s="940"/>
      <c r="AI34" s="940"/>
      <c r="AJ34" s="941"/>
      <c r="AK34" s="940"/>
      <c r="AL34" s="940"/>
      <c r="AM34" s="941"/>
      <c r="AN34" s="941"/>
    </row>
    <row r="35" spans="1:40" ht="15.75" customHeight="1" thickTop="1">
      <c r="B35" s="785"/>
      <c r="C35" s="785">
        <f t="shared" ref="C35:I35" si="5">$C18*(1-$K$6)*($D18*C81+$E18*C85+$F18*C89)/1000000</f>
        <v>3.6194496005208316</v>
      </c>
      <c r="D35" s="785">
        <f t="shared" si="5"/>
        <v>7.2388992010416627E-4</v>
      </c>
      <c r="E35" s="785">
        <f t="shared" si="5"/>
        <v>3.6194496005208316</v>
      </c>
      <c r="F35" s="785">
        <f t="shared" si="5"/>
        <v>6.6959817609635389E-3</v>
      </c>
      <c r="G35" s="785">
        <f t="shared" si="5"/>
        <v>3.8099469479166648E-2</v>
      </c>
      <c r="H35" s="785">
        <f t="shared" si="5"/>
        <v>3.8099469479166648E-2</v>
      </c>
      <c r="I35" s="785">
        <f t="shared" si="5"/>
        <v>0</v>
      </c>
      <c r="K35" s="785"/>
      <c r="L35" s="786">
        <f>$C18*(1-$K$6)*($D18*J81+$E18*J85+$F18*J89)/1000000</f>
        <v>845.80822243749969</v>
      </c>
      <c r="M35" s="785">
        <f>$C18*(1-$K$6)*($D18*K81+$E18*K85+$F18*K89)/1000000</f>
        <v>5.9039177692708306E-2</v>
      </c>
      <c r="N35" s="785">
        <f>$C18*(1-$K$6)*($D18*L81+$E18*L85+$F18*L89)/1000000</f>
        <v>10.096359411979162</v>
      </c>
      <c r="O35" s="786">
        <f>L35+D35*VOC_C_Ratio/CO2_C_Ratio+E35*CO_C_Ratio/CO2_C_Ratio</f>
        <v>851.49706042006505</v>
      </c>
      <c r="P35" s="786">
        <f>O35+N35*CH4_GWP+M35*N2O_GWP</f>
        <v>1121.4997206719713</v>
      </c>
      <c r="Q35" s="940"/>
      <c r="R35" s="941"/>
      <c r="S35" s="940"/>
      <c r="T35" s="940"/>
      <c r="U35" s="940"/>
      <c r="V35" s="940"/>
      <c r="W35" s="940"/>
      <c r="X35" s="940"/>
      <c r="Y35" s="940"/>
      <c r="Z35" s="941"/>
      <c r="AA35" s="940"/>
      <c r="AB35" s="940"/>
      <c r="AC35" s="940"/>
      <c r="AD35" s="940"/>
      <c r="AE35" s="940"/>
      <c r="AF35" s="940"/>
      <c r="AG35" s="940"/>
      <c r="AH35" s="940"/>
      <c r="AI35" s="940"/>
      <c r="AJ35" s="941"/>
      <c r="AK35" s="940"/>
      <c r="AL35" s="940"/>
      <c r="AM35" s="941"/>
      <c r="AN35" s="941"/>
    </row>
    <row r="36" spans="1:40" ht="15" customHeight="1">
      <c r="B36" s="785"/>
      <c r="C36" s="785">
        <f t="shared" ref="C36:I36" si="6">$C19*(1-$L$6)*($D19*C82+$E19*C86+$F19*C90)/1000000</f>
        <v>1.0232468E-2</v>
      </c>
      <c r="D36" s="785">
        <f t="shared" si="6"/>
        <v>2.3353009599999999E-5</v>
      </c>
      <c r="E36" s="785">
        <f t="shared" si="6"/>
        <v>1.9983247999999999E-2</v>
      </c>
      <c r="F36" s="785">
        <f t="shared" si="6"/>
        <v>5.0616E-6</v>
      </c>
      <c r="G36" s="785">
        <f t="shared" si="6"/>
        <v>2.5281352E-3</v>
      </c>
      <c r="H36" s="785">
        <f t="shared" si="6"/>
        <v>1.8233519999999998E-4</v>
      </c>
      <c r="I36" s="785">
        <f t="shared" si="6"/>
        <v>0</v>
      </c>
      <c r="K36" s="785"/>
      <c r="L36" s="786">
        <f>$C19*(1-$L$6)*($D19*J82+$E19*J86+$F19*J90)/1000000</f>
        <v>0.73464393103448278</v>
      </c>
      <c r="M36" s="785">
        <f>$C19*(1-$L$6)*($D19*K82+$E19*K86+$F19*K90)/1000000</f>
        <v>5.4948000000000003E-5</v>
      </c>
      <c r="N36" s="785">
        <f>$C19*(1-$L$6)*($D19*L82+$E19*L86+$F19*L90)/1000000</f>
        <v>7.6322960000000002E-3</v>
      </c>
      <c r="O36" s="786">
        <f>L36+D36*VOC_C_Ratio/CO2_C_Ratio+E36*CO_C_Ratio/CO2_C_Ratio</f>
        <v>0.76611269660411774</v>
      </c>
      <c r="P36" s="786">
        <f>O36+N36*CH4_GWP+M36*N2O_GWP</f>
        <v>0.97329460060411777</v>
      </c>
      <c r="Q36" s="940"/>
      <c r="R36" s="941"/>
      <c r="S36" s="940"/>
      <c r="T36" s="940"/>
      <c r="U36" s="940"/>
      <c r="V36" s="940"/>
      <c r="W36" s="940"/>
      <c r="X36" s="940"/>
      <c r="Y36" s="940"/>
      <c r="Z36" s="941"/>
      <c r="AA36" s="940"/>
      <c r="AB36" s="940"/>
      <c r="AC36" s="940"/>
      <c r="AD36" s="940"/>
      <c r="AE36" s="940"/>
      <c r="AF36" s="940"/>
      <c r="AG36" s="940"/>
      <c r="AH36" s="940"/>
      <c r="AI36" s="940"/>
      <c r="AJ36" s="941"/>
      <c r="AK36" s="940"/>
      <c r="AL36" s="940"/>
      <c r="AM36" s="941"/>
      <c r="AN36" s="941"/>
    </row>
    <row r="37" spans="1:40" ht="15" customHeight="1">
      <c r="B37" s="785"/>
      <c r="C37" s="785">
        <f t="shared" ref="C37:I37" si="7">$C20*(1-$M$6)*($D20*C83+$E20*C87+$F20*C91)/1000000</f>
        <v>9.5309999999999995E-3</v>
      </c>
      <c r="D37" s="785">
        <f t="shared" si="7"/>
        <v>2.598702E-4</v>
      </c>
      <c r="E37" s="785">
        <f t="shared" si="7"/>
        <v>4.8690000000000001E-3</v>
      </c>
      <c r="F37" s="785">
        <f t="shared" si="7"/>
        <v>8.0493500000000011E-6</v>
      </c>
      <c r="G37" s="785">
        <f t="shared" si="7"/>
        <v>4.1485800000000003E-2</v>
      </c>
      <c r="H37" s="785">
        <f t="shared" si="7"/>
        <v>4.3429999999999999E-4</v>
      </c>
      <c r="I37" s="785">
        <f t="shared" si="7"/>
        <v>0</v>
      </c>
      <c r="K37" s="785"/>
      <c r="L37" s="786">
        <f>$C20*(1-$M$6)*($D20*J83+$E20*J87+$F20*J91)/1000000</f>
        <v>2.6842287931034483</v>
      </c>
      <c r="M37" s="785">
        <f>$C20*(1-$M$6)*($D20*K83+$E20*K87+$F20*K91)/1000000</f>
        <v>2.6066000000000001E-4</v>
      </c>
      <c r="N37" s="785">
        <f>$C20*(1-$M$6)*($D20*L83+$E20*L87+$F20*L91)/1000000</f>
        <v>1.2142180000000001E-2</v>
      </c>
      <c r="O37" s="786">
        <f>L37+D37*VOC_C_Ratio/CO2_C_Ratio+E37*CO_C_Ratio/CO2_C_Ratio</f>
        <v>2.6926877520260226</v>
      </c>
      <c r="P37" s="786">
        <f>O37+N37*CH4_GWP+M37*N2O_GWP</f>
        <v>3.073918932026023</v>
      </c>
      <c r="Q37" s="940"/>
      <c r="R37" s="941"/>
      <c r="S37" s="940"/>
      <c r="T37" s="940"/>
      <c r="U37" s="940"/>
      <c r="V37" s="940"/>
      <c r="W37" s="940"/>
      <c r="X37" s="940"/>
      <c r="Y37" s="940"/>
      <c r="Z37" s="941"/>
      <c r="AA37" s="940"/>
      <c r="AB37" s="940"/>
      <c r="AC37" s="940"/>
      <c r="AD37" s="940"/>
      <c r="AE37" s="940"/>
      <c r="AF37" s="940"/>
      <c r="AG37" s="940"/>
      <c r="AH37" s="940"/>
      <c r="AI37" s="940"/>
      <c r="AJ37" s="941"/>
      <c r="AK37" s="940"/>
      <c r="AL37" s="940"/>
      <c r="AM37" s="941"/>
      <c r="AN37" s="941"/>
    </row>
    <row r="38" spans="1:40" ht="15.75" customHeight="1" thickBot="1">
      <c r="B38" s="1212" t="s">
        <v>1069</v>
      </c>
      <c r="C38" s="1212">
        <f t="shared" ref="C38:I38" si="8">SUM(C35:C37)</f>
        <v>3.6392130685208315</v>
      </c>
      <c r="D38" s="1212">
        <f t="shared" si="8"/>
        <v>1.0071131297041663E-3</v>
      </c>
      <c r="E38" s="1212">
        <f t="shared" si="8"/>
        <v>3.6443018485208314</v>
      </c>
      <c r="F38" s="1212">
        <f t="shared" si="8"/>
        <v>6.7090927109635387E-3</v>
      </c>
      <c r="G38" s="1212">
        <f t="shared" si="8"/>
        <v>8.2113404679166654E-2</v>
      </c>
      <c r="H38" s="1212">
        <f t="shared" si="8"/>
        <v>3.8716104679166648E-2</v>
      </c>
      <c r="I38" s="1212">
        <f t="shared" si="8"/>
        <v>0</v>
      </c>
      <c r="K38" s="1212" t="s">
        <v>1069</v>
      </c>
      <c r="L38" s="1213">
        <f>SUM(L35:L37)</f>
        <v>849.22709516163764</v>
      </c>
      <c r="M38" s="1212">
        <f>SUM(M35:M37)</f>
        <v>5.9354785692708308E-2</v>
      </c>
      <c r="N38" s="1212">
        <f>SUM(N35:N37)</f>
        <v>10.116133887979162</v>
      </c>
      <c r="O38" s="1213">
        <f>L38+D38*VOC_C_Ratio/CO2_C_Ratio+E38*CO_C_Ratio/CO2_C_Ratio</f>
        <v>854.95586086869514</v>
      </c>
      <c r="P38" s="1213">
        <f>O38+N38*CH4_GWP+M38*N2O_GWP</f>
        <v>1125.5469342046013</v>
      </c>
      <c r="Q38" s="940"/>
      <c r="R38" s="941"/>
      <c r="S38" s="940"/>
      <c r="T38" s="940"/>
      <c r="U38" s="940"/>
      <c r="V38" s="940"/>
      <c r="W38" s="940"/>
      <c r="X38" s="940"/>
      <c r="Y38" s="940"/>
      <c r="Z38" s="941"/>
      <c r="AA38" s="940"/>
      <c r="AB38" s="940"/>
      <c r="AC38" s="940"/>
      <c r="AD38" s="940"/>
      <c r="AE38" s="940"/>
      <c r="AF38" s="940"/>
      <c r="AG38" s="940"/>
      <c r="AH38" s="940"/>
      <c r="AI38" s="940"/>
      <c r="AJ38" s="941"/>
      <c r="AK38" s="940"/>
      <c r="AL38" s="940"/>
      <c r="AM38" s="941"/>
      <c r="AN38" s="941"/>
    </row>
    <row r="39" spans="1:40" ht="15" customHeight="1">
      <c r="B39" s="785" t="s">
        <v>1168</v>
      </c>
      <c r="C39" s="786">
        <f>C38*1000000/SUM($D$59:$F$59)</f>
        <v>9342.7505232947478</v>
      </c>
      <c r="D39" s="786">
        <f t="shared" ref="D39:I39" si="9">D38*1000000/SUM($D$59:$F$59)</f>
        <v>2.5855058614045396</v>
      </c>
      <c r="E39" s="786">
        <f t="shared" si="9"/>
        <v>9355.8146668644586</v>
      </c>
      <c r="F39" s="786">
        <f t="shared" si="9"/>
        <v>17.223882816420144</v>
      </c>
      <c r="G39" s="786">
        <f t="shared" si="9"/>
        <v>210.80520433710521</v>
      </c>
      <c r="H39" s="786">
        <f t="shared" si="9"/>
        <v>99.393715190805921</v>
      </c>
      <c r="I39" s="786">
        <f t="shared" si="9"/>
        <v>0</v>
      </c>
      <c r="K39" s="785" t="s">
        <v>1168</v>
      </c>
      <c r="L39" s="786">
        <f>L38*1000000/SUM($D$59:$F$59)</f>
        <v>2180173.7733763177</v>
      </c>
      <c r="M39" s="786">
        <f>M38*1000000/SUM($D$59:$F$59)</f>
        <v>152.37825998354947</v>
      </c>
      <c r="N39" s="786">
        <f>N38*1000000/SUM($D$59:$F$59)</f>
        <v>25970.591277869837</v>
      </c>
      <c r="O39" s="786">
        <f>O38*1000000/SUM($D$60:$F$60)</f>
        <v>1886589.7017961775</v>
      </c>
      <c r="P39" s="786">
        <f>P38*1000000/SUM($D$60:$F$60)</f>
        <v>2483689.9214903228</v>
      </c>
      <c r="Q39" s="940"/>
      <c r="R39" s="941"/>
      <c r="S39" s="940"/>
      <c r="T39" s="940"/>
      <c r="U39" s="940"/>
      <c r="V39" s="940"/>
      <c r="W39" s="940"/>
      <c r="X39" s="940"/>
      <c r="Y39" s="940"/>
      <c r="Z39" s="941"/>
      <c r="AA39" s="940"/>
      <c r="AB39" s="940"/>
      <c r="AC39" s="940"/>
      <c r="AD39" s="940"/>
      <c r="AE39" s="940"/>
      <c r="AF39" s="940"/>
      <c r="AG39" s="940"/>
      <c r="AH39" s="940"/>
      <c r="AI39" s="940"/>
      <c r="AJ39" s="941"/>
      <c r="AK39" s="940"/>
      <c r="AL39" s="940"/>
      <c r="AM39" s="941"/>
      <c r="AN39" s="941"/>
    </row>
    <row r="40" spans="1:40" ht="15" customHeight="1">
      <c r="B40" s="1210" t="s">
        <v>1169</v>
      </c>
      <c r="C40" s="1211">
        <f>C39/(lbperkg*Fuel_Specs!$P$18)*1000</f>
        <v>249.75682241856956</v>
      </c>
      <c r="D40" s="1211">
        <f>D39/(lbperkg*Fuel_Specs!$P$18)*1000</f>
        <v>6.9117518088373353E-2</v>
      </c>
      <c r="E40" s="1211">
        <f>E39/(lbperkg*Fuel_Specs!$P$18)*1000</f>
        <v>250.10606207529119</v>
      </c>
      <c r="F40" s="1211">
        <f>F39/(lbperkg*Fuel_Specs!$P$18)*1000</f>
        <v>0.46044066265207967</v>
      </c>
      <c r="G40" s="1211">
        <f>G39/(lbperkg*Fuel_Specs!$P$18)*1000</f>
        <v>5.6353894769273438</v>
      </c>
      <c r="H40" s="1211">
        <f>H39/(lbperkg*Fuel_Specs!$P$18)*1000</f>
        <v>2.6570610456242441</v>
      </c>
      <c r="I40" s="1211">
        <f>I39/(lbperkg*Fuel_Specs!$P$18)*1000</f>
        <v>0</v>
      </c>
      <c r="K40" s="1210" t="s">
        <v>1169</v>
      </c>
      <c r="L40" s="1211">
        <f>L39/(lbperkg*Fuel_Specs!$P$18)*1000</f>
        <v>58281.902379937201</v>
      </c>
      <c r="M40" s="1211">
        <f>M39/(lbperkg*Fuel_Specs!$P$18)*1000</f>
        <v>4.0734802801670975</v>
      </c>
      <c r="N40" s="1211">
        <f>N39/(lbperkg*Fuel_Specs!$P$18)*1000</f>
        <v>694.26367938643887</v>
      </c>
      <c r="O40" s="1211">
        <f>L40+D40*VOC_C_Ratio/CO2_C_Ratio+E40*CO_C_Ratio/CO2_C_Ratio</f>
        <v>58675.063838866758</v>
      </c>
      <c r="P40" s="1211">
        <f>O40+N40*CH4_GWP+M40*N2O_GWP</f>
        <v>77245.552947017524</v>
      </c>
      <c r="Q40" s="940"/>
      <c r="R40" s="941"/>
      <c r="S40" s="940"/>
      <c r="T40" s="940"/>
      <c r="U40" s="940"/>
      <c r="V40" s="940"/>
      <c r="W40" s="940"/>
      <c r="X40" s="940"/>
      <c r="Y40" s="940"/>
      <c r="Z40" s="941"/>
      <c r="AA40" s="940"/>
      <c r="AB40" s="940"/>
      <c r="AC40" s="940"/>
      <c r="AD40" s="940"/>
      <c r="AE40" s="940"/>
      <c r="AF40" s="940"/>
      <c r="AG40" s="940"/>
      <c r="AH40" s="940"/>
      <c r="AI40" s="940"/>
      <c r="AJ40" s="941"/>
      <c r="AK40" s="940"/>
      <c r="AL40" s="940"/>
      <c r="AM40" s="941"/>
      <c r="AN40" s="941"/>
    </row>
    <row r="41" spans="1:40" ht="15" customHeight="1">
      <c r="A41" s="940"/>
      <c r="B41" s="940"/>
      <c r="C41" s="940"/>
      <c r="D41" s="940"/>
      <c r="E41" s="940"/>
      <c r="F41" s="940"/>
      <c r="G41" s="940"/>
      <c r="H41" s="940"/>
      <c r="I41" s="940"/>
      <c r="K41" s="940"/>
      <c r="L41" s="940"/>
      <c r="M41" s="940"/>
      <c r="N41" s="940"/>
      <c r="O41" s="940"/>
      <c r="P41" s="940"/>
      <c r="Q41" s="940"/>
      <c r="R41" s="941"/>
      <c r="S41" s="940"/>
      <c r="T41" s="940"/>
      <c r="U41" s="940"/>
      <c r="V41" s="940"/>
      <c r="W41" s="940"/>
      <c r="X41" s="940"/>
      <c r="Y41" s="940"/>
      <c r="Z41" s="941"/>
      <c r="AA41" s="940"/>
      <c r="AB41" s="940"/>
      <c r="AC41" s="940"/>
      <c r="AD41" s="940"/>
      <c r="AE41" s="940"/>
      <c r="AF41" s="940"/>
      <c r="AG41" s="940"/>
      <c r="AH41" s="940"/>
      <c r="AI41" s="940"/>
      <c r="AJ41" s="941"/>
      <c r="AK41" s="940"/>
      <c r="AL41" s="940"/>
      <c r="AM41" s="941"/>
      <c r="AN41" s="941"/>
    </row>
    <row r="42" spans="1:40" ht="15" customHeight="1">
      <c r="I42" s="940"/>
      <c r="L42" s="940"/>
      <c r="M42" s="940"/>
      <c r="N42" s="940"/>
      <c r="O42" s="940"/>
      <c r="P42" s="940"/>
      <c r="Q42" s="940"/>
      <c r="R42" s="941"/>
      <c r="S42" s="940"/>
      <c r="T42" s="940"/>
      <c r="U42" s="940"/>
      <c r="V42" s="940"/>
      <c r="W42" s="940"/>
      <c r="X42" s="940"/>
      <c r="Y42" s="940"/>
      <c r="Z42" s="941"/>
      <c r="AA42" s="940"/>
      <c r="AB42" s="940"/>
      <c r="AC42" s="940"/>
      <c r="AD42" s="940"/>
      <c r="AE42" s="940"/>
      <c r="AF42" s="940"/>
      <c r="AG42" s="940"/>
      <c r="AH42" s="940"/>
      <c r="AI42" s="940"/>
      <c r="AJ42" s="941"/>
      <c r="AK42" s="940"/>
      <c r="AL42" s="940"/>
      <c r="AM42" s="941"/>
      <c r="AN42" s="941"/>
    </row>
    <row r="43" spans="1:40" ht="15.75">
      <c r="B43" s="1194"/>
      <c r="C43" s="1817" t="s">
        <v>1068</v>
      </c>
      <c r="D43" s="1817"/>
      <c r="E43" s="1817"/>
      <c r="F43" s="1817"/>
      <c r="G43" s="1817"/>
      <c r="H43" s="1817"/>
      <c r="I43" s="1817"/>
      <c r="K43" s="1194"/>
      <c r="L43" s="1817" t="s">
        <v>1068</v>
      </c>
      <c r="M43" s="1817"/>
      <c r="N43" s="1817"/>
      <c r="O43" s="1817"/>
      <c r="P43" s="1817"/>
      <c r="Q43" s="1194"/>
      <c r="R43" s="1194"/>
      <c r="S43" s="940" t="s">
        <v>224</v>
      </c>
      <c r="T43" s="940"/>
      <c r="U43" s="940"/>
      <c r="V43" s="940"/>
      <c r="W43" s="940"/>
      <c r="X43" s="940"/>
      <c r="Y43" s="940"/>
      <c r="Z43" s="941"/>
      <c r="AA43" s="940"/>
      <c r="AB43" s="940"/>
      <c r="AC43" s="940"/>
      <c r="AD43" s="940"/>
      <c r="AE43" s="940"/>
      <c r="AF43" s="940"/>
      <c r="AG43" s="940"/>
      <c r="AH43" s="940"/>
      <c r="AI43" s="940"/>
      <c r="AJ43" s="941"/>
      <c r="AK43" s="940"/>
      <c r="AL43" s="940"/>
      <c r="AM43" s="941"/>
      <c r="AN43" s="941"/>
    </row>
    <row r="44" spans="1:40" ht="18.75" thickBot="1">
      <c r="B44" s="1208" t="s">
        <v>1202</v>
      </c>
      <c r="C44" s="1196" t="s">
        <v>1193</v>
      </c>
      <c r="D44" s="1196" t="s">
        <v>127</v>
      </c>
      <c r="E44" s="1196" t="s">
        <v>880</v>
      </c>
      <c r="F44" s="1196" t="s">
        <v>1194</v>
      </c>
      <c r="G44" s="1196" t="s">
        <v>882</v>
      </c>
      <c r="H44" s="1196" t="s">
        <v>883</v>
      </c>
      <c r="I44" s="1196" t="s">
        <v>884</v>
      </c>
      <c r="K44" s="1208" t="s">
        <v>1202</v>
      </c>
      <c r="L44" s="1209" t="s">
        <v>1188</v>
      </c>
      <c r="M44" s="1209" t="s">
        <v>1189</v>
      </c>
      <c r="N44" s="1209" t="s">
        <v>1190</v>
      </c>
      <c r="O44" s="1209" t="s">
        <v>1191</v>
      </c>
      <c r="P44" s="1209" t="s">
        <v>1192</v>
      </c>
      <c r="Q44" s="1209" t="s">
        <v>266</v>
      </c>
      <c r="R44" s="1209" t="s">
        <v>267</v>
      </c>
      <c r="S44" s="940" t="s">
        <v>1483</v>
      </c>
      <c r="T44" s="940"/>
      <c r="U44" s="940"/>
      <c r="V44" s="940"/>
      <c r="W44" s="940"/>
      <c r="X44" s="940"/>
      <c r="Y44" s="940"/>
      <c r="Z44" s="941"/>
      <c r="AA44" s="940"/>
      <c r="AB44" s="940"/>
      <c r="AC44" s="940"/>
      <c r="AD44" s="940"/>
      <c r="AE44" s="940"/>
      <c r="AF44" s="940"/>
      <c r="AG44" s="940"/>
      <c r="AH44" s="940"/>
      <c r="AI44" s="940"/>
      <c r="AJ44" s="941"/>
      <c r="AK44" s="940"/>
      <c r="AL44" s="940"/>
      <c r="AM44" s="941"/>
      <c r="AN44" s="941"/>
    </row>
    <row r="45" spans="1:40" ht="15.75" customHeight="1" thickTop="1">
      <c r="B45" s="785"/>
      <c r="C45" s="785">
        <f t="shared" ref="C45:I45" si="10">C25+C35</f>
        <v>4.1985615366041644</v>
      </c>
      <c r="D45" s="785">
        <f t="shared" si="10"/>
        <v>8.397123073208329E-4</v>
      </c>
      <c r="E45" s="785">
        <f t="shared" si="10"/>
        <v>4.1985615366041644</v>
      </c>
      <c r="F45" s="785">
        <f t="shared" si="10"/>
        <v>7.767338842717705E-3</v>
      </c>
      <c r="G45" s="785">
        <f t="shared" si="10"/>
        <v>4.4195384595833311E-2</v>
      </c>
      <c r="H45" s="785">
        <f t="shared" si="10"/>
        <v>4.4195384595833311E-2</v>
      </c>
      <c r="I45" s="785">
        <f t="shared" si="10"/>
        <v>0</v>
      </c>
      <c r="K45" s="785"/>
      <c r="L45" s="786">
        <f t="shared" ref="L45:N47" si="11">L25+L35</f>
        <v>981.13753802749966</v>
      </c>
      <c r="M45" s="785">
        <f t="shared" si="11"/>
        <v>6.8485446123541627E-2</v>
      </c>
      <c r="N45" s="785">
        <f t="shared" si="11"/>
        <v>11.711776917895827</v>
      </c>
      <c r="O45" s="786">
        <f>L45+D45*VOC_C_Ratio/CO2_C_Ratio+E45*CO_C_Ratio/CO2_C_Ratio</f>
        <v>987.73659008727543</v>
      </c>
      <c r="P45" s="786">
        <f>O45+N45*CH4_GWP+M45*N2O_GWP</f>
        <v>1300.9396759794865</v>
      </c>
      <c r="Q45" s="785">
        <f>H45*'BC_OC Ratios'!$C$6/100</f>
        <v>8.8390769191666625E-3</v>
      </c>
      <c r="R45" s="785">
        <f>I45*'BC_OC Ratios'!$C$7/100</f>
        <v>0</v>
      </c>
      <c r="S45" s="1616">
        <f>N45/O45/(CO2_MW/CH4_MW)</f>
        <v>4.3231501186213632E-3</v>
      </c>
      <c r="T45" s="940"/>
      <c r="U45" s="940"/>
      <c r="V45" s="940"/>
      <c r="W45" s="940"/>
      <c r="X45" s="940"/>
      <c r="Y45" s="940"/>
      <c r="Z45" s="941"/>
      <c r="AA45" s="940"/>
      <c r="AB45" s="940"/>
      <c r="AC45" s="940"/>
      <c r="AD45" s="940"/>
      <c r="AE45" s="940"/>
      <c r="AF45" s="940"/>
      <c r="AG45" s="940"/>
      <c r="AH45" s="940"/>
      <c r="AI45" s="940"/>
      <c r="AJ45" s="941"/>
      <c r="AK45" s="940"/>
      <c r="AL45" s="940"/>
      <c r="AM45" s="941"/>
      <c r="AN45" s="941"/>
    </row>
    <row r="46" spans="1:40" ht="15" customHeight="1">
      <c r="B46" s="785"/>
      <c r="C46" s="785">
        <f t="shared" ref="C46:I46" si="12">C26+C36</f>
        <v>2.0464936E-2</v>
      </c>
      <c r="D46" s="785">
        <f t="shared" si="12"/>
        <v>4.6706019199999998E-5</v>
      </c>
      <c r="E46" s="785">
        <f t="shared" si="12"/>
        <v>3.9966495999999997E-2</v>
      </c>
      <c r="F46" s="785">
        <f t="shared" si="12"/>
        <v>1.01232E-5</v>
      </c>
      <c r="G46" s="785">
        <f t="shared" si="12"/>
        <v>5.0562704E-3</v>
      </c>
      <c r="H46" s="785">
        <f t="shared" si="12"/>
        <v>3.6467039999999996E-4</v>
      </c>
      <c r="I46" s="785">
        <f t="shared" si="12"/>
        <v>0</v>
      </c>
      <c r="K46" s="785"/>
      <c r="L46" s="786">
        <f t="shared" si="11"/>
        <v>1.4692878620689656</v>
      </c>
      <c r="M46" s="785">
        <f t="shared" si="11"/>
        <v>1.0989600000000001E-4</v>
      </c>
      <c r="N46" s="785">
        <f t="shared" si="11"/>
        <v>1.5264592E-2</v>
      </c>
      <c r="O46" s="786">
        <f>L46+D46*VOC_C_Ratio/CO2_C_Ratio+E46*CO_C_Ratio/CO2_C_Ratio</f>
        <v>1.5322253932082355</v>
      </c>
      <c r="P46" s="786">
        <f>O46+N46*CH4_GWP+M46*N2O_GWP</f>
        <v>1.9465892012082355</v>
      </c>
      <c r="Q46" s="785">
        <f>H46*'BC_OC Ratios'!$C$6/100</f>
        <v>7.2934079999999995E-5</v>
      </c>
      <c r="R46" s="785">
        <f>I46*'BC_OC Ratios'!$C$7/100</f>
        <v>0</v>
      </c>
      <c r="S46" s="1616">
        <f>N46/O46/(CO2_MW/CH4_MW)</f>
        <v>3.6322958319043191E-3</v>
      </c>
      <c r="T46" s="940"/>
      <c r="U46" s="940"/>
      <c r="V46" s="940"/>
      <c r="W46" s="940"/>
      <c r="X46" s="940"/>
      <c r="Y46" s="940"/>
      <c r="Z46" s="941"/>
      <c r="AA46" s="940"/>
      <c r="AB46" s="940"/>
      <c r="AC46" s="940"/>
      <c r="AD46" s="940"/>
      <c r="AE46" s="940"/>
      <c r="AF46" s="940"/>
      <c r="AG46" s="940"/>
      <c r="AH46" s="940"/>
      <c r="AI46" s="940"/>
      <c r="AJ46" s="941"/>
      <c r="AK46" s="940"/>
      <c r="AL46" s="940"/>
      <c r="AM46" s="941"/>
      <c r="AN46" s="941"/>
    </row>
    <row r="47" spans="1:40" ht="15" customHeight="1">
      <c r="B47" s="785"/>
      <c r="C47" s="785">
        <f t="shared" ref="C47:I47" si="13">C27+C37</f>
        <v>1.9061999999999999E-2</v>
      </c>
      <c r="D47" s="785">
        <f t="shared" si="13"/>
        <v>5.1974040000000001E-4</v>
      </c>
      <c r="E47" s="785">
        <f t="shared" si="13"/>
        <v>9.7380000000000001E-3</v>
      </c>
      <c r="F47" s="785">
        <f t="shared" si="13"/>
        <v>1.6098700000000002E-5</v>
      </c>
      <c r="G47" s="785">
        <f t="shared" si="13"/>
        <v>8.2971600000000006E-2</v>
      </c>
      <c r="H47" s="785">
        <f t="shared" si="13"/>
        <v>8.6859999999999997E-4</v>
      </c>
      <c r="I47" s="785">
        <f t="shared" si="13"/>
        <v>0</v>
      </c>
      <c r="K47" s="785"/>
      <c r="L47" s="786">
        <f t="shared" si="11"/>
        <v>5.3684575862068966</v>
      </c>
      <c r="M47" s="785">
        <f t="shared" si="11"/>
        <v>5.2132000000000003E-4</v>
      </c>
      <c r="N47" s="785">
        <f t="shared" si="11"/>
        <v>2.4284360000000001E-2</v>
      </c>
      <c r="O47" s="786">
        <f>L47+D47*VOC_C_Ratio/CO2_C_Ratio+E47*CO_C_Ratio/CO2_C_Ratio</f>
        <v>5.3853755040520452</v>
      </c>
      <c r="P47" s="786">
        <f>O47+N47*CH4_GWP+M47*N2O_GWP</f>
        <v>6.1478378640520459</v>
      </c>
      <c r="Q47" s="785">
        <f>H47*'BC_OC Ratios'!$C$6/100</f>
        <v>1.7371999999999998E-4</v>
      </c>
      <c r="R47" s="785">
        <f>I47*'BC_OC Ratios'!$C$7/100</f>
        <v>0</v>
      </c>
      <c r="S47" s="1616">
        <f>N47/O47/(CO2_MW/CH4_MW)</f>
        <v>1.6441042006048148E-3</v>
      </c>
      <c r="T47" s="940"/>
      <c r="U47" s="940"/>
      <c r="V47" s="940"/>
      <c r="W47" s="940"/>
      <c r="X47" s="940"/>
      <c r="Y47" s="940"/>
      <c r="Z47" s="941"/>
      <c r="AA47" s="940"/>
      <c r="AB47" s="940"/>
      <c r="AC47" s="940"/>
      <c r="AD47" s="940"/>
      <c r="AE47" s="940"/>
      <c r="AF47" s="940"/>
      <c r="AG47" s="940"/>
      <c r="AH47" s="940"/>
      <c r="AI47" s="940"/>
      <c r="AJ47" s="941"/>
      <c r="AK47" s="940"/>
      <c r="AL47" s="940"/>
      <c r="AM47" s="941"/>
      <c r="AN47" s="941"/>
    </row>
    <row r="48" spans="1:40" ht="15.75" customHeight="1" thickBot="1">
      <c r="B48" s="1212" t="s">
        <v>1069</v>
      </c>
      <c r="C48" s="1212">
        <f t="shared" ref="C48:I48" si="14">SUM(C45:C47)</f>
        <v>4.2380884726041641</v>
      </c>
      <c r="D48" s="1212">
        <f t="shared" si="14"/>
        <v>1.4061587265208329E-3</v>
      </c>
      <c r="E48" s="1212">
        <f t="shared" si="14"/>
        <v>4.2482660326041639</v>
      </c>
      <c r="F48" s="1212">
        <f t="shared" si="14"/>
        <v>7.7935607427177048E-3</v>
      </c>
      <c r="G48" s="1212">
        <f t="shared" si="14"/>
        <v>0.13222325499583332</v>
      </c>
      <c r="H48" s="1212">
        <f t="shared" si="14"/>
        <v>4.5428654995833311E-2</v>
      </c>
      <c r="I48" s="1212">
        <f t="shared" si="14"/>
        <v>0</v>
      </c>
      <c r="K48" s="1212" t="s">
        <v>1069</v>
      </c>
      <c r="L48" s="1213">
        <f>SUM(L45:L47)</f>
        <v>987.97528347577554</v>
      </c>
      <c r="M48" s="1212">
        <f>SUM(M45:M47)</f>
        <v>6.9116662123541631E-2</v>
      </c>
      <c r="N48" s="1212">
        <f>SUM(N45:N47)</f>
        <v>11.751325869895826</v>
      </c>
      <c r="O48" s="1213">
        <f>L48+D48*VOC_C_Ratio/CO2_C_Ratio+E48*CO_C_Ratio/CO2_C_Ratio</f>
        <v>994.65419098453572</v>
      </c>
      <c r="P48" s="1213">
        <f>O48+N48*CH4_GWP+M48*N2O_GWP</f>
        <v>1309.0341030447469</v>
      </c>
      <c r="Q48" s="1212">
        <v>9.8586000900757528E-3</v>
      </c>
      <c r="R48" s="1212">
        <v>2.1097404192762105E-2</v>
      </c>
      <c r="S48" s="940"/>
      <c r="T48" s="940"/>
      <c r="U48" s="940"/>
      <c r="V48" s="940"/>
      <c r="W48" s="940"/>
      <c r="X48" s="940"/>
      <c r="Y48" s="940"/>
      <c r="Z48" s="941"/>
      <c r="AA48" s="940"/>
      <c r="AB48" s="940"/>
      <c r="AC48" s="940"/>
      <c r="AD48" s="940"/>
      <c r="AE48" s="940"/>
      <c r="AF48" s="940"/>
      <c r="AG48" s="940"/>
      <c r="AH48" s="940"/>
      <c r="AI48" s="940"/>
      <c r="AJ48" s="941"/>
      <c r="AK48" s="940"/>
      <c r="AL48" s="940"/>
      <c r="AM48" s="941"/>
      <c r="AN48" s="941"/>
    </row>
    <row r="49" spans="1:40" ht="15" customHeight="1">
      <c r="B49" s="785" t="s">
        <v>1168</v>
      </c>
      <c r="C49" s="786">
        <f>C48*1000000/SUM($D$60:$F$60)</f>
        <v>9351.9846271269289</v>
      </c>
      <c r="D49" s="786">
        <f t="shared" ref="D49:I49" si="15">D48*1000000/SUM($D$60:$F$60)</f>
        <v>3.102902376561937</v>
      </c>
      <c r="E49" s="786">
        <f t="shared" si="15"/>
        <v>9374.4429559883774</v>
      </c>
      <c r="F49" s="786">
        <f t="shared" si="15"/>
        <v>17.19767313203123</v>
      </c>
      <c r="G49" s="786">
        <f t="shared" si="15"/>
        <v>291.77065463900016</v>
      </c>
      <c r="H49" s="786">
        <f t="shared" si="15"/>
        <v>100.24521335464976</v>
      </c>
      <c r="I49" s="786">
        <f t="shared" si="15"/>
        <v>0</v>
      </c>
      <c r="K49" s="785" t="s">
        <v>1168</v>
      </c>
      <c r="L49" s="786">
        <f t="shared" ref="L49:Q49" si="16">L48*1000000/SUM($D$60:$F$60)</f>
        <v>2180117.2209530212</v>
      </c>
      <c r="M49" s="786">
        <f t="shared" si="16"/>
        <v>152.51639172612877</v>
      </c>
      <c r="N49" s="786">
        <f t="shared" si="16"/>
        <v>25931.081805872724</v>
      </c>
      <c r="O49" s="786">
        <f t="shared" si="16"/>
        <v>2194855.2427644315</v>
      </c>
      <c r="P49" s="786">
        <f t="shared" si="16"/>
        <v>2888582.1726456364</v>
      </c>
      <c r="Q49" s="786">
        <f t="shared" si="16"/>
        <v>21.754495472041985</v>
      </c>
      <c r="R49" s="786">
        <f t="shared" ref="R49" si="17">R48*1000000/SUM($D$60:$F$60)</f>
        <v>46.554620310169824</v>
      </c>
      <c r="S49" s="940"/>
      <c r="T49" s="940"/>
      <c r="U49" s="940"/>
      <c r="V49" s="940"/>
      <c r="W49" s="940"/>
      <c r="X49" s="940"/>
      <c r="Y49" s="940"/>
      <c r="Z49" s="941"/>
      <c r="AA49" s="940"/>
      <c r="AB49" s="940"/>
      <c r="AC49" s="940"/>
      <c r="AD49" s="940"/>
      <c r="AE49" s="940"/>
      <c r="AF49" s="940"/>
      <c r="AG49" s="940"/>
      <c r="AH49" s="940"/>
      <c r="AI49" s="940"/>
      <c r="AJ49" s="941"/>
      <c r="AK49" s="940"/>
      <c r="AL49" s="940"/>
      <c r="AM49" s="941"/>
      <c r="AN49" s="941"/>
    </row>
    <row r="50" spans="1:40" ht="15" customHeight="1">
      <c r="B50" s="1210" t="s">
        <v>1169</v>
      </c>
      <c r="C50" s="1211">
        <f>C49/(lbperkg*Fuel_Specs!$P$18)*1000</f>
        <v>250.00367482303636</v>
      </c>
      <c r="D50" s="1211">
        <f>D49/(lbperkg*Fuel_Specs!$P$18)*1000</f>
        <v>8.2948917014626797E-2</v>
      </c>
      <c r="E50" s="1211">
        <f>E49/(lbperkg*Fuel_Specs!$P$18)*1000</f>
        <v>250.6040462917255</v>
      </c>
      <c r="F50" s="1211">
        <f>F49/(lbperkg*Fuel_Specs!$P$18)*1000</f>
        <v>0.45974000737146964</v>
      </c>
      <c r="G50" s="1211">
        <f>G49/(lbperkg*Fuel_Specs!$P$18)*1000</f>
        <v>7.7998134913190569</v>
      </c>
      <c r="H50" s="1211">
        <f>H49/(lbperkg*Fuel_Specs!$P$18)*1000</f>
        <v>2.6798238792423126</v>
      </c>
      <c r="I50" s="1211">
        <f>I49/(lbperkg*Fuel_Specs!$P$18)*1000</f>
        <v>0</v>
      </c>
      <c r="K50" s="1210" t="s">
        <v>1169</v>
      </c>
      <c r="L50" s="1211">
        <f>L49/(lbperkg*Fuel_Specs!$P$18)*1000</f>
        <v>58280.390581724525</v>
      </c>
      <c r="M50" s="1211">
        <f>M49/(lbperkg*Fuel_Specs!$P$18)*1000</f>
        <v>4.0771729127612923</v>
      </c>
      <c r="N50" s="1211">
        <f>N49/(lbperkg*Fuel_Specs!$P$18)*1000</f>
        <v>693.20748505085953</v>
      </c>
      <c r="O50" s="1211">
        <f>L50+D50*VOC_C_Ratio/CO2_C_Ratio+E50*CO_C_Ratio/CO2_C_Ratio</f>
        <v>58674.377501012976</v>
      </c>
      <c r="P50" s="1211">
        <f>O50+N50*CH4_GWP+M50*N2O_GWP</f>
        <v>77219.56215528732</v>
      </c>
      <c r="Q50" s="1211">
        <f>Q49/(lbperkg*Fuel_Specs!$P$18)*1000</f>
        <v>0.58155611121897799</v>
      </c>
      <c r="R50" s="1211">
        <f>R49/(lbperkg*Fuel_Specs!$P$18)*1000</f>
        <v>1.2445300780086124</v>
      </c>
      <c r="S50" s="940"/>
      <c r="T50" s="940"/>
      <c r="U50" s="940"/>
      <c r="V50" s="940"/>
      <c r="W50" s="940"/>
      <c r="X50" s="940"/>
      <c r="Y50" s="940"/>
      <c r="Z50" s="941"/>
      <c r="AA50" s="940"/>
      <c r="AB50" s="940"/>
      <c r="AC50" s="940"/>
      <c r="AD50" s="940"/>
      <c r="AE50" s="940"/>
      <c r="AF50" s="940"/>
      <c r="AG50" s="940"/>
      <c r="AH50" s="940"/>
      <c r="AI50" s="940"/>
      <c r="AJ50" s="941"/>
      <c r="AK50" s="940"/>
      <c r="AL50" s="940"/>
      <c r="AM50" s="941"/>
      <c r="AN50" s="941"/>
    </row>
    <row r="51" spans="1:40">
      <c r="A51" s="940"/>
      <c r="B51" s="940"/>
      <c r="C51" s="940"/>
      <c r="D51" s="940"/>
      <c r="E51" s="940"/>
      <c r="F51" s="940"/>
      <c r="G51" s="940"/>
      <c r="H51" s="940"/>
      <c r="I51" s="940"/>
      <c r="J51" s="940"/>
      <c r="L51" s="940"/>
      <c r="M51" s="940"/>
      <c r="N51" s="940"/>
      <c r="O51" s="940"/>
      <c r="P51" s="941"/>
      <c r="Q51" s="940"/>
      <c r="R51" s="940"/>
      <c r="S51" s="940"/>
      <c r="T51" s="940"/>
      <c r="U51" s="940"/>
      <c r="V51" s="940"/>
      <c r="W51" s="940"/>
      <c r="X51" s="940"/>
      <c r="Y51" s="940"/>
      <c r="Z51" s="941"/>
      <c r="AA51" s="940"/>
      <c r="AB51" s="940"/>
      <c r="AC51" s="940"/>
      <c r="AD51" s="940"/>
      <c r="AE51" s="940"/>
      <c r="AF51" s="940"/>
      <c r="AG51" s="940"/>
      <c r="AH51" s="940"/>
      <c r="AI51" s="940"/>
      <c r="AJ51" s="941"/>
      <c r="AK51" s="940"/>
      <c r="AL51" s="940"/>
      <c r="AM51" s="941"/>
      <c r="AN51" s="941"/>
    </row>
    <row r="52" spans="1:40">
      <c r="I52" s="940"/>
      <c r="J52" s="940"/>
      <c r="K52" s="940"/>
      <c r="L52" s="940"/>
      <c r="M52" s="940"/>
      <c r="N52" s="940"/>
      <c r="O52" s="940"/>
      <c r="P52" s="941"/>
      <c r="Q52" s="940"/>
      <c r="R52" s="940"/>
      <c r="S52" s="940"/>
      <c r="T52" s="940"/>
      <c r="U52" s="940"/>
      <c r="V52" s="940"/>
      <c r="W52" s="940"/>
      <c r="X52" s="940"/>
      <c r="Y52" s="940"/>
      <c r="Z52" s="941"/>
      <c r="AA52" s="940"/>
      <c r="AB52" s="940"/>
      <c r="AC52" s="940"/>
      <c r="AD52" s="940"/>
      <c r="AE52" s="940"/>
      <c r="AF52" s="940"/>
      <c r="AG52" s="940"/>
      <c r="AH52" s="940"/>
      <c r="AI52" s="940"/>
      <c r="AJ52" s="941"/>
      <c r="AK52" s="940"/>
      <c r="AL52" s="940"/>
      <c r="AM52" s="941"/>
      <c r="AN52" s="941"/>
    </row>
    <row r="53" spans="1:40">
      <c r="I53" s="940"/>
      <c r="J53" s="940"/>
      <c r="K53" s="940"/>
      <c r="L53" s="940"/>
      <c r="M53" s="940"/>
      <c r="N53" s="940"/>
      <c r="O53" s="940"/>
      <c r="P53" s="941"/>
      <c r="Q53" s="940"/>
      <c r="R53" s="940"/>
      <c r="S53" s="940"/>
      <c r="T53" s="940"/>
      <c r="U53" s="940"/>
      <c r="V53" s="940"/>
      <c r="W53" s="940"/>
      <c r="X53" s="940"/>
      <c r="Y53" s="940"/>
      <c r="Z53" s="941"/>
      <c r="AA53" s="940"/>
      <c r="AB53" s="940"/>
      <c r="AC53" s="940"/>
      <c r="AD53" s="940"/>
      <c r="AE53" s="940"/>
      <c r="AF53" s="940"/>
      <c r="AG53" s="940"/>
      <c r="AH53" s="940"/>
      <c r="AI53" s="940"/>
      <c r="AJ53" s="941"/>
      <c r="AK53" s="940"/>
      <c r="AL53" s="940"/>
      <c r="AM53" s="941"/>
      <c r="AN53" s="941"/>
    </row>
    <row r="54" spans="1:40">
      <c r="I54" s="940"/>
      <c r="J54" s="940"/>
      <c r="K54" s="940"/>
      <c r="L54" s="940"/>
      <c r="M54" s="940"/>
      <c r="N54" s="940"/>
      <c r="O54" s="940"/>
      <c r="P54" s="941"/>
      <c r="Q54" s="940"/>
      <c r="R54" s="940"/>
      <c r="S54" s="940"/>
      <c r="T54" s="940"/>
      <c r="U54" s="940"/>
      <c r="V54" s="940"/>
      <c r="W54" s="940"/>
      <c r="X54" s="940"/>
      <c r="Y54" s="940"/>
      <c r="Z54" s="941"/>
      <c r="AA54" s="940"/>
      <c r="AB54" s="940"/>
      <c r="AC54" s="940"/>
      <c r="AD54" s="940"/>
      <c r="AE54" s="940"/>
      <c r="AF54" s="940"/>
      <c r="AG54" s="940"/>
      <c r="AH54" s="940"/>
      <c r="AI54" s="940"/>
      <c r="AJ54" s="941"/>
      <c r="AK54" s="940"/>
      <c r="AL54" s="940"/>
      <c r="AM54" s="941"/>
      <c r="AN54" s="941"/>
    </row>
    <row r="55" spans="1:40">
      <c r="I55" s="940"/>
      <c r="J55" s="940"/>
      <c r="K55" s="940"/>
      <c r="L55" s="940"/>
      <c r="M55" s="940"/>
      <c r="N55" s="940"/>
      <c r="O55" s="940"/>
      <c r="P55" s="941"/>
      <c r="Q55" s="940"/>
      <c r="R55" s="940"/>
      <c r="S55" s="940"/>
      <c r="T55" s="940"/>
      <c r="U55" s="940"/>
      <c r="V55" s="940"/>
      <c r="W55" s="940"/>
      <c r="X55" s="940"/>
      <c r="Y55" s="940"/>
      <c r="Z55" s="941"/>
      <c r="AA55" s="940"/>
      <c r="AB55" s="940"/>
      <c r="AC55" s="940"/>
      <c r="AD55" s="940"/>
      <c r="AE55" s="940"/>
      <c r="AF55" s="940"/>
      <c r="AG55" s="940"/>
      <c r="AH55" s="940"/>
      <c r="AI55" s="940"/>
      <c r="AJ55" s="941"/>
      <c r="AK55" s="940"/>
      <c r="AL55" s="940"/>
      <c r="AM55" s="941"/>
      <c r="AN55" s="941"/>
    </row>
    <row r="56" spans="1:40" ht="18.75">
      <c r="B56" s="678" t="s">
        <v>1002</v>
      </c>
    </row>
    <row r="57" spans="1:40" ht="20.25" customHeight="1" thickBot="1">
      <c r="B57" s="1811" t="s">
        <v>1003</v>
      </c>
      <c r="C57" s="1811"/>
      <c r="D57" s="747" t="s">
        <v>965</v>
      </c>
      <c r="E57" s="747" t="s">
        <v>966</v>
      </c>
      <c r="F57" s="747" t="s">
        <v>1004</v>
      </c>
      <c r="H57" s="681"/>
      <c r="I57" s="682"/>
    </row>
    <row r="58" spans="1:40" ht="30.75" customHeight="1" thickTop="1">
      <c r="B58" s="1812" t="s">
        <v>1165</v>
      </c>
      <c r="C58" s="1812"/>
      <c r="D58" s="683">
        <f>($C$18*D$18*$K$6+$C$19*D$19*$L$6+$C$20*D$20*$M$6)*'EF Marine Vessels spec. TOTE'!$C$110/1000000/'Direct End use'!$G$31</f>
        <v>62.025522134478393</v>
      </c>
      <c r="E58" s="683">
        <f>($C$18*E$18*$K$6+$C$19*E$19*$L$6+$C$20*E$20*$M$6)*'EF Marine Vessels spec. TOTE'!$C$111/1000000/'Direct End use'!$G$31</f>
        <v>0.83393527440301618</v>
      </c>
      <c r="F58" s="683">
        <f>($C$18*F$18*$K$6+$C$19*F$19*$L$6+$C$20*F$20*$M$6)*'EF Marine Vessels spec. TOTE'!$C$112/1000000</f>
        <v>0.79318265605362381</v>
      </c>
      <c r="H58" s="681"/>
      <c r="I58" s="682"/>
    </row>
    <row r="59" spans="1:40" ht="30.75" customHeight="1">
      <c r="B59" s="1812" t="s">
        <v>1166</v>
      </c>
      <c r="C59" s="1812"/>
      <c r="D59" s="683">
        <f>($C$18*D$18*(1-$K$6)+$C$19*D$19*(1-$L$6)+$C$20*D$20*(1-$M$6))*'EF Marine Vessels spec. TOTE'!$C$110/1000000/'Direct End use'!$G$31</f>
        <v>386.54356612641362</v>
      </c>
      <c r="E59" s="683">
        <f>($C$18*E$18*(1-$K$6)+$C$19*E$19*(1-$L$6)+$C$20*E$20*(1-$M$6))*'EF Marine Vessels spec. TOTE'!$C$111/1000000/'Direct End use'!$G$31</f>
        <v>2.1859147465437787</v>
      </c>
      <c r="F59" s="683">
        <f>($C$18*F$18*(1-$K$6)+$C$19*F$19*(1-$L$6)+$C$20*F$20*(1-$M$6))*'EF Marine Vessels spec. TOTE'!$C$112/1000000</f>
        <v>0.79318265605362381</v>
      </c>
      <c r="H59" s="681"/>
      <c r="I59" s="682"/>
    </row>
    <row r="60" spans="1:40" ht="30.75" customHeight="1">
      <c r="B60" s="1813" t="s">
        <v>1167</v>
      </c>
      <c r="C60" s="1813"/>
      <c r="D60" s="1214">
        <f>($C$18*D18+$C$19*D19+$C$20*D20)*'EF Marine Vessels spec. TOTE'!$C$110/1000000/'Direct End use'!$G$31</f>
        <v>448.5690882608921</v>
      </c>
      <c r="E60" s="1214">
        <f>($C$18*E18+$C$19*E19+$C$20*E20)*'EF Marine Vessels spec. TOTE'!$C$111/1000000/'Direct End use'!$G$31</f>
        <v>3.0198500209467944</v>
      </c>
      <c r="F60" s="1214">
        <f>($C$18*F18+$C$19*F19+$C$20*F20)*'EF Marine Vessels spec. TOTE'!$C$112/1000000</f>
        <v>1.5863653121072476</v>
      </c>
      <c r="H60" s="681"/>
      <c r="I60" s="682"/>
    </row>
    <row r="61" spans="1:40">
      <c r="D61" s="684"/>
      <c r="E61" s="684"/>
      <c r="F61" s="684"/>
      <c r="H61" s="681"/>
      <c r="I61" s="682"/>
    </row>
    <row r="63" spans="1:40" ht="18.75">
      <c r="B63" s="678"/>
    </row>
    <row r="64" spans="1:40" ht="15.75">
      <c r="B64" s="1215" t="s">
        <v>1006</v>
      </c>
      <c r="C64" s="1810" t="s">
        <v>1005</v>
      </c>
      <c r="D64" s="1810"/>
      <c r="E64" s="1810"/>
      <c r="F64" s="1810"/>
      <c r="G64" s="1810"/>
      <c r="H64" s="1810"/>
      <c r="I64" s="1810"/>
      <c r="J64" s="1810"/>
      <c r="K64" s="1810"/>
      <c r="L64" s="1810"/>
    </row>
    <row r="65" spans="2:12" ht="18.75" thickBot="1">
      <c r="B65" s="1216" t="s">
        <v>965</v>
      </c>
      <c r="C65" s="1209" t="s">
        <v>1193</v>
      </c>
      <c r="D65" s="1209" t="s">
        <v>127</v>
      </c>
      <c r="E65" s="1209" t="s">
        <v>880</v>
      </c>
      <c r="F65" s="1209" t="s">
        <v>1194</v>
      </c>
      <c r="G65" s="1209" t="s">
        <v>882</v>
      </c>
      <c r="H65" s="1209" t="s">
        <v>883</v>
      </c>
      <c r="I65" s="1209" t="s">
        <v>884</v>
      </c>
      <c r="J65" s="1209" t="s">
        <v>1188</v>
      </c>
      <c r="K65" s="1209" t="s">
        <v>1189</v>
      </c>
      <c r="L65" s="1209" t="s">
        <v>1190</v>
      </c>
    </row>
    <row r="66" spans="2:12" ht="15.75" thickTop="1">
      <c r="B66" s="677" t="s">
        <v>979</v>
      </c>
      <c r="C66" s="685">
        <f>VLOOKUP($G$12,'EF Marine Vessels spec. TOTE'!$D$8:$K$17,2,FALSE)*VLOOKUP($G$18,'EF Marine Vessels spec. TOTE'!$B$97:$L$105,2,FALSE)</f>
        <v>1.9</v>
      </c>
      <c r="D66" s="685">
        <f>VLOOKUP($G$12,'EF Marine Vessels spec. TOTE'!$D$8:$K$17,3,FALSE)*VLOOKUP($G$18,'EF Marine Vessels spec. TOTE'!$B$97:$L$105,3,FALSE)</f>
        <v>3.8000000000000002E-4</v>
      </c>
      <c r="E66" s="685">
        <f>VLOOKUP($G$12,'EF Marine Vessels spec. TOTE'!$D$8:$K$17,4,FALSE)*VLOOKUP($G$18,'EF Marine Vessels spec. TOTE'!$B$97:$L$105,4,FALSE)</f>
        <v>1.9</v>
      </c>
      <c r="F66" s="685">
        <f>VLOOKUP($G$12,'EF Marine Vessels spec. TOTE'!$D$8:$K$17,5,FALSE)*VLOOKUP($G$18,'EF Marine Vessels spec. TOTE'!$B$97:$L$105,5,FALSE)</f>
        <v>3.5150000000000003E-3</v>
      </c>
      <c r="G66" s="685">
        <f>VLOOKUP($G$12,'EF Marine Vessels spec. TOTE'!$D$8:$K$17,6,FALSE)*VLOOKUP($G$18,'EF Marine Vessels spec. TOTE'!$B$97:$L$105,6,FALSE)</f>
        <v>0.02</v>
      </c>
      <c r="H66" s="685">
        <f>VLOOKUP($G$12,'EF Marine Vessels spec. TOTE'!$D$8:$K$17,7,FALSE)*VLOOKUP($G$18,'EF Marine Vessels spec. TOTE'!$B$97:$L$105,7,FALSE)</f>
        <v>0.02</v>
      </c>
      <c r="I66" s="685">
        <f>VLOOKUP($G$12,'EF Marine Vessels spec. TOTE'!$D$8:$K$17,8,FALSE)*VLOOKUP($G$18,'EF Marine Vessels spec. TOTE'!$B$97:$L$105,8,FALSE)</f>
        <v>0</v>
      </c>
      <c r="J66" s="686">
        <f>VLOOKUP($G$12,'EF Marine Vessels spec. TOTE'!$P$8:$S$17,2,FALSE)*VLOOKUP($G$18,'EF Marine Vessels spec. TOTE'!$B$97:$L$105,9,FALSE)</f>
        <v>444</v>
      </c>
      <c r="K66" s="685">
        <f>VLOOKUP($G$12,'EF Marine Vessels spec. TOTE'!$P$8:$S$17,3,FALSE)*VLOOKUP($G$18,'EF Marine Vessels spec. TOTE'!$B$97:$L$105,10,FALSE)</f>
        <v>3.1E-2</v>
      </c>
      <c r="L66" s="685">
        <f>VLOOKUP($G$12,'EF Marine Vessels spec. TOTE'!$P$8:$S$17,4,FALSE)*VLOOKUP($G$18,'EF Marine Vessels spec. TOTE'!$B$97:$L$105,11,FALSE)</f>
        <v>5.3</v>
      </c>
    </row>
    <row r="67" spans="2:12">
      <c r="B67" s="677" t="s">
        <v>1369</v>
      </c>
      <c r="C67" s="685">
        <f>VLOOKUP($G$12,'EF Marine Vessels spec. TOTE'!$D$8:$K$17,2,FALSE)*VLOOKUP($G$19,'EF Marine Vessels spec. TOTE'!$B$97:$L$105,2,FALSE)*VLOOKUP(IF($D$19/$D$12&lt;0.02,0.02,$D$19/$D$12),'EF Marine Vessels spec. TOTE'!$B$27:$F$45,2,TRUE)</f>
        <v>8.7969999999999988</v>
      </c>
      <c r="D67" s="685">
        <f>VLOOKUP($G$12,'EF Marine Vessels spec. TOTE'!$D$8:$K$17,3,FALSE)*VLOOKUP($G$19,'EF Marine Vessels spec. TOTE'!$B$97:$L$105,3,FALSE)*VLOOKUP(IF($D$19/$D$12&lt;0.02,0.02,$D$19/$D$12),'EF Marine Vessels spec. TOTE'!$B$27:$F$45,3,TRUE)</f>
        <v>8.0484000000000007E-3</v>
      </c>
      <c r="E67" s="685">
        <f>VLOOKUP($G$12,'EF Marine Vessels spec. TOTE'!$D$8:$K$17,4,FALSE)*VLOOKUP($G$19,'EF Marine Vessels spec. TOTE'!$B$97:$L$105,4,FALSE)*VLOOKUP(IF($D$19/$D$12&lt;0.02,0.02,$D$19/$D$12),'EF Marine Vessels spec. TOTE'!$B$27:$F$45,4,TRUE)</f>
        <v>18.391999999999999</v>
      </c>
      <c r="F67" s="685">
        <f>VLOOKUP($G$12,'EF Marine Vessels spec. TOTE'!$D$8:$K$17,5,FALSE)*VLOOKUP($G$19,'EF Marine Vessels spec. TOTE'!$B$97:$L$105,5,FALSE)</f>
        <v>3.5150000000000003E-3</v>
      </c>
      <c r="G67" s="685">
        <f>VLOOKUP($G$12,'EF Marine Vessels spec. TOTE'!$D$8:$K$17,6,FALSE)*VLOOKUP($G$19,'EF Marine Vessels spec. TOTE'!$B$97:$L$105,6,FALSE)*VLOOKUP(IF($D$19/$D$12&lt;0.02,0.02,$D$19/$D$12),'EF Marine Vessels spec. TOTE'!$B$27:$F$45,5,TRUE)</f>
        <v>0.14580000000000001</v>
      </c>
      <c r="H67" s="685">
        <f>VLOOKUP($G$12,'EF Marine Vessels spec. TOTE'!$D$8:$K$17,7,FALSE)*VLOOKUP($G$19,'EF Marine Vessels spec. TOTE'!$B$97:$L$105,7,FALSE)*VLOOKUP(IF($D$19/$D$12&lt;0.02,0.02,$D$19/$D$12),'EF Marine Vessels spec. TOTE'!$B$27:$F$45,5,TRUE)</f>
        <v>0.14580000000000001</v>
      </c>
      <c r="I67" s="685">
        <f>VLOOKUP($G$12,'EF Marine Vessels spec. TOTE'!$D$8:$K$17,8,FALSE)*VLOOKUP($G$19,'EF Marine Vessels spec. TOTE'!$B$97:$L$105,8,FALSE)*VLOOKUP(IF($D$19/$D$12&lt;0.02,0.02,$D$19/$D$12),'EF Marine Vessels spec. TOTE'!$B$27:$F$45,5,TRUE)</f>
        <v>0</v>
      </c>
      <c r="J67" s="686">
        <f>VLOOKUP($G$12,'EF Marine Vessels spec. TOTE'!$P$8:$S$17,2,FALSE)*VLOOKUP($G$18,'EF Marine Vessels spec. TOTE'!$B$97:$L$105,9,FALSE)</f>
        <v>444</v>
      </c>
      <c r="K67" s="685">
        <f>VLOOKUP($G$12,'EF Marine Vessels spec. TOTE'!$P$8:$S$17,3,FALSE)*VLOOKUP($G$18,'EF Marine Vessels spec. TOTE'!$B$97:$L$105,10,FALSE)</f>
        <v>3.1E-2</v>
      </c>
      <c r="L67" s="685">
        <f>VLOOKUP($G$12,'EF Marine Vessels spec. TOTE'!$P$8:$S$17,4,FALSE)*VLOOKUP($G$18,'EF Marine Vessels spec. TOTE'!$B$97:$L$105,11,FALSE)</f>
        <v>5.3</v>
      </c>
    </row>
    <row r="68" spans="2:12">
      <c r="B68" s="677" t="s">
        <v>980</v>
      </c>
      <c r="C68" s="685">
        <f>VLOOKUP($G$12,'EF Marine Vessels spec. TOTE'!$D$8:$K$17,2,FALSE)*VLOOKUP($G$20,'EF Marine Vessels spec. TOTE'!$B$97:$L$105,2,FALSE)*VLOOKUP(IF($D$20/$D$12&lt;0.02,0.02,$D$20/$D$12),'EF Marine Vessels spec. TOTE'!$B$27:$F$45,2,TRUE)</f>
        <v>8.7969999999999988</v>
      </c>
      <c r="D68" s="685">
        <f>VLOOKUP($G$12,'EF Marine Vessels spec. TOTE'!$D$8:$K$17,3,FALSE)*VLOOKUP($G$20,'EF Marine Vessels spec. TOTE'!$B$97:$L$105,3,FALSE)*VLOOKUP(IF($D$20/$D$12&lt;0.02,0.02,$D$20/$D$12),'EF Marine Vessels spec. TOTE'!$B$27:$F$45,3,TRUE)</f>
        <v>8.0484000000000007E-3</v>
      </c>
      <c r="E68" s="685">
        <f>VLOOKUP($G$12,'EF Marine Vessels spec. TOTE'!$D$8:$K$17,4,FALSE)*VLOOKUP($G$20,'EF Marine Vessels spec. TOTE'!$B$97:$L$105,4,FALSE)*VLOOKUP(IF($D$20/$D$12&lt;0.02,0.02,$D$20/$D$12),'EF Marine Vessels spec. TOTE'!$B$27:$F$45,4,TRUE)</f>
        <v>18.391999999999999</v>
      </c>
      <c r="F68" s="685">
        <f>VLOOKUP($G$12,'EF Marine Vessels spec. TOTE'!$D$8:$K$17,5,FALSE)*VLOOKUP($G$20,'EF Marine Vessels spec. TOTE'!$B$97:$L$105,5,FALSE)</f>
        <v>3.5150000000000003E-3</v>
      </c>
      <c r="G68" s="685">
        <f>VLOOKUP($G$12,'EF Marine Vessels spec. TOTE'!$D$8:$K$17,6,FALSE)*VLOOKUP($G$20,'EF Marine Vessels spec. TOTE'!$B$97:$L$105,6,FALSE)*VLOOKUP(IF($D$20/$D$12&lt;0.02,0.02,$D$20/$D$12),'EF Marine Vessels spec. TOTE'!$B$27:$F$45,5,TRUE)</f>
        <v>0.14580000000000001</v>
      </c>
      <c r="H68" s="685">
        <f>VLOOKUP($G$12,'EF Marine Vessels spec. TOTE'!$D$8:$K$17,7,FALSE)*VLOOKUP($G$20,'EF Marine Vessels spec. TOTE'!$B$97:$L$105,7,FALSE)*VLOOKUP(IF($D$20/$D$12&lt;0.02,0.02,$D$20/$D$12),'EF Marine Vessels spec. TOTE'!$B$27:$F$45,5,TRUE)</f>
        <v>0.14580000000000001</v>
      </c>
      <c r="I68" s="685">
        <f>VLOOKUP($G$12,'EF Marine Vessels spec. TOTE'!$D$8:$K$17,8,FALSE)*VLOOKUP($G$20,'EF Marine Vessels spec. TOTE'!$B$97:$L$105,8,FALSE)*VLOOKUP(IF($D$20/$D$12&lt;0.02,0.02,$D$20/$D$12),'EF Marine Vessels spec. TOTE'!$B$27:$F$45,5,TRUE)</f>
        <v>0</v>
      </c>
      <c r="J68" s="686">
        <f>VLOOKUP($G$12,'EF Marine Vessels spec. TOTE'!$P$8:$S$17,2,FALSE)*VLOOKUP($G$18,'EF Marine Vessels spec. TOTE'!$B$97:$L$105,9,FALSE)</f>
        <v>444</v>
      </c>
      <c r="K68" s="685">
        <f>VLOOKUP($G$12,'EF Marine Vessels spec. TOTE'!$P$8:$S$17,3,FALSE)*VLOOKUP($G$18,'EF Marine Vessels spec. TOTE'!$B$97:$L$105,10,FALSE)</f>
        <v>3.1E-2</v>
      </c>
      <c r="L68" s="685">
        <f>VLOOKUP($G$12,'EF Marine Vessels spec. TOTE'!$P$8:$S$17,4,FALSE)*VLOOKUP($G$18,'EF Marine Vessels spec. TOTE'!$B$97:$L$105,11,FALSE)</f>
        <v>5.3</v>
      </c>
    </row>
    <row r="69" spans="2:12" ht="18">
      <c r="B69" s="1217" t="s">
        <v>966</v>
      </c>
      <c r="C69" s="1218" t="s">
        <v>1193</v>
      </c>
      <c r="D69" s="1218" t="s">
        <v>127</v>
      </c>
      <c r="E69" s="1218" t="s">
        <v>880</v>
      </c>
      <c r="F69" s="1218" t="s">
        <v>1194</v>
      </c>
      <c r="G69" s="1218" t="s">
        <v>882</v>
      </c>
      <c r="H69" s="1218" t="s">
        <v>883</v>
      </c>
      <c r="I69" s="1218" t="s">
        <v>884</v>
      </c>
      <c r="J69" s="1218" t="s">
        <v>1188</v>
      </c>
      <c r="K69" s="1218" t="s">
        <v>1189</v>
      </c>
      <c r="L69" s="1218" t="s">
        <v>1190</v>
      </c>
    </row>
    <row r="70" spans="2:12">
      <c r="B70" s="677" t="s">
        <v>979</v>
      </c>
      <c r="C70" s="685">
        <f>VLOOKUP($H$12,'EF Marine Vessels spec. TOTE'!$D$50:$K$54,2,FALSE)*VLOOKUP($G18,'EF Marine Vessels spec. TOTE'!$B$97:$L$105,2,FALSE)</f>
        <v>1.9</v>
      </c>
      <c r="D70" s="685">
        <f>VLOOKUP($H$12,'EF Marine Vessels spec. TOTE'!$D$50:$K$54,3,FALSE)*VLOOKUP($G18,'EF Marine Vessels spec. TOTE'!$B$97:$L$105,3,FALSE)</f>
        <v>3.8000000000000002E-4</v>
      </c>
      <c r="E70" s="685">
        <f>VLOOKUP($H$12,'EF Marine Vessels spec. TOTE'!$D$50:$K$54,4,FALSE)*VLOOKUP($G18,'EF Marine Vessels spec. TOTE'!$B$97:$L$105,4,FALSE)</f>
        <v>1.9</v>
      </c>
      <c r="F70" s="685">
        <f>VLOOKUP($H$12,'EF Marine Vessels spec. TOTE'!$D$50:$K$54,5,FALSE)*VLOOKUP($G18,'EF Marine Vessels spec. TOTE'!$B$97:$L$105,5,FALSE)</f>
        <v>3.5150000000000003E-3</v>
      </c>
      <c r="G70" s="685">
        <f>VLOOKUP($H$12,'EF Marine Vessels spec. TOTE'!$D$50:$K$54,6,FALSE)*VLOOKUP($G18,'EF Marine Vessels spec. TOTE'!$B$97:$L$105,6,FALSE)</f>
        <v>0.02</v>
      </c>
      <c r="H70" s="685">
        <f>VLOOKUP($H$12,'EF Marine Vessels spec. TOTE'!$D$50:$K$54,7,FALSE)*VLOOKUP($G18,'EF Marine Vessels spec. TOTE'!$B$97:$L$105,7,FALSE)</f>
        <v>0.02</v>
      </c>
      <c r="I70" s="685">
        <f>VLOOKUP($H$12,'EF Marine Vessels spec. TOTE'!$D$50:$K$54,8,FALSE)*VLOOKUP($G18,'EF Marine Vessels spec. TOTE'!$B$97:$L$105,8,FALSE)</f>
        <v>0</v>
      </c>
      <c r="J70" s="686">
        <f>VLOOKUP($H$12,'EF Marine Vessels spec. TOTE'!$P$50:$S$54,2,FALSE)*VLOOKUP($G18,'EF Marine Vessels spec. TOTE'!$B$97:$L$105,9,FALSE)</f>
        <v>444</v>
      </c>
      <c r="K70" s="685">
        <f>VLOOKUP($H$12,'EF Marine Vessels spec. TOTE'!$P$50:$S$54,3,FALSE)*VLOOKUP($G18,'EF Marine Vessels spec. TOTE'!$B$97:$L$105,10,FALSE)</f>
        <v>2.9000000000000001E-2</v>
      </c>
      <c r="L70" s="685">
        <f>VLOOKUP($H$12,'EF Marine Vessels spec. TOTE'!$P$50:$S$54,4,FALSE)*VLOOKUP($G18,'EF Marine Vessels spec. TOTE'!$B$97:$L$105,11,FALSE)</f>
        <v>5.3</v>
      </c>
    </row>
    <row r="71" spans="2:12">
      <c r="B71" s="677" t="s">
        <v>1369</v>
      </c>
      <c r="C71" s="685">
        <f>VLOOKUP($H$12,'EF Marine Vessels spec. TOTE'!$D$50:$K$54,2,FALSE)*VLOOKUP($G19,'EF Marine Vessels spec. TOTE'!$B$97:$L$105,2,FALSE)</f>
        <v>1.9</v>
      </c>
      <c r="D71" s="685">
        <f>VLOOKUP($H$12,'EF Marine Vessels spec. TOTE'!$D$50:$K$54,3,FALSE)*VLOOKUP($G19,'EF Marine Vessels spec. TOTE'!$B$97:$L$105,3,FALSE)</f>
        <v>3.8000000000000002E-4</v>
      </c>
      <c r="E71" s="685">
        <f>VLOOKUP($H$12,'EF Marine Vessels spec. TOTE'!$D$50:$K$54,4,FALSE)*VLOOKUP($G19,'EF Marine Vessels spec. TOTE'!$B$97:$L$105,4,FALSE)</f>
        <v>1.9</v>
      </c>
      <c r="F71" s="685">
        <f>VLOOKUP($H$12,'EF Marine Vessels spec. TOTE'!$D$50:$K$54,5,FALSE)*VLOOKUP($G19,'EF Marine Vessels spec. TOTE'!$B$97:$L$105,5,FALSE)</f>
        <v>3.5150000000000003E-3</v>
      </c>
      <c r="G71" s="685">
        <f>VLOOKUP($H$12,'EF Marine Vessels spec. TOTE'!$D$50:$K$54,6,FALSE)*VLOOKUP($G19,'EF Marine Vessels spec. TOTE'!$B$97:$L$105,6,FALSE)</f>
        <v>0.02</v>
      </c>
      <c r="H71" s="685">
        <f>VLOOKUP($H$12,'EF Marine Vessels spec. TOTE'!$D$50:$K$54,7,FALSE)*VLOOKUP($G19,'EF Marine Vessels spec. TOTE'!$B$97:$L$105,7,FALSE)</f>
        <v>0.02</v>
      </c>
      <c r="I71" s="685">
        <f>VLOOKUP($H$12,'EF Marine Vessels spec. TOTE'!$D$50:$K$54,8,FALSE)*VLOOKUP($G19,'EF Marine Vessels spec. TOTE'!$B$97:$L$105,8,FALSE)</f>
        <v>0</v>
      </c>
      <c r="J71" s="686">
        <f>VLOOKUP($H$12,'EF Marine Vessels spec. TOTE'!$P$50:$S$54,2,FALSE)*VLOOKUP($G19,'EF Marine Vessels spec. TOTE'!$B$97:$L$105,9,FALSE)</f>
        <v>444</v>
      </c>
      <c r="K71" s="685">
        <f>VLOOKUP($H$12,'EF Marine Vessels spec. TOTE'!$P$50:$S$54,3,FALSE)*VLOOKUP($G19,'EF Marine Vessels spec. TOTE'!$B$97:$L$105,10,FALSE)</f>
        <v>2.9000000000000001E-2</v>
      </c>
      <c r="L71" s="685">
        <f>VLOOKUP($H$12,'EF Marine Vessels spec. TOTE'!$P$50:$S$54,4,FALSE)*VLOOKUP($G19,'EF Marine Vessels spec. TOTE'!$B$97:$L$105,11,FALSE)</f>
        <v>5.3</v>
      </c>
    </row>
    <row r="72" spans="2:12">
      <c r="B72" s="677" t="s">
        <v>980</v>
      </c>
      <c r="C72" s="685">
        <f>VLOOKUP($H$12,'EF Marine Vessels spec. TOTE'!$D$50:$K$54,2,FALSE)*VLOOKUP($G20,'EF Marine Vessels spec. TOTE'!$B$97:$L$105,2,FALSE)</f>
        <v>1.9</v>
      </c>
      <c r="D72" s="685">
        <f>VLOOKUP($H$12,'EF Marine Vessels spec. TOTE'!$D$50:$K$54,3,FALSE)*VLOOKUP($G20,'EF Marine Vessels spec. TOTE'!$B$97:$L$105,3,FALSE)</f>
        <v>3.8000000000000002E-4</v>
      </c>
      <c r="E72" s="685">
        <f>VLOOKUP($H$12,'EF Marine Vessels spec. TOTE'!$D$50:$K$54,4,FALSE)*VLOOKUP($G20,'EF Marine Vessels spec. TOTE'!$B$97:$L$105,4,FALSE)</f>
        <v>1.9</v>
      </c>
      <c r="F72" s="685">
        <f>VLOOKUP($H$12,'EF Marine Vessels spec. TOTE'!$D$50:$K$54,5,FALSE)*VLOOKUP($G20,'EF Marine Vessels spec. TOTE'!$B$97:$L$105,5,FALSE)</f>
        <v>3.5150000000000003E-3</v>
      </c>
      <c r="G72" s="685">
        <f>VLOOKUP($H$12,'EF Marine Vessels spec. TOTE'!$D$50:$K$54,6,FALSE)*VLOOKUP($G20,'EF Marine Vessels spec. TOTE'!$B$97:$L$105,6,FALSE)</f>
        <v>0.02</v>
      </c>
      <c r="H72" s="685">
        <f>VLOOKUP($H$12,'EF Marine Vessels spec. TOTE'!$D$50:$K$54,7,FALSE)*VLOOKUP($G20,'EF Marine Vessels spec. TOTE'!$B$97:$L$105,7,FALSE)</f>
        <v>0.02</v>
      </c>
      <c r="I72" s="685">
        <f>VLOOKUP($H$12,'EF Marine Vessels spec. TOTE'!$D$50:$K$54,8,FALSE)*VLOOKUP($G20,'EF Marine Vessels spec. TOTE'!$B$97:$L$105,8,FALSE)</f>
        <v>0</v>
      </c>
      <c r="J72" s="686">
        <f>VLOOKUP($H$12,'EF Marine Vessels spec. TOTE'!$P$50:$S$54,2,FALSE)*VLOOKUP($G20,'EF Marine Vessels spec. TOTE'!$B$97:$L$105,9,FALSE)</f>
        <v>444</v>
      </c>
      <c r="K72" s="685">
        <f>VLOOKUP($H$12,'EF Marine Vessels spec. TOTE'!$P$50:$S$54,3,FALSE)*VLOOKUP($G20,'EF Marine Vessels spec. TOTE'!$B$97:$L$105,10,FALSE)</f>
        <v>2.9000000000000001E-2</v>
      </c>
      <c r="L72" s="685">
        <f>VLOOKUP($H$12,'EF Marine Vessels spec. TOTE'!$P$50:$S$54,4,FALSE)*VLOOKUP($G20,'EF Marine Vessels spec. TOTE'!$B$97:$L$105,11,FALSE)</f>
        <v>5.3</v>
      </c>
    </row>
    <row r="73" spans="2:12" ht="18">
      <c r="B73" s="1217" t="s">
        <v>1004</v>
      </c>
      <c r="C73" s="1218" t="s">
        <v>1193</v>
      </c>
      <c r="D73" s="1218" t="s">
        <v>127</v>
      </c>
      <c r="E73" s="1218" t="s">
        <v>880</v>
      </c>
      <c r="F73" s="1218" t="s">
        <v>1194</v>
      </c>
      <c r="G73" s="1218" t="s">
        <v>882</v>
      </c>
      <c r="H73" s="1218" t="s">
        <v>883</v>
      </c>
      <c r="I73" s="1218" t="s">
        <v>884</v>
      </c>
      <c r="J73" s="1218" t="s">
        <v>1188</v>
      </c>
      <c r="K73" s="1218" t="s">
        <v>1189</v>
      </c>
      <c r="L73" s="1218" t="s">
        <v>1190</v>
      </c>
    </row>
    <row r="74" spans="2:12">
      <c r="B74" s="677" t="s">
        <v>979</v>
      </c>
      <c r="C74" s="685">
        <f>VLOOKUP($I$12,'EF Marine Vessels spec. TOTE'!$D$59:$K$60,2,FALSE)*VLOOKUP($G18,'EF Marine Vessels spec. TOTE'!$B$97:$L$105,2,FALSE)</f>
        <v>2</v>
      </c>
      <c r="D74" s="685">
        <f>VLOOKUP($I$12,'EF Marine Vessels spec. TOTE'!$D$59:$K$60,3,FALSE)*VLOOKUP($G18,'EF Marine Vessels spec. TOTE'!$B$97:$L$105,3,FALSE)</f>
        <v>0.1</v>
      </c>
      <c r="E74" s="685">
        <f>VLOOKUP($I$12,'EF Marine Vessels spec. TOTE'!$D$59:$K$60,4,FALSE)*VLOOKUP($G18,'EF Marine Vessels spec. TOTE'!$B$97:$L$105,4,FALSE)</f>
        <v>0.2</v>
      </c>
      <c r="F74" s="685">
        <f>VLOOKUP($I$12,'EF Marine Vessels spec. TOTE'!$D$59:$K$60,5,FALSE)*VLOOKUP($G18,'EF Marine Vessels spec. TOTE'!$B$97:$L$105,5,FALSE)</f>
        <v>0</v>
      </c>
      <c r="G74" s="685">
        <f>VLOOKUP($I$12,'EF Marine Vessels spec. TOTE'!$D$59:$K$60,6,FALSE)*VLOOKUP($G18,'EF Marine Vessels spec. TOTE'!$B$97:$L$105,6,FALSE)</f>
        <v>16</v>
      </c>
      <c r="H74" s="685">
        <f>VLOOKUP($I$12,'EF Marine Vessels spec. TOTE'!$D$59:$K$60,7,FALSE)*VLOOKUP($G18,'EF Marine Vessels spec. TOTE'!$B$97:$L$105,7,FALSE)</f>
        <v>0.15</v>
      </c>
      <c r="I74" s="685">
        <f>VLOOKUP($I$12,'EF Marine Vessels spec. TOTE'!$D$59:$K$60,8,FALSE)*VLOOKUP($G18,'EF Marine Vessels spec. TOTE'!$B$97:$L$105,8,FALSE)</f>
        <v>0</v>
      </c>
      <c r="J74" s="686">
        <f>VLOOKUP($I$12,'EF Marine Vessels spec. TOTE'!$P$59:$S$60,2,FALSE)*VLOOKUP($G18,'EF Marine Vessels spec. TOTE'!$B$97:$L$105,9,FALSE)</f>
        <v>643.81034482758616</v>
      </c>
      <c r="K74" s="685">
        <f>VLOOKUP($I$12,'EF Marine Vessels spec. TOTE'!$P$59:$S$60,3,FALSE)*VLOOKUP($G18,'EF Marine Vessels spec. TOTE'!$B$97:$L$105,10,FALSE)</f>
        <v>7.4999999999999997E-2</v>
      </c>
      <c r="L74" s="685">
        <f>VLOOKUP($I$12,'EF Marine Vessels spec. TOTE'!$P$59:$S$60,4,FALSE)*VLOOKUP($G18,'EF Marine Vessels spec. TOTE'!$B$97:$L$105,11,FALSE)</f>
        <v>2E-3</v>
      </c>
    </row>
    <row r="75" spans="2:12">
      <c r="B75" s="677" t="s">
        <v>1369</v>
      </c>
      <c r="C75" s="685">
        <f>VLOOKUP($I$12,'EF Marine Vessels spec. TOTE'!$D$59:$K$60,2,FALSE)*VLOOKUP($G19,'EF Marine Vessels spec. TOTE'!$B$97:$L$105,2,FALSE)</f>
        <v>2</v>
      </c>
      <c r="D75" s="685">
        <f>VLOOKUP($I$12,'EF Marine Vessels spec. TOTE'!$D$59:$K$60,3,FALSE)*VLOOKUP($G19,'EF Marine Vessels spec. TOTE'!$B$97:$L$105,3,FALSE)</f>
        <v>0.1</v>
      </c>
      <c r="E75" s="685">
        <f>VLOOKUP($I$12,'EF Marine Vessels spec. TOTE'!$D$59:$K$60,4,FALSE)*VLOOKUP($G19,'EF Marine Vessels spec. TOTE'!$B$97:$L$105,4,FALSE)</f>
        <v>0.2</v>
      </c>
      <c r="F75" s="685">
        <f>VLOOKUP($I$12,'EF Marine Vessels spec. TOTE'!$D$59:$K$60,5,FALSE)*VLOOKUP($G19,'EF Marine Vessels spec. TOTE'!$B$97:$L$105,5,FALSE)</f>
        <v>0</v>
      </c>
      <c r="G75" s="685">
        <f>VLOOKUP($I$12,'EF Marine Vessels spec. TOTE'!$D$59:$K$60,6,FALSE)*VLOOKUP($G19,'EF Marine Vessels spec. TOTE'!$B$97:$L$105,6,FALSE)</f>
        <v>16</v>
      </c>
      <c r="H75" s="685">
        <f>VLOOKUP($I$12,'EF Marine Vessels spec. TOTE'!$D$59:$K$60,7,FALSE)*VLOOKUP($G19,'EF Marine Vessels spec. TOTE'!$B$97:$L$105,7,FALSE)</f>
        <v>0.15</v>
      </c>
      <c r="I75" s="685">
        <f>VLOOKUP($I$12,'EF Marine Vessels spec. TOTE'!$D$59:$K$60,8,FALSE)*VLOOKUP($G19,'EF Marine Vessels spec. TOTE'!$B$97:$L$105,8,FALSE)</f>
        <v>0</v>
      </c>
      <c r="J75" s="686">
        <f>VLOOKUP($I$12,'EF Marine Vessels spec. TOTE'!$P$59:$S$60,2,FALSE)*VLOOKUP($G19,'EF Marine Vessels spec. TOTE'!$B$97:$L$105,9,FALSE)</f>
        <v>643.81034482758616</v>
      </c>
      <c r="K75" s="685">
        <f>VLOOKUP($I$12,'EF Marine Vessels spec. TOTE'!$P$59:$S$60,3,FALSE)*VLOOKUP($G19,'EF Marine Vessels spec. TOTE'!$B$97:$L$105,10,FALSE)</f>
        <v>7.4999999999999997E-2</v>
      </c>
      <c r="L75" s="685">
        <f>VLOOKUP($I$12,'EF Marine Vessels spec. TOTE'!$P$59:$S$60,4,FALSE)*VLOOKUP($G19,'EF Marine Vessels spec. TOTE'!$B$97:$L$105,11,FALSE)</f>
        <v>2E-3</v>
      </c>
    </row>
    <row r="76" spans="2:12">
      <c r="B76" s="1201" t="s">
        <v>980</v>
      </c>
      <c r="C76" s="1219">
        <f>VLOOKUP($I$12,'EF Marine Vessels spec. TOTE'!$D$59:$K$60,2,FALSE)*VLOOKUP($G20,'EF Marine Vessels spec. TOTE'!$B$97:$L$105,2,FALSE)</f>
        <v>2</v>
      </c>
      <c r="D76" s="1219">
        <f>VLOOKUP($I$12,'EF Marine Vessels spec. TOTE'!$D$59:$K$60,3,FALSE)*VLOOKUP($G20,'EF Marine Vessels spec. TOTE'!$B$97:$L$105,3,FALSE)</f>
        <v>0.1</v>
      </c>
      <c r="E76" s="1219">
        <f>VLOOKUP($I$12,'EF Marine Vessels spec. TOTE'!$D$59:$K$60,4,FALSE)*VLOOKUP($G20,'EF Marine Vessels spec. TOTE'!$B$97:$L$105,4,FALSE)</f>
        <v>0.2</v>
      </c>
      <c r="F76" s="1219">
        <f>VLOOKUP($I$12,'EF Marine Vessels spec. TOTE'!$D$59:$K$60,5,FALSE)*VLOOKUP($G20,'EF Marine Vessels spec. TOTE'!$B$97:$L$105,5,FALSE)</f>
        <v>0</v>
      </c>
      <c r="G76" s="1219">
        <f>VLOOKUP($I$12,'EF Marine Vessels spec. TOTE'!$D$59:$K$60,6,FALSE)*VLOOKUP($G20,'EF Marine Vessels spec. TOTE'!$B$97:$L$105,6,FALSE)</f>
        <v>16</v>
      </c>
      <c r="H76" s="1219">
        <f>VLOOKUP($I$12,'EF Marine Vessels spec. TOTE'!$D$59:$K$60,7,FALSE)*VLOOKUP($G20,'EF Marine Vessels spec. TOTE'!$B$97:$L$105,7,FALSE)</f>
        <v>0.15</v>
      </c>
      <c r="I76" s="1219">
        <f>VLOOKUP($I$12,'EF Marine Vessels spec. TOTE'!$D$59:$K$60,8,FALSE)*VLOOKUP($G20,'EF Marine Vessels spec. TOTE'!$B$97:$L$105,8,FALSE)</f>
        <v>0</v>
      </c>
      <c r="J76" s="1220">
        <f>VLOOKUP($I$12,'EF Marine Vessels spec. TOTE'!$P$59:$S$60,2,FALSE)*VLOOKUP($G20,'EF Marine Vessels spec. TOTE'!$B$97:$L$105,9,FALSE)</f>
        <v>643.81034482758616</v>
      </c>
      <c r="K76" s="1219">
        <f>VLOOKUP($I$12,'EF Marine Vessels spec. TOTE'!$P$59:$S$60,3,FALSE)*VLOOKUP($G20,'EF Marine Vessels spec. TOTE'!$B$97:$L$105,10,FALSE)</f>
        <v>7.4999999999999997E-2</v>
      </c>
      <c r="L76" s="1219">
        <f>VLOOKUP($I$12,'EF Marine Vessels spec. TOTE'!$P$59:$S$60,4,FALSE)*VLOOKUP($G20,'EF Marine Vessels spec. TOTE'!$B$97:$L$105,11,FALSE)</f>
        <v>2E-3</v>
      </c>
    </row>
    <row r="79" spans="2:12" ht="15.75">
      <c r="B79" s="1215" t="s">
        <v>1007</v>
      </c>
      <c r="C79" s="1810" t="s">
        <v>1005</v>
      </c>
      <c r="D79" s="1810"/>
      <c r="E79" s="1810"/>
      <c r="F79" s="1810"/>
      <c r="G79" s="1810"/>
      <c r="H79" s="1810"/>
      <c r="I79" s="1810"/>
      <c r="J79" s="1810"/>
      <c r="K79" s="1810"/>
      <c r="L79" s="1810"/>
    </row>
    <row r="80" spans="2:12" ht="18.75" thickBot="1">
      <c r="B80" s="1216" t="s">
        <v>965</v>
      </c>
      <c r="C80" s="1209" t="s">
        <v>1193</v>
      </c>
      <c r="D80" s="1209" t="s">
        <v>127</v>
      </c>
      <c r="E80" s="1209" t="s">
        <v>880</v>
      </c>
      <c r="F80" s="1209" t="s">
        <v>1194</v>
      </c>
      <c r="G80" s="1209" t="s">
        <v>882</v>
      </c>
      <c r="H80" s="1209" t="s">
        <v>883</v>
      </c>
      <c r="I80" s="1209" t="s">
        <v>884</v>
      </c>
      <c r="J80" s="1209" t="s">
        <v>1188</v>
      </c>
      <c r="K80" s="1209" t="s">
        <v>1189</v>
      </c>
      <c r="L80" s="1209" t="s">
        <v>1190</v>
      </c>
    </row>
    <row r="81" spans="2:12" ht="15.75" thickTop="1">
      <c r="B81" s="677" t="s">
        <v>979</v>
      </c>
      <c r="C81" s="685">
        <f>VLOOKUP($G$12,'EF Marine Vessels spec. TOTE'!$D$8:$K$17,2,FALSE)*VLOOKUP($H$18,'EF Marine Vessels spec. TOTE'!$B$97:$L$105,2,FALSE)</f>
        <v>1.9</v>
      </c>
      <c r="D81" s="685">
        <f>VLOOKUP($G$12,'EF Marine Vessels spec. TOTE'!$D$8:$K$17,3,FALSE)*VLOOKUP($H$18,'EF Marine Vessels spec. TOTE'!$B$97:$L$105,3,FALSE)</f>
        <v>3.8000000000000002E-4</v>
      </c>
      <c r="E81" s="685">
        <f>VLOOKUP($G$12,'EF Marine Vessels spec. TOTE'!$D$8:$K$17,4,FALSE)*VLOOKUP($H$18,'EF Marine Vessels spec. TOTE'!$B$97:$L$105,4,FALSE)</f>
        <v>1.9</v>
      </c>
      <c r="F81" s="685">
        <f>VLOOKUP($G$12,'EF Marine Vessels spec. TOTE'!$D$8:$K$17,5,FALSE)*VLOOKUP($H$18,'EF Marine Vessels spec. TOTE'!$B$97:$L$105,5,FALSE)</f>
        <v>3.5150000000000003E-3</v>
      </c>
      <c r="G81" s="685">
        <f>VLOOKUP($G$12,'EF Marine Vessels spec. TOTE'!$D$8:$K$17,6,FALSE)*VLOOKUP($H$18,'EF Marine Vessels spec. TOTE'!$B$97:$L$105,6,FALSE)</f>
        <v>0.02</v>
      </c>
      <c r="H81" s="685">
        <f>VLOOKUP($G$12,'EF Marine Vessels spec. TOTE'!$D$8:$K$17,7,FALSE)*VLOOKUP($H$18,'EF Marine Vessels spec. TOTE'!$B$97:$L$105,7,FALSE)</f>
        <v>0.02</v>
      </c>
      <c r="I81" s="685">
        <f>VLOOKUP($G$12,'EF Marine Vessels spec. TOTE'!$D$8:$K$17,8,FALSE)*VLOOKUP($H$18,'EF Marine Vessels spec. TOTE'!$B$97:$L$105,8,FALSE)</f>
        <v>0</v>
      </c>
      <c r="J81" s="686">
        <f>VLOOKUP($G$12,'EF Marine Vessels spec. TOTE'!$P$8:$S$17,2,FALSE)*VLOOKUP($G$18,'EF Marine Vessels spec. TOTE'!$B$97:$L$105,9,FALSE)</f>
        <v>444</v>
      </c>
      <c r="K81" s="685">
        <f>VLOOKUP($G$12,'EF Marine Vessels spec. TOTE'!$P$8:$S$17,3,FALSE)*VLOOKUP($G$18,'EF Marine Vessels spec. TOTE'!$B$97:$L$105,10,FALSE)</f>
        <v>3.1E-2</v>
      </c>
      <c r="L81" s="685">
        <f>VLOOKUP($G$12,'EF Marine Vessels spec. TOTE'!$P$8:$S$17,4,FALSE)*VLOOKUP($G$18,'EF Marine Vessels spec. TOTE'!$B$97:$L$105,11,FALSE)</f>
        <v>5.3</v>
      </c>
    </row>
    <row r="82" spans="2:12">
      <c r="B82" s="677" t="s">
        <v>1369</v>
      </c>
      <c r="C82" s="685">
        <f>VLOOKUP($G$12,'EF Marine Vessels spec. TOTE'!$D$8:$K$17,2,FALSE)*VLOOKUP($H$19,'EF Marine Vessels spec. TOTE'!$B$97:$L$105,2,FALSE)*VLOOKUP(IF($D$19/$D$12&lt;0.02,0.02,$D$19/$D$12),'EF Marine Vessels spec. TOTE'!$B$27:$F$45,2,TRUE)</f>
        <v>8.7969999999999988</v>
      </c>
      <c r="D82" s="685">
        <f>VLOOKUP($G$12,'EF Marine Vessels spec. TOTE'!$D$8:$K$17,3,FALSE)*VLOOKUP($H$19,'EF Marine Vessels spec. TOTE'!$B$97:$L$105,3,FALSE)*VLOOKUP(IF($D$19/$D$12&lt;0.02,0.02,$D$19/$D$12),'EF Marine Vessels spec. TOTE'!$B$27:$F$45,3,TRUE)</f>
        <v>8.0484000000000007E-3</v>
      </c>
      <c r="E82" s="685">
        <f>VLOOKUP($G$12,'EF Marine Vessels spec. TOTE'!$D$8:$K$17,4,FALSE)*VLOOKUP($H$19,'EF Marine Vessels spec. TOTE'!$B$97:$L$105,4,FALSE)*VLOOKUP(IF($D$19/$D$12&lt;0.02,0.02,$D$19/$D$12),'EF Marine Vessels spec. TOTE'!$B$27:$F$45,4,TRUE)</f>
        <v>18.391999999999999</v>
      </c>
      <c r="F82" s="685">
        <f>VLOOKUP($G$12,'EF Marine Vessels spec. TOTE'!$D$8:$K$17,5,FALSE)*VLOOKUP($H$19,'EF Marine Vessels spec. TOTE'!$B$97:$L$105,5,FALSE)</f>
        <v>3.5150000000000003E-3</v>
      </c>
      <c r="G82" s="685">
        <f>VLOOKUP($G$12,'EF Marine Vessels spec. TOTE'!$D$8:$K$17,6,FALSE)*VLOOKUP($H$19,'EF Marine Vessels spec. TOTE'!$B$97:$L$105,6,FALSE)*VLOOKUP(IF($D$19/$D$12&lt;0.02,0.02,$D$19/$D$12),'EF Marine Vessels spec. TOTE'!$B$27:$F$45,5,TRUE)</f>
        <v>0.14580000000000001</v>
      </c>
      <c r="H82" s="685">
        <f>VLOOKUP($G$12,'EF Marine Vessels spec. TOTE'!$D$8:$K$17,7,FALSE)*VLOOKUP($H$19,'EF Marine Vessels spec. TOTE'!$B$97:$L$105,7,FALSE)*VLOOKUP(IF($D$19/$D$12&lt;0.02,0.02,$D$19/$D$12),'EF Marine Vessels spec. TOTE'!$B$27:$F$45,5,TRUE)</f>
        <v>0.14580000000000001</v>
      </c>
      <c r="I82" s="685">
        <f>VLOOKUP($G$12,'EF Marine Vessels spec. TOTE'!$D$8:$K$17,8,FALSE)*VLOOKUP($H$19,'EF Marine Vessels spec. TOTE'!$B$97:$L$105,8,FALSE)*VLOOKUP(IF($D$19/$D$12&lt;0.02,0.02,$D$19/$D$12),'EF Marine Vessels spec. TOTE'!$B$27:$F$45,5,TRUE)</f>
        <v>0</v>
      </c>
      <c r="J82" s="686">
        <f>VLOOKUP($G$12,'EF Marine Vessels spec. TOTE'!$P$8:$S$17,2,FALSE)*VLOOKUP($G$18,'EF Marine Vessels spec. TOTE'!$B$97:$L$105,9,FALSE)</f>
        <v>444</v>
      </c>
      <c r="K82" s="685">
        <f>VLOOKUP($G$12,'EF Marine Vessels spec. TOTE'!$P$8:$S$17,3,FALSE)*VLOOKUP($G$18,'EF Marine Vessels spec. TOTE'!$B$97:$L$105,10,FALSE)</f>
        <v>3.1E-2</v>
      </c>
      <c r="L82" s="685">
        <f>VLOOKUP($G$12,'EF Marine Vessels spec. TOTE'!$P$8:$S$17,4,FALSE)*VLOOKUP($G$18,'EF Marine Vessels spec. TOTE'!$B$97:$L$105,11,FALSE)</f>
        <v>5.3</v>
      </c>
    </row>
    <row r="83" spans="2:12">
      <c r="B83" s="677" t="s">
        <v>980</v>
      </c>
      <c r="C83" s="685">
        <f>VLOOKUP($G$12,'EF Marine Vessels spec. TOTE'!$D$8:$K$17,2,FALSE)*VLOOKUP($H$20,'EF Marine Vessels spec. TOTE'!$B$97:$L$105,2,FALSE)*VLOOKUP(IF($D$20/$D$12&lt;0.02,0.02,$D$20/$D$12),'EF Marine Vessels spec. TOTE'!$B$27:$F$45,2,TRUE)</f>
        <v>8.7969999999999988</v>
      </c>
      <c r="D83" s="685">
        <f>VLOOKUP($G$12,'EF Marine Vessels spec. TOTE'!$D$8:$K$17,3,FALSE)*VLOOKUP($H$20,'EF Marine Vessels spec. TOTE'!$B$97:$L$105,3,FALSE)*VLOOKUP(IF($D$20/$D$12&lt;0.02,0.02,$D$20/$D$12),'EF Marine Vessels spec. TOTE'!$B$27:$F$45,3,TRUE)</f>
        <v>8.0484000000000007E-3</v>
      </c>
      <c r="E83" s="685">
        <f>VLOOKUP($G$12,'EF Marine Vessels spec. TOTE'!$D$8:$K$17,4,FALSE)*VLOOKUP($H$20,'EF Marine Vessels spec. TOTE'!$B$97:$L$105,4,FALSE)*VLOOKUP(IF($D$20/$D$12&lt;0.02,0.02,$D$20/$D$12),'EF Marine Vessels spec. TOTE'!$B$27:$F$45,4,TRUE)</f>
        <v>18.391999999999999</v>
      </c>
      <c r="F83" s="685">
        <f>VLOOKUP($G$12,'EF Marine Vessels spec. TOTE'!$D$8:$K$17,5,FALSE)*VLOOKUP($H$20,'EF Marine Vessels spec. TOTE'!$B$97:$L$105,5,FALSE)</f>
        <v>3.5150000000000003E-3</v>
      </c>
      <c r="G83" s="685">
        <f>VLOOKUP($G$12,'EF Marine Vessels spec. TOTE'!$D$8:$K$17,6,FALSE)*VLOOKUP($H$20,'EF Marine Vessels spec. TOTE'!$B$97:$L$105,6,FALSE)*VLOOKUP(IF($D$20/$D$12&lt;0.02,0.02,$D$20/$D$12),'EF Marine Vessels spec. TOTE'!$B$27:$F$45,5,TRUE)</f>
        <v>0.14580000000000001</v>
      </c>
      <c r="H83" s="685">
        <f>VLOOKUP($G$12,'EF Marine Vessels spec. TOTE'!$D$8:$K$17,7,FALSE)*VLOOKUP($H$20,'EF Marine Vessels spec. TOTE'!$B$97:$L$105,7,FALSE)*VLOOKUP(IF($D$20/$D$12&lt;0.02,0.02,$D$20/$D$12),'EF Marine Vessels spec. TOTE'!$B$27:$F$45,5,TRUE)</f>
        <v>0.14580000000000001</v>
      </c>
      <c r="I83" s="685">
        <f>VLOOKUP($G$12,'EF Marine Vessels spec. TOTE'!$D$8:$K$17,8,FALSE)*VLOOKUP($H$20,'EF Marine Vessels spec. TOTE'!$B$97:$L$105,8,FALSE)*VLOOKUP(IF($D$20/$D$12&lt;0.02,0.02,$D$20/$D$12),'EF Marine Vessels spec. TOTE'!$B$27:$F$45,5,TRUE)</f>
        <v>0</v>
      </c>
      <c r="J83" s="686">
        <f>VLOOKUP($G$12,'EF Marine Vessels spec. TOTE'!$P$8:$S$17,2,FALSE)*VLOOKUP($G$18,'EF Marine Vessels spec. TOTE'!$B$97:$L$105,9,FALSE)</f>
        <v>444</v>
      </c>
      <c r="K83" s="685">
        <f>VLOOKUP($G$12,'EF Marine Vessels spec. TOTE'!$P$8:$S$17,3,FALSE)*VLOOKUP($G$18,'EF Marine Vessels spec. TOTE'!$B$97:$L$105,10,FALSE)</f>
        <v>3.1E-2</v>
      </c>
      <c r="L83" s="685">
        <f>VLOOKUP($G$12,'EF Marine Vessels spec. TOTE'!$P$8:$S$17,4,FALSE)*VLOOKUP($G$18,'EF Marine Vessels spec. TOTE'!$B$97:$L$105,11,FALSE)</f>
        <v>5.3</v>
      </c>
    </row>
    <row r="84" spans="2:12" ht="18">
      <c r="B84" s="1217" t="s">
        <v>966</v>
      </c>
      <c r="C84" s="1218" t="s">
        <v>1193</v>
      </c>
      <c r="D84" s="1218" t="s">
        <v>127</v>
      </c>
      <c r="E84" s="1218" t="s">
        <v>880</v>
      </c>
      <c r="F84" s="1218" t="s">
        <v>1194</v>
      </c>
      <c r="G84" s="1218" t="s">
        <v>882</v>
      </c>
      <c r="H84" s="1218" t="s">
        <v>883</v>
      </c>
      <c r="I84" s="1218" t="s">
        <v>884</v>
      </c>
      <c r="J84" s="1218" t="s">
        <v>1188</v>
      </c>
      <c r="K84" s="1218" t="s">
        <v>1189</v>
      </c>
      <c r="L84" s="1218" t="s">
        <v>1190</v>
      </c>
    </row>
    <row r="85" spans="2:12">
      <c r="B85" s="677" t="s">
        <v>979</v>
      </c>
      <c r="C85" s="685">
        <f>VLOOKUP($H$12,'EF Marine Vessels spec. TOTE'!$D$50:$K$54,2,FALSE)*VLOOKUP($H18,'EF Marine Vessels spec. TOTE'!$B$97:$L$105,2,FALSE)</f>
        <v>1.9</v>
      </c>
      <c r="D85" s="685">
        <f>VLOOKUP($H$12,'EF Marine Vessels spec. TOTE'!$D$50:$K$54,3,FALSE)*VLOOKUP($H18,'EF Marine Vessels spec. TOTE'!$B$97:$L$105,3,FALSE)</f>
        <v>3.8000000000000002E-4</v>
      </c>
      <c r="E85" s="685">
        <f>VLOOKUP($H$12,'EF Marine Vessels spec. TOTE'!$D$50:$K$54,4,FALSE)*VLOOKUP($H18,'EF Marine Vessels spec. TOTE'!$B$97:$L$105,4,FALSE)</f>
        <v>1.9</v>
      </c>
      <c r="F85" s="685">
        <f>VLOOKUP($H$12,'EF Marine Vessels spec. TOTE'!$D$50:$K$54,5,FALSE)*VLOOKUP($H18,'EF Marine Vessels spec. TOTE'!$B$97:$L$105,5,FALSE)</f>
        <v>3.5150000000000003E-3</v>
      </c>
      <c r="G85" s="685">
        <f>VLOOKUP($H$12,'EF Marine Vessels spec. TOTE'!$D$50:$K$54,6,FALSE)*VLOOKUP($H18,'EF Marine Vessels spec. TOTE'!$B$97:$L$105,6,FALSE)</f>
        <v>0.02</v>
      </c>
      <c r="H85" s="685">
        <f>VLOOKUP($H$12,'EF Marine Vessels spec. TOTE'!$D$50:$K$54,7,FALSE)*VLOOKUP($H18,'EF Marine Vessels spec. TOTE'!$B$97:$L$105,7,FALSE)</f>
        <v>0.02</v>
      </c>
      <c r="I85" s="685">
        <f>VLOOKUP($H$12,'EF Marine Vessels spec. TOTE'!$D$50:$K$54,8,FALSE)*VLOOKUP($H18,'EF Marine Vessels spec. TOTE'!$B$97:$L$105,8,FALSE)</f>
        <v>0</v>
      </c>
      <c r="J85" s="686">
        <f>VLOOKUP($H$12,'EF Marine Vessels spec. TOTE'!$P$50:$S$54,2,FALSE)*VLOOKUP($H18,'EF Marine Vessels spec. TOTE'!$B$97:$L$105,9,FALSE)</f>
        <v>444</v>
      </c>
      <c r="K85" s="685">
        <f>VLOOKUP($H$12,'EF Marine Vessels spec. TOTE'!$P$50:$S$54,3,FALSE)*VLOOKUP($H18,'EF Marine Vessels spec. TOTE'!$B$97:$L$105,10,FALSE)</f>
        <v>2.9000000000000001E-2</v>
      </c>
      <c r="L85" s="685">
        <f>VLOOKUP($H$12,'EF Marine Vessels spec. TOTE'!$P$50:$S$54,4,FALSE)*VLOOKUP($H18,'EF Marine Vessels spec. TOTE'!$B$97:$L$105,11,FALSE)</f>
        <v>5.3</v>
      </c>
    </row>
    <row r="86" spans="2:12">
      <c r="B86" s="677" t="s">
        <v>1369</v>
      </c>
      <c r="C86" s="685">
        <f>VLOOKUP($H$12,'EF Marine Vessels spec. TOTE'!$D$50:$K$54,2,FALSE)*VLOOKUP($H19,'EF Marine Vessels spec. TOTE'!$B$97:$L$105,2,FALSE)</f>
        <v>1.9</v>
      </c>
      <c r="D86" s="685">
        <f>VLOOKUP($H$12,'EF Marine Vessels spec. TOTE'!$D$50:$K$54,3,FALSE)*VLOOKUP($H19,'EF Marine Vessels spec. TOTE'!$B$97:$L$105,3,FALSE)</f>
        <v>3.8000000000000002E-4</v>
      </c>
      <c r="E86" s="685">
        <f>VLOOKUP($H$12,'EF Marine Vessels spec. TOTE'!$D$50:$K$54,4,FALSE)*VLOOKUP($H19,'EF Marine Vessels spec. TOTE'!$B$97:$L$105,4,FALSE)</f>
        <v>1.9</v>
      </c>
      <c r="F86" s="685">
        <f>VLOOKUP($H$12,'EF Marine Vessels spec. TOTE'!$D$50:$K$54,5,FALSE)*VLOOKUP($H19,'EF Marine Vessels spec. TOTE'!$B$97:$L$105,5,FALSE)</f>
        <v>3.5150000000000003E-3</v>
      </c>
      <c r="G86" s="685">
        <f>VLOOKUP($H$12,'EF Marine Vessels spec. TOTE'!$D$50:$K$54,6,FALSE)*VLOOKUP($H19,'EF Marine Vessels spec. TOTE'!$B$97:$L$105,6,FALSE)</f>
        <v>0.02</v>
      </c>
      <c r="H86" s="685">
        <f>VLOOKUP($H$12,'EF Marine Vessels spec. TOTE'!$D$50:$K$54,7,FALSE)*VLOOKUP($H19,'EF Marine Vessels spec. TOTE'!$B$97:$L$105,7,FALSE)</f>
        <v>0.02</v>
      </c>
      <c r="I86" s="685">
        <f>VLOOKUP($H$12,'EF Marine Vessels spec. TOTE'!$D$50:$K$54,8,FALSE)*VLOOKUP($H19,'EF Marine Vessels spec. TOTE'!$B$97:$L$105,8,FALSE)</f>
        <v>0</v>
      </c>
      <c r="J86" s="686">
        <f>VLOOKUP($H$12,'EF Marine Vessels spec. TOTE'!$P$50:$S$54,2,FALSE)*VLOOKUP($H19,'EF Marine Vessels spec. TOTE'!$B$97:$L$105,9,FALSE)</f>
        <v>444</v>
      </c>
      <c r="K86" s="685">
        <f>VLOOKUP($H$12,'EF Marine Vessels spec. TOTE'!$P$50:$S$54,3,FALSE)*VLOOKUP($H19,'EF Marine Vessels spec. TOTE'!$B$97:$L$105,10,FALSE)</f>
        <v>2.9000000000000001E-2</v>
      </c>
      <c r="L86" s="685">
        <f>VLOOKUP($H$12,'EF Marine Vessels spec. TOTE'!$P$50:$S$54,4,FALSE)*VLOOKUP($H19,'EF Marine Vessels spec. TOTE'!$B$97:$L$105,11,FALSE)</f>
        <v>5.3</v>
      </c>
    </row>
    <row r="87" spans="2:12">
      <c r="B87" s="677" t="s">
        <v>980</v>
      </c>
      <c r="C87" s="685">
        <f>VLOOKUP($H$12,'EF Marine Vessels spec. TOTE'!$D$50:$K$54,2,FALSE)*VLOOKUP($H20,'EF Marine Vessels spec. TOTE'!$B$97:$L$105,2,FALSE)</f>
        <v>1.9</v>
      </c>
      <c r="D87" s="685">
        <f>VLOOKUP($H$12,'EF Marine Vessels spec. TOTE'!$D$50:$K$54,3,FALSE)*VLOOKUP($H20,'EF Marine Vessels spec. TOTE'!$B$97:$L$105,3,FALSE)</f>
        <v>3.8000000000000002E-4</v>
      </c>
      <c r="E87" s="685">
        <f>VLOOKUP($H$12,'EF Marine Vessels spec. TOTE'!$D$50:$K$54,4,FALSE)*VLOOKUP($H20,'EF Marine Vessels spec. TOTE'!$B$97:$L$105,4,FALSE)</f>
        <v>1.9</v>
      </c>
      <c r="F87" s="685">
        <f>VLOOKUP($H$12,'EF Marine Vessels spec. TOTE'!$D$50:$K$54,5,FALSE)*VLOOKUP($H20,'EF Marine Vessels spec. TOTE'!$B$97:$L$105,5,FALSE)</f>
        <v>3.5150000000000003E-3</v>
      </c>
      <c r="G87" s="685">
        <f>VLOOKUP($H$12,'EF Marine Vessels spec. TOTE'!$D$50:$K$54,6,FALSE)*VLOOKUP($H20,'EF Marine Vessels spec. TOTE'!$B$97:$L$105,6,FALSE)</f>
        <v>0.02</v>
      </c>
      <c r="H87" s="685">
        <f>VLOOKUP($H$12,'EF Marine Vessels spec. TOTE'!$D$50:$K$54,7,FALSE)*VLOOKUP($H20,'EF Marine Vessels spec. TOTE'!$B$97:$L$105,7,FALSE)</f>
        <v>0.02</v>
      </c>
      <c r="I87" s="685">
        <f>VLOOKUP($H$12,'EF Marine Vessels spec. TOTE'!$D$50:$K$54,8,FALSE)*VLOOKUP($H20,'EF Marine Vessels spec. TOTE'!$B$97:$L$105,8,FALSE)</f>
        <v>0</v>
      </c>
      <c r="J87" s="686">
        <f>VLOOKUP($H$12,'EF Marine Vessels spec. TOTE'!$P$50:$S$54,2,FALSE)*VLOOKUP($H20,'EF Marine Vessels spec. TOTE'!$B$97:$L$105,9,FALSE)</f>
        <v>444</v>
      </c>
      <c r="K87" s="685">
        <f>VLOOKUP($H$12,'EF Marine Vessels spec. TOTE'!$P$50:$S$54,3,FALSE)*VLOOKUP($H20,'EF Marine Vessels spec. TOTE'!$B$97:$L$105,10,FALSE)</f>
        <v>2.9000000000000001E-2</v>
      </c>
      <c r="L87" s="685">
        <f>VLOOKUP($H$12,'EF Marine Vessels spec. TOTE'!$P$50:$S$54,4,FALSE)*VLOOKUP($H20,'EF Marine Vessels spec. TOTE'!$B$97:$L$105,11,FALSE)</f>
        <v>5.3</v>
      </c>
    </row>
    <row r="88" spans="2:12" ht="18">
      <c r="B88" s="1217" t="s">
        <v>1004</v>
      </c>
      <c r="C88" s="1218" t="s">
        <v>1193</v>
      </c>
      <c r="D88" s="1218" t="s">
        <v>127</v>
      </c>
      <c r="E88" s="1218" t="s">
        <v>880</v>
      </c>
      <c r="F88" s="1218" t="s">
        <v>1194</v>
      </c>
      <c r="G88" s="1218" t="s">
        <v>882</v>
      </c>
      <c r="H88" s="1218" t="s">
        <v>883</v>
      </c>
      <c r="I88" s="1218" t="s">
        <v>884</v>
      </c>
      <c r="J88" s="1218" t="s">
        <v>1188</v>
      </c>
      <c r="K88" s="1218" t="s">
        <v>1189</v>
      </c>
      <c r="L88" s="1218" t="s">
        <v>1190</v>
      </c>
    </row>
    <row r="89" spans="2:12">
      <c r="B89" s="677" t="s">
        <v>979</v>
      </c>
      <c r="C89" s="685">
        <f>VLOOKUP($I$12,'EF Marine Vessels spec. TOTE'!$D$59:$K$60,2,FALSE)*VLOOKUP($H18,'EF Marine Vessels spec. TOTE'!$B$97:$L$105,2,FALSE)</f>
        <v>2</v>
      </c>
      <c r="D89" s="685">
        <f>VLOOKUP($I$12,'EF Marine Vessels spec. TOTE'!$D$59:$K$60,3,FALSE)*VLOOKUP($H18,'EF Marine Vessels spec. TOTE'!$B$97:$L$105,3,FALSE)</f>
        <v>0.1</v>
      </c>
      <c r="E89" s="685">
        <f>VLOOKUP($I$12,'EF Marine Vessels spec. TOTE'!$D$59:$K$60,4,FALSE)*VLOOKUP($H18,'EF Marine Vessels spec. TOTE'!$B$97:$L$105,4,FALSE)</f>
        <v>0.2</v>
      </c>
      <c r="F89" s="685">
        <f>VLOOKUP($I$12,'EF Marine Vessels spec. TOTE'!$D$59:$K$60,5,FALSE)*VLOOKUP($H18,'EF Marine Vessels spec. TOTE'!$B$97:$L$105,5,FALSE)</f>
        <v>0</v>
      </c>
      <c r="G89" s="685">
        <f>VLOOKUP($I$12,'EF Marine Vessels spec. TOTE'!$D$59:$K$60,6,FALSE)*VLOOKUP($H18,'EF Marine Vessels spec. TOTE'!$B$97:$L$105,6,FALSE)</f>
        <v>16</v>
      </c>
      <c r="H89" s="685">
        <f>VLOOKUP($I$12,'EF Marine Vessels spec. TOTE'!$D$59:$K$60,7,FALSE)*VLOOKUP($H18,'EF Marine Vessels spec. TOTE'!$B$97:$L$105,7,FALSE)</f>
        <v>0.15</v>
      </c>
      <c r="I89" s="685">
        <f>VLOOKUP($I$12,'EF Marine Vessels spec. TOTE'!$D$59:$K$60,8,FALSE)*VLOOKUP($H18,'EF Marine Vessels spec. TOTE'!$B$97:$L$105,8,FALSE)</f>
        <v>0</v>
      </c>
      <c r="J89" s="686">
        <f>VLOOKUP($I$12,'EF Marine Vessels spec. TOTE'!$P$59:$S$60,2,FALSE)*VLOOKUP($H18,'EF Marine Vessels spec. TOTE'!$B$97:$L$105,9,FALSE)</f>
        <v>643.81034482758616</v>
      </c>
      <c r="K89" s="685">
        <f>VLOOKUP($I$12,'EF Marine Vessels spec. TOTE'!$P$59:$S$60,3,FALSE)*VLOOKUP($H18,'EF Marine Vessels spec. TOTE'!$B$97:$L$105,10,FALSE)</f>
        <v>7.4999999999999997E-2</v>
      </c>
      <c r="L89" s="685">
        <f>VLOOKUP($I$12,'EF Marine Vessels spec. TOTE'!$P$59:$S$60,4,FALSE)*VLOOKUP($H18,'EF Marine Vessels spec. TOTE'!$B$97:$L$105,11,FALSE)</f>
        <v>2E-3</v>
      </c>
    </row>
    <row r="90" spans="2:12">
      <c r="B90" s="677" t="s">
        <v>1369</v>
      </c>
      <c r="C90" s="685">
        <f>VLOOKUP($I$12,'EF Marine Vessels spec. TOTE'!$D$59:$K$60,2,FALSE)*VLOOKUP($H19,'EF Marine Vessels spec. TOTE'!$B$97:$L$105,2,FALSE)</f>
        <v>2</v>
      </c>
      <c r="D90" s="685">
        <f>VLOOKUP($I$12,'EF Marine Vessels spec. TOTE'!$D$59:$K$60,3,FALSE)*VLOOKUP($H19,'EF Marine Vessels spec. TOTE'!$B$97:$L$105,3,FALSE)</f>
        <v>0.1</v>
      </c>
      <c r="E90" s="685">
        <f>VLOOKUP($I$12,'EF Marine Vessels spec. TOTE'!$D$59:$K$60,4,FALSE)*VLOOKUP($H19,'EF Marine Vessels spec. TOTE'!$B$97:$L$105,4,FALSE)</f>
        <v>0.2</v>
      </c>
      <c r="F90" s="685">
        <f>VLOOKUP($I$12,'EF Marine Vessels spec. TOTE'!$D$59:$K$60,5,FALSE)*VLOOKUP($H19,'EF Marine Vessels spec. TOTE'!$B$97:$L$105,5,FALSE)</f>
        <v>0</v>
      </c>
      <c r="G90" s="685">
        <f>VLOOKUP($I$12,'EF Marine Vessels spec. TOTE'!$D$59:$K$60,6,FALSE)*VLOOKUP($H19,'EF Marine Vessels spec. TOTE'!$B$97:$L$105,6,FALSE)</f>
        <v>16</v>
      </c>
      <c r="H90" s="685">
        <f>VLOOKUP($I$12,'EF Marine Vessels spec. TOTE'!$D$59:$K$60,7,FALSE)*VLOOKUP($H19,'EF Marine Vessels spec. TOTE'!$B$97:$L$105,7,FALSE)</f>
        <v>0.15</v>
      </c>
      <c r="I90" s="685">
        <f>VLOOKUP($I$12,'EF Marine Vessels spec. TOTE'!$D$59:$K$60,8,FALSE)*VLOOKUP($H19,'EF Marine Vessels spec. TOTE'!$B$97:$L$105,8,FALSE)</f>
        <v>0</v>
      </c>
      <c r="J90" s="686">
        <f>VLOOKUP($I$12,'EF Marine Vessels spec. TOTE'!$P$59:$S$60,2,FALSE)*VLOOKUP($H19,'EF Marine Vessels spec. TOTE'!$B$97:$L$105,9,FALSE)</f>
        <v>643.81034482758616</v>
      </c>
      <c r="K90" s="685">
        <f>VLOOKUP($I$12,'EF Marine Vessels spec. TOTE'!$P$59:$S$60,3,FALSE)*VLOOKUP($H19,'EF Marine Vessels spec. TOTE'!$B$97:$L$105,10,FALSE)</f>
        <v>7.4999999999999997E-2</v>
      </c>
      <c r="L90" s="685">
        <f>VLOOKUP($I$12,'EF Marine Vessels spec. TOTE'!$P$59:$S$60,4,FALSE)*VLOOKUP($H19,'EF Marine Vessels spec. TOTE'!$B$97:$L$105,11,FALSE)</f>
        <v>2E-3</v>
      </c>
    </row>
    <row r="91" spans="2:12">
      <c r="B91" s="1201" t="s">
        <v>980</v>
      </c>
      <c r="C91" s="1219">
        <f>VLOOKUP($I$12,'EF Marine Vessels spec. TOTE'!$D$59:$K$60,2,FALSE)*VLOOKUP($H20,'EF Marine Vessels spec. TOTE'!$B$97:$L$105,2,FALSE)</f>
        <v>2</v>
      </c>
      <c r="D91" s="1219">
        <f>VLOOKUP($I$12,'EF Marine Vessels spec. TOTE'!$D$59:$K$60,3,FALSE)*VLOOKUP($H20,'EF Marine Vessels spec. TOTE'!$B$97:$L$105,3,FALSE)</f>
        <v>0.1</v>
      </c>
      <c r="E91" s="1219">
        <f>VLOOKUP($I$12,'EF Marine Vessels spec. TOTE'!$D$59:$K$60,4,FALSE)*VLOOKUP($H20,'EF Marine Vessels spec. TOTE'!$B$97:$L$105,4,FALSE)</f>
        <v>0.2</v>
      </c>
      <c r="F91" s="1219">
        <f>VLOOKUP($I$12,'EF Marine Vessels spec. TOTE'!$D$59:$K$60,5,FALSE)*VLOOKUP($H20,'EF Marine Vessels spec. TOTE'!$B$97:$L$105,5,FALSE)</f>
        <v>0</v>
      </c>
      <c r="G91" s="1219">
        <f>VLOOKUP($I$12,'EF Marine Vessels spec. TOTE'!$D$59:$K$60,6,FALSE)*VLOOKUP($H20,'EF Marine Vessels spec. TOTE'!$B$97:$L$105,6,FALSE)</f>
        <v>16</v>
      </c>
      <c r="H91" s="1219">
        <f>VLOOKUP($I$12,'EF Marine Vessels spec. TOTE'!$D$59:$K$60,7,FALSE)*VLOOKUP($H20,'EF Marine Vessels spec. TOTE'!$B$97:$L$105,7,FALSE)</f>
        <v>0.15</v>
      </c>
      <c r="I91" s="1219">
        <f>VLOOKUP($I$12,'EF Marine Vessels spec. TOTE'!$D$59:$K$60,8,FALSE)*VLOOKUP($H20,'EF Marine Vessels spec. TOTE'!$B$97:$L$105,8,FALSE)</f>
        <v>0</v>
      </c>
      <c r="J91" s="1220">
        <f>VLOOKUP($I$12,'EF Marine Vessels spec. TOTE'!$P$59:$S$60,2,FALSE)*VLOOKUP($H20,'EF Marine Vessels spec. TOTE'!$B$97:$L$105,9,FALSE)</f>
        <v>643.81034482758616</v>
      </c>
      <c r="K91" s="1219">
        <f>VLOOKUP($I$12,'EF Marine Vessels spec. TOTE'!$P$59:$S$60,3,FALSE)*VLOOKUP($H20,'EF Marine Vessels spec. TOTE'!$B$97:$L$105,10,FALSE)</f>
        <v>7.4999999999999997E-2</v>
      </c>
      <c r="L91" s="1219">
        <f>VLOOKUP($I$12,'EF Marine Vessels spec. TOTE'!$P$59:$S$60,4,FALSE)*VLOOKUP($H20,'EF Marine Vessels spec. TOTE'!$B$97:$L$105,11,FALSE)</f>
        <v>2E-3</v>
      </c>
    </row>
  </sheetData>
  <sheetProtection password="C8A2" sheet="1" objects="1" scenarios="1"/>
  <mergeCells count="16">
    <mergeCell ref="L43:P43"/>
    <mergeCell ref="L33:P33"/>
    <mergeCell ref="L23:P23"/>
    <mergeCell ref="C33:I33"/>
    <mergeCell ref="C43:I43"/>
    <mergeCell ref="B1:AL1"/>
    <mergeCell ref="B2:AL2"/>
    <mergeCell ref="K4:M4"/>
    <mergeCell ref="B14:AL14"/>
    <mergeCell ref="C23:I23"/>
    <mergeCell ref="C64:L64"/>
    <mergeCell ref="C79:L79"/>
    <mergeCell ref="B57:C57"/>
    <mergeCell ref="B58:C58"/>
    <mergeCell ref="B59:C59"/>
    <mergeCell ref="B60:C60"/>
  </mergeCells>
  <pageMargins left="0.7" right="0.7" top="0.75" bottom="0.75" header="0.3" footer="0.3"/>
  <pageSetup paperSize="9" scale="50" fitToHeight="2" orientation="landscape" r:id="rId1"/>
  <headerFooter>
    <oddHeader>&amp;CTacoma LNG Facility DSEIS Life Cycle Analsis GHG Emission Calculations Scenario A</oddHeader>
    <oddFooter>Page &amp;P of &amp;N</oddFooter>
  </headerFooter>
  <rowBreaks count="1" manualBreakCount="1">
    <brk id="51" max="18" man="1"/>
  </row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'EF Marine Vessels spec. TOTE'!$B$97:$B$105</xm:f>
          </x14:formula1>
          <xm:sqref>G18:H21</xm:sqref>
        </x14:dataValidation>
        <x14:dataValidation type="list" allowBlank="1" showInputMessage="1" showErrorMessage="1">
          <x14:formula1>
            <xm:f>'EF Marine Vessels spec. TOTE'!$B$68:$B$92</xm:f>
          </x14:formula1>
          <xm:sqref>B6</xm:sqref>
        </x14:dataValidation>
        <x14:dataValidation type="list" allowBlank="1" showInputMessage="1" showErrorMessage="1">
          <x14:formula1>
            <xm:f>'EF Marine Vessels spec. TOTE'!$D$8:$D$17</xm:f>
          </x14:formula1>
          <xm:sqref>G12</xm:sqref>
        </x14:dataValidation>
        <x14:dataValidation type="list" allowBlank="1" showInputMessage="1" showErrorMessage="1">
          <x14:formula1>
            <xm:f>'EF Marine Vessels spec. TOTE'!$D$50:$D$54</xm:f>
          </x14:formula1>
          <xm:sqref>H12</xm:sqref>
        </x14:dataValidation>
        <x14:dataValidation type="list" allowBlank="1" showInputMessage="1" showErrorMessage="1">
          <x14:formula1>
            <xm:f>'EF Marine Vessels spec. TOTE'!$D$59:$D$60</xm:f>
          </x14:formula1>
          <xm:sqref>I12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AL90"/>
  <sheetViews>
    <sheetView zoomScale="75" zoomScaleNormal="75" zoomScaleSheetLayoutView="90" zoomScalePageLayoutView="60" workbookViewId="0"/>
  </sheetViews>
  <sheetFormatPr defaultColWidth="9.140625" defaultRowHeight="15"/>
  <cols>
    <col min="1" max="1" width="1.28515625" style="677" customWidth="1"/>
    <col min="2" max="2" width="36.28515625" style="677" customWidth="1"/>
    <col min="3" max="9" width="9.28515625" style="677" customWidth="1"/>
    <col min="10" max="10" width="12.140625" style="677" customWidth="1"/>
    <col min="11" max="11" width="32.85546875" style="677" customWidth="1"/>
    <col min="12" max="12" width="10.7109375" style="677" customWidth="1"/>
    <col min="13" max="14" width="10.85546875" style="677" customWidth="1"/>
    <col min="15" max="16" width="13.85546875" style="677" customWidth="1"/>
    <col min="17" max="35" width="9.140625" style="677"/>
    <col min="36" max="36" width="10.140625" style="677" customWidth="1"/>
    <col min="37" max="38" width="9.140625" style="677"/>
    <col min="39" max="39" width="11.85546875" style="677" bestFit="1" customWidth="1"/>
    <col min="40" max="40" width="10.140625" style="677" customWidth="1"/>
    <col min="41" max="16384" width="9.140625" style="677"/>
  </cols>
  <sheetData>
    <row r="1" spans="2:38" ht="23.25">
      <c r="B1" s="1814" t="s">
        <v>967</v>
      </c>
      <c r="C1" s="1814"/>
      <c r="D1" s="1814"/>
      <c r="E1" s="1814"/>
      <c r="F1" s="1814"/>
      <c r="G1" s="1814"/>
      <c r="H1" s="1814"/>
      <c r="I1" s="1814"/>
      <c r="J1" s="1814"/>
      <c r="K1" s="1814"/>
      <c r="L1" s="1814"/>
      <c r="M1" s="1814"/>
      <c r="N1" s="1814"/>
      <c r="O1" s="1814"/>
      <c r="P1" s="1814"/>
      <c r="Q1" s="1814"/>
      <c r="R1" s="1814"/>
      <c r="S1" s="1814"/>
      <c r="T1" s="1814"/>
      <c r="U1" s="1814"/>
      <c r="V1" s="1814"/>
      <c r="W1" s="1814"/>
      <c r="X1" s="1814"/>
      <c r="Y1" s="1814"/>
      <c r="Z1" s="1814"/>
      <c r="AA1" s="1814"/>
      <c r="AB1" s="1814"/>
      <c r="AC1" s="1814"/>
      <c r="AD1" s="1814"/>
      <c r="AE1" s="1814"/>
      <c r="AF1" s="1814"/>
      <c r="AG1" s="1814"/>
      <c r="AH1" s="1814"/>
      <c r="AI1" s="1814"/>
      <c r="AJ1" s="1814"/>
      <c r="AK1" s="1814"/>
      <c r="AL1" s="1814"/>
    </row>
    <row r="2" spans="2:38" ht="18.75">
      <c r="B2" s="1815"/>
      <c r="C2" s="1815"/>
      <c r="D2" s="1815"/>
      <c r="E2" s="1815"/>
      <c r="F2" s="1815"/>
      <c r="G2" s="1815"/>
      <c r="H2" s="1815"/>
      <c r="I2" s="1815"/>
      <c r="J2" s="1815"/>
      <c r="K2" s="1815"/>
      <c r="L2" s="1815"/>
      <c r="M2" s="1815"/>
      <c r="N2" s="1815"/>
      <c r="O2" s="1815"/>
      <c r="P2" s="1815"/>
      <c r="Q2" s="1815"/>
      <c r="R2" s="1815"/>
      <c r="S2" s="1815"/>
      <c r="T2" s="1815"/>
      <c r="U2" s="1815"/>
      <c r="V2" s="1815"/>
      <c r="W2" s="1815"/>
      <c r="X2" s="1815"/>
      <c r="Y2" s="1815"/>
      <c r="Z2" s="1815"/>
      <c r="AA2" s="1815"/>
      <c r="AB2" s="1815"/>
      <c r="AC2" s="1815"/>
      <c r="AD2" s="1815"/>
      <c r="AE2" s="1815"/>
      <c r="AF2" s="1815"/>
      <c r="AG2" s="1815"/>
      <c r="AH2" s="1815"/>
      <c r="AI2" s="1815"/>
      <c r="AJ2" s="1815"/>
      <c r="AK2" s="1815"/>
      <c r="AL2" s="1815"/>
    </row>
    <row r="3" spans="2:38" ht="18.75">
      <c r="B3" s="1048" t="s">
        <v>968</v>
      </c>
      <c r="C3" s="1048"/>
      <c r="D3" s="1048"/>
      <c r="E3" s="1048"/>
      <c r="F3" s="1048"/>
      <c r="G3" s="1048"/>
      <c r="H3" s="1048"/>
      <c r="I3" s="1048"/>
      <c r="J3" s="1048"/>
      <c r="K3" s="1048"/>
      <c r="L3" s="1048"/>
      <c r="M3" s="1048"/>
    </row>
    <row r="4" spans="2:38" ht="18.75">
      <c r="B4" s="1195"/>
      <c r="C4" s="1194"/>
      <c r="D4" s="1194"/>
      <c r="E4" s="1194"/>
      <c r="F4" s="1194"/>
      <c r="G4" s="1194"/>
      <c r="H4" s="1194"/>
      <c r="I4" s="1194"/>
      <c r="J4" s="1194"/>
      <c r="K4" s="1816" t="s">
        <v>969</v>
      </c>
      <c r="L4" s="1816"/>
      <c r="M4" s="1816"/>
    </row>
    <row r="5" spans="2:38" ht="60.75" thickBot="1">
      <c r="B5" s="1196" t="s">
        <v>970</v>
      </c>
      <c r="C5" s="1196" t="s">
        <v>971</v>
      </c>
      <c r="D5" s="1196" t="s">
        <v>972</v>
      </c>
      <c r="E5" s="1196" t="s">
        <v>973</v>
      </c>
      <c r="F5" s="1196" t="s">
        <v>974</v>
      </c>
      <c r="G5" s="1196" t="s">
        <v>975</v>
      </c>
      <c r="H5" s="1196" t="s">
        <v>976</v>
      </c>
      <c r="I5" s="1196" t="s">
        <v>977</v>
      </c>
      <c r="J5" s="1196" t="s">
        <v>978</v>
      </c>
      <c r="K5" s="1196" t="s">
        <v>979</v>
      </c>
      <c r="L5" s="1196" t="s">
        <v>1369</v>
      </c>
      <c r="M5" s="1196" t="s">
        <v>980</v>
      </c>
    </row>
    <row r="6" spans="2:38" ht="15.75" thickTop="1">
      <c r="B6" s="1197" t="s">
        <v>919</v>
      </c>
      <c r="C6" s="1197" t="s">
        <v>981</v>
      </c>
      <c r="D6" s="1197" t="s">
        <v>982</v>
      </c>
      <c r="E6" s="753">
        <v>1450</v>
      </c>
      <c r="F6" s="753">
        <v>22</v>
      </c>
      <c r="G6" s="1198">
        <v>65.909090909090907</v>
      </c>
      <c r="H6" s="753">
        <v>2</v>
      </c>
      <c r="I6" s="753">
        <v>10</v>
      </c>
      <c r="J6" s="753">
        <v>10</v>
      </c>
      <c r="K6" s="752">
        <v>0.13793103448275862</v>
      </c>
      <c r="L6" s="752">
        <v>0.5</v>
      </c>
      <c r="M6" s="752">
        <v>0.5</v>
      </c>
    </row>
    <row r="9" spans="2:38" ht="18.75">
      <c r="B9" s="678" t="s">
        <v>983</v>
      </c>
    </row>
    <row r="10" spans="2:38" ht="60.75" thickBot="1">
      <c r="B10" s="747" t="s">
        <v>984</v>
      </c>
      <c r="C10" s="747" t="s">
        <v>985</v>
      </c>
      <c r="D10" s="747" t="s">
        <v>986</v>
      </c>
      <c r="E10" s="747" t="s">
        <v>987</v>
      </c>
      <c r="F10" s="747" t="s">
        <v>988</v>
      </c>
      <c r="G10" s="747" t="s">
        <v>989</v>
      </c>
      <c r="H10" s="747" t="s">
        <v>990</v>
      </c>
      <c r="I10" s="747" t="s">
        <v>991</v>
      </c>
    </row>
    <row r="11" spans="2:38" ht="75.75" thickTop="1">
      <c r="B11" s="753">
        <v>24</v>
      </c>
      <c r="C11" s="1198">
        <v>25.531914893617024</v>
      </c>
      <c r="D11" s="753">
        <v>52200</v>
      </c>
      <c r="E11" s="753">
        <v>400</v>
      </c>
      <c r="F11" s="753">
        <v>720</v>
      </c>
      <c r="G11" s="1199" t="s">
        <v>992</v>
      </c>
      <c r="H11" s="1199" t="s">
        <v>992</v>
      </c>
      <c r="I11" s="1199" t="s">
        <v>993</v>
      </c>
    </row>
    <row r="13" spans="2:38" ht="18.75">
      <c r="B13" s="1815" t="s">
        <v>994</v>
      </c>
      <c r="C13" s="1815"/>
      <c r="D13" s="1815"/>
      <c r="E13" s="1815"/>
      <c r="F13" s="1815"/>
      <c r="G13" s="1815"/>
      <c r="H13" s="1815"/>
      <c r="I13" s="1815"/>
      <c r="J13" s="1815"/>
      <c r="K13" s="1815"/>
      <c r="L13" s="1815"/>
      <c r="M13" s="1815"/>
      <c r="N13" s="1815"/>
      <c r="O13" s="1815"/>
      <c r="P13" s="1815"/>
      <c r="Q13" s="1815"/>
      <c r="R13" s="1815"/>
      <c r="S13" s="1815"/>
      <c r="T13" s="1815"/>
      <c r="U13" s="1815"/>
      <c r="V13" s="1815"/>
      <c r="W13" s="1815"/>
      <c r="X13" s="1815"/>
      <c r="Y13" s="1815"/>
      <c r="Z13" s="1815"/>
      <c r="AA13" s="1815"/>
      <c r="AB13" s="1815"/>
      <c r="AC13" s="1815"/>
      <c r="AD13" s="1815"/>
      <c r="AE13" s="1815"/>
      <c r="AF13" s="1815"/>
      <c r="AG13" s="1815"/>
      <c r="AH13" s="1815"/>
      <c r="AI13" s="1815"/>
      <c r="AJ13" s="1815"/>
      <c r="AK13" s="1815"/>
      <c r="AL13" s="1815"/>
    </row>
    <row r="15" spans="2:38" ht="18.75">
      <c r="B15" s="678" t="s">
        <v>1170</v>
      </c>
    </row>
    <row r="16" spans="2:38" ht="60.75" thickBot="1">
      <c r="B16" s="747" t="s">
        <v>996</v>
      </c>
      <c r="C16" s="747" t="s">
        <v>1059</v>
      </c>
      <c r="D16" s="747" t="s">
        <v>997</v>
      </c>
      <c r="E16" s="747" t="s">
        <v>998</v>
      </c>
      <c r="F16" s="747" t="s">
        <v>999</v>
      </c>
      <c r="G16" s="747" t="s">
        <v>1000</v>
      </c>
      <c r="H16" s="747" t="s">
        <v>1001</v>
      </c>
    </row>
    <row r="17" spans="2:16" ht="15.75" thickTop="1">
      <c r="B17" s="679" t="s">
        <v>979</v>
      </c>
      <c r="C17" s="1203">
        <f>G6</f>
        <v>65.909090909090907</v>
      </c>
      <c r="D17" s="1205">
        <f>(F6/C11)^3*D11</f>
        <v>33395.533141666652</v>
      </c>
      <c r="E17" s="1206">
        <f>VLOOKUP(B6,'EF Marine Vessels spec. TOTE'!$B$68:$E$92,2,FALSE)</f>
        <v>132</v>
      </c>
      <c r="F17" s="1206">
        <f>VLOOKUP(B6,'EF Marine Vessels spec. TOTE'!N68:Q92,2,FALSE)</f>
        <v>0</v>
      </c>
      <c r="G17" s="788" t="s">
        <v>957</v>
      </c>
      <c r="H17" s="788" t="s">
        <v>957</v>
      </c>
    </row>
    <row r="18" spans="2:16">
      <c r="B18" s="679" t="s">
        <v>1369</v>
      </c>
      <c r="C18" s="1203">
        <f>H6</f>
        <v>2</v>
      </c>
      <c r="D18" s="1206">
        <f>AVERAGE('EF Marine Vessels spec. TOTE'!O34:P34)*D11</f>
        <v>1044</v>
      </c>
      <c r="E18" s="1206">
        <f>VLOOKUP(B6,'EF Marine Vessels spec. TOTE'!$B$68:$E$92,3,FALSE)</f>
        <v>396</v>
      </c>
      <c r="F18" s="1206">
        <f>VLOOKUP(B6,'EF Marine Vessels spec. TOTE'!N68:Q92,3,FALSE)</f>
        <v>148</v>
      </c>
      <c r="G18" s="788" t="s">
        <v>957</v>
      </c>
      <c r="H18" s="788" t="s">
        <v>957</v>
      </c>
    </row>
    <row r="19" spans="2:16">
      <c r="B19" s="1201" t="s">
        <v>980</v>
      </c>
      <c r="C19" s="1204">
        <f>I6+J6</f>
        <v>20</v>
      </c>
      <c r="D19" s="1207">
        <v>0</v>
      </c>
      <c r="E19" s="1207">
        <f>VLOOKUP(B6,'EF Marine Vessels spec. TOTE'!$B$68:$E$92,4,FALSE)</f>
        <v>229</v>
      </c>
      <c r="F19" s="1207">
        <f>VLOOKUP(B6,'EF Marine Vessels spec. TOTE'!N68:Q92,4,FALSE)</f>
        <v>259</v>
      </c>
      <c r="G19" s="1202" t="s">
        <v>957</v>
      </c>
      <c r="H19" s="1202" t="s">
        <v>957</v>
      </c>
    </row>
    <row r="20" spans="2:16">
      <c r="B20" s="679"/>
      <c r="C20" s="1203"/>
      <c r="D20" s="1206"/>
      <c r="E20" s="1206"/>
      <c r="F20" s="1206"/>
      <c r="G20" s="788"/>
      <c r="H20" s="788"/>
    </row>
    <row r="21" spans="2:16" ht="18.75">
      <c r="B21" s="678" t="s">
        <v>995</v>
      </c>
      <c r="H21" s="680"/>
    </row>
    <row r="22" spans="2:16" ht="15.75">
      <c r="B22" s="1194"/>
      <c r="C22" s="1817" t="s">
        <v>1066</v>
      </c>
      <c r="D22" s="1817"/>
      <c r="E22" s="1817"/>
      <c r="F22" s="1817"/>
      <c r="G22" s="1817"/>
      <c r="H22" s="1817"/>
      <c r="I22" s="1817"/>
      <c r="K22" s="1194"/>
      <c r="L22" s="1817" t="s">
        <v>1066</v>
      </c>
      <c r="M22" s="1817"/>
      <c r="N22" s="1817"/>
      <c r="O22" s="1817"/>
      <c r="P22" s="1817"/>
    </row>
    <row r="23" spans="2:16" ht="15.75" thickBot="1">
      <c r="B23" s="1208" t="s">
        <v>1202</v>
      </c>
      <c r="C23" s="1196" t="s">
        <v>879</v>
      </c>
      <c r="D23" s="1196" t="s">
        <v>127</v>
      </c>
      <c r="E23" s="1196" t="s">
        <v>880</v>
      </c>
      <c r="F23" s="1196" t="s">
        <v>881</v>
      </c>
      <c r="G23" s="1196" t="s">
        <v>882</v>
      </c>
      <c r="H23" s="1196" t="s">
        <v>883</v>
      </c>
      <c r="I23" s="1196" t="s">
        <v>884</v>
      </c>
      <c r="K23" s="1208" t="s">
        <v>1202</v>
      </c>
      <c r="L23" s="1209" t="s">
        <v>886</v>
      </c>
      <c r="M23" s="1209" t="s">
        <v>887</v>
      </c>
      <c r="N23" s="1209" t="s">
        <v>888</v>
      </c>
      <c r="O23" s="1209" t="s">
        <v>294</v>
      </c>
      <c r="P23" s="1209" t="s">
        <v>1029</v>
      </c>
    </row>
    <row r="24" spans="2:16" ht="15.75" thickTop="1">
      <c r="B24" s="785"/>
      <c r="C24" s="785">
        <f t="shared" ref="C24:I24" si="0">$C17*$K$6*($D17*C65+$E17*C69+$F17*C73)/1000000</f>
        <v>3.4953977278966644</v>
      </c>
      <c r="D24" s="785">
        <f t="shared" si="0"/>
        <v>0.15227787791666658</v>
      </c>
      <c r="E24" s="785">
        <f t="shared" si="0"/>
        <v>0.33527533141666649</v>
      </c>
      <c r="F24" s="785">
        <f t="shared" si="0"/>
        <v>4.7374140456499965E-3</v>
      </c>
      <c r="G24" s="785">
        <f t="shared" si="0"/>
        <v>1.2435666837999994E-2</v>
      </c>
      <c r="H24" s="785">
        <f t="shared" si="0"/>
        <v>1.1917514053083328E-2</v>
      </c>
      <c r="I24" s="785">
        <f t="shared" si="0"/>
        <v>1.2435666837999994E-2</v>
      </c>
      <c r="K24" s="785"/>
      <c r="L24" s="786">
        <f>$C17*$K$6*($D17*J65+$E17*J69+$F17*J73)/1000000</f>
        <v>197.54964977999987</v>
      </c>
      <c r="M24" s="785">
        <f>$C17*$K$6*($D17*K65+$E17*K69+$F17*K73)/1000000</f>
        <v>8.8794923249833277E-3</v>
      </c>
      <c r="N24" s="785">
        <f>$C17*$K$6*($D17*L65+$E17*L69+$F17*L73)/1000000</f>
        <v>3.0455575583333318E-3</v>
      </c>
      <c r="O24" s="786">
        <f>L24+D24*VOC_C_Ratio/CO2_C_Ratio+E24*CO_C_Ratio/CO2_C_Ratio</f>
        <v>198.55056959772347</v>
      </c>
      <c r="P24" s="786">
        <f>O24+N24*CH4_GWP+M24*N2O_GWP</f>
        <v>201.27279724952683</v>
      </c>
    </row>
    <row r="25" spans="2:16">
      <c r="B25" s="785"/>
      <c r="C25" s="785">
        <f t="shared" ref="C25:I25" si="1">$C18*$L$6*($D18*C66+$E18*C70+$F18*C74)/1000000</f>
        <v>6.0252668959999998E-2</v>
      </c>
      <c r="D25" s="785">
        <f t="shared" si="1"/>
        <v>1.1229159999999998E-2</v>
      </c>
      <c r="E25" s="785">
        <f t="shared" si="1"/>
        <v>1.1581711999999999E-2</v>
      </c>
      <c r="F25" s="785">
        <f>$C18*$L$6*($D18*F66+$E18*F70+$F18*F74)/1000000</f>
        <v>5.5526639999999994E-5</v>
      </c>
      <c r="G25" s="785">
        <f t="shared" si="1"/>
        <v>7.2923580799999998E-4</v>
      </c>
      <c r="H25" s="785">
        <f t="shared" si="1"/>
        <v>3.168383160000001E-4</v>
      </c>
      <c r="I25" s="785">
        <f t="shared" si="1"/>
        <v>3.2667580800000004E-4</v>
      </c>
      <c r="K25" s="785"/>
      <c r="L25" s="786">
        <f>$C18*$L$6*($D18*J66+$E18*J70+$F18*J74)/1000000</f>
        <v>1.0834360000000001</v>
      </c>
      <c r="M25" s="785">
        <f>$C18*$L$6*($D18*K66+$E18*K70+$F18*K74)/1000000</f>
        <v>5.1651119999999992E-5</v>
      </c>
      <c r="N25" s="785">
        <f>$C18*$L$6*($D18*L66+$E18*L70+$F18*L74)/1000000</f>
        <v>1.3903999999999999E-5</v>
      </c>
      <c r="O25" s="786">
        <f>L25+D25*VOC_C_Ratio/CO2_C_Ratio+E25*CO_C_Ratio/CO2_C_Ratio</f>
        <v>1.1365975782739739</v>
      </c>
      <c r="P25" s="786">
        <f>O25+N25*CH4_GWP+M25*N2O_GWP</f>
        <v>1.1523372120339739</v>
      </c>
    </row>
    <row r="26" spans="2:16">
      <c r="B26" s="785"/>
      <c r="C26" s="785">
        <f t="shared" ref="C26:I26" si="2">$C19*$M$6*($D19*C67+$E19*C71+$F19*C75)/1000000</f>
        <v>3.1130919999999999E-2</v>
      </c>
      <c r="D26" s="785">
        <f t="shared" si="2"/>
        <v>1.1750000000000003E-3</v>
      </c>
      <c r="E26" s="785">
        <f t="shared" si="2"/>
        <v>3.0370000000000006E-3</v>
      </c>
      <c r="F26" s="785">
        <f t="shared" si="2"/>
        <v>6.1226119999999986E-4</v>
      </c>
      <c r="G26" s="785">
        <f t="shared" si="2"/>
        <v>7.1382319999999996E-3</v>
      </c>
      <c r="H26" s="785">
        <f t="shared" si="2"/>
        <v>1.5558400000000003E-4</v>
      </c>
      <c r="I26" s="785">
        <f t="shared" si="2"/>
        <v>9.3432000000000023E-5</v>
      </c>
      <c r="K26" s="785"/>
      <c r="L26" s="786">
        <f>$C19*$M$6*($D19*J67+$E19*J71+$F19*J75)/1000000</f>
        <v>3.9520499999999998</v>
      </c>
      <c r="M26" s="785">
        <f>$C19*$M$6*($D19*K67+$E19*K71+$F19*K75)/1000000</f>
        <v>2.4502040000000001E-4</v>
      </c>
      <c r="N26" s="785">
        <f>$C19*$M$6*($D19*L67+$E19*L71+$F19*L75)/1000000</f>
        <v>2.3499999999999999E-5</v>
      </c>
      <c r="O26" s="786">
        <f>L26+D26*VOC_C_Ratio/CO2_C_Ratio+E26*CO_C_Ratio/CO2_C_Ratio</f>
        <v>3.9604801994229275</v>
      </c>
      <c r="P26" s="786">
        <f>O26+N26*CH4_GWP+M26*N2O_GWP</f>
        <v>4.0340837786229278</v>
      </c>
    </row>
    <row r="27" spans="2:16" ht="15.75" thickBot="1">
      <c r="B27" s="1212" t="s">
        <v>1069</v>
      </c>
      <c r="C27" s="1212">
        <f t="shared" ref="C27:I27" si="3">SUM(C24:C26)</f>
        <v>3.5867813168566642</v>
      </c>
      <c r="D27" s="1212">
        <f t="shared" si="3"/>
        <v>0.16468203791666658</v>
      </c>
      <c r="E27" s="1212">
        <f t="shared" si="3"/>
        <v>0.34989404341666652</v>
      </c>
      <c r="F27" s="1212">
        <f t="shared" si="3"/>
        <v>5.4052018856499962E-3</v>
      </c>
      <c r="G27" s="1212">
        <f t="shared" si="3"/>
        <v>2.0303134645999994E-2</v>
      </c>
      <c r="H27" s="1212">
        <f t="shared" si="3"/>
        <v>1.2389936369083329E-2</v>
      </c>
      <c r="I27" s="1212">
        <f t="shared" si="3"/>
        <v>1.2855774645999993E-2</v>
      </c>
      <c r="K27" s="1212" t="s">
        <v>1069</v>
      </c>
      <c r="L27" s="1213">
        <f>SUM(L24:L26)</f>
        <v>202.58513577999986</v>
      </c>
      <c r="M27" s="1212">
        <f>SUM(M24:M26)</f>
        <v>9.1761638449833274E-3</v>
      </c>
      <c r="N27" s="1212">
        <f>SUM(N24:N26)</f>
        <v>3.0829615583333318E-3</v>
      </c>
      <c r="O27" s="1213">
        <f>L27+D27*VOC_C_Ratio/CO2_C_Ratio+E27*CO_C_Ratio/CO2_C_Ratio</f>
        <v>203.64764737542035</v>
      </c>
      <c r="P27" s="1213">
        <f>O27+N27*CH4_GWP+M27*N2O_GWP</f>
        <v>206.4592182401837</v>
      </c>
    </row>
    <row r="28" spans="2:16">
      <c r="B28" s="785" t="s">
        <v>1163</v>
      </c>
      <c r="C28" s="786">
        <f>C27*1000000/SUM($D$57:$F$57)</f>
        <v>56349.293810871328</v>
      </c>
      <c r="D28" s="786">
        <f t="shared" ref="D28:I28" si="4">D27*1000000/SUM($D$57:$F$57)</f>
        <v>2587.1988616444928</v>
      </c>
      <c r="E28" s="786">
        <f t="shared" si="4"/>
        <v>5496.9290049827196</v>
      </c>
      <c r="F28" s="786">
        <f t="shared" si="4"/>
        <v>84.917167302658569</v>
      </c>
      <c r="G28" s="786">
        <f t="shared" si="4"/>
        <v>318.96767557932895</v>
      </c>
      <c r="H28" s="786">
        <f t="shared" si="4"/>
        <v>194.64921417939263</v>
      </c>
      <c r="I28" s="786">
        <f t="shared" si="4"/>
        <v>201.96765810318655</v>
      </c>
      <c r="K28" s="785" t="s">
        <v>1163</v>
      </c>
      <c r="L28" s="786">
        <f>L27*1000000/SUM($D$57:$F$57)</f>
        <v>3182666.666666666</v>
      </c>
      <c r="M28" s="786">
        <f>M27*1000000/SUM($D$57:$F$57)</f>
        <v>144.1599882679225</v>
      </c>
      <c r="N28" s="786">
        <f>N27*1000000/SUM($D$57:$F$57)</f>
        <v>48.434150652482884</v>
      </c>
      <c r="O28" s="786">
        <f>O27*1000000/SUM($D$59:$F$59)</f>
        <v>449379.40298241092</v>
      </c>
      <c r="P28" s="786">
        <f>P27*1000000/SUM($D$59:$F$59)</f>
        <v>455583.56027533032</v>
      </c>
    </row>
    <row r="29" spans="2:16">
      <c r="B29" s="1210" t="s">
        <v>1164</v>
      </c>
      <c r="C29" s="1211">
        <f>C28/(lbperkg*Fuel_Specs!$P$18)*1000</f>
        <v>1506.3680157832673</v>
      </c>
      <c r="D29" s="1211">
        <f>D28/(lbperkg*Fuel_Specs!$P$18)*1000</f>
        <v>69.162776533328113</v>
      </c>
      <c r="E29" s="1211">
        <f>E28/(lbperkg*Fuel_Specs!$P$18)*1000</f>
        <v>146.94768076294491</v>
      </c>
      <c r="F29" s="1211">
        <f>F28/(lbperkg*Fuel_Specs!$P$18)*1000</f>
        <v>2.2700640267999761</v>
      </c>
      <c r="G29" s="1211">
        <f>G28/(lbperkg*Fuel_Specs!$P$18)*1000</f>
        <v>8.5268629306004957</v>
      </c>
      <c r="H29" s="1211">
        <f>H28/(lbperkg*Fuel_Specs!$P$18)*1000</f>
        <v>5.2034964541226412</v>
      </c>
      <c r="I29" s="1211">
        <f>I28/(lbperkg*Fuel_Specs!$P$18)*1000</f>
        <v>5.3991381224833495</v>
      </c>
      <c r="K29" s="1210" t="s">
        <v>1164</v>
      </c>
      <c r="L29" s="1211">
        <f>L28/(lbperkg*Fuel_Specs!$P$18)*1000</f>
        <v>85081.230789821639</v>
      </c>
      <c r="M29" s="1211">
        <f>M28/(lbperkg*Fuel_Specs!$P$18)*1000</f>
        <v>3.8537837973861842</v>
      </c>
      <c r="N29" s="1211">
        <f>N28/(lbperkg*Fuel_Specs!$P$18)*1000</f>
        <v>1.2947749737451466</v>
      </c>
      <c r="O29" s="1211">
        <f>O28/(lbperkg*Fuel_Specs!$P$18)*1000</f>
        <v>12013.118777965679</v>
      </c>
      <c r="P29" s="1211">
        <f>P28/(lbperkg*Fuel_Specs!$P$18)*1000</f>
        <v>12178.972570957478</v>
      </c>
    </row>
    <row r="30" spans="2:16">
      <c r="H30" s="680"/>
    </row>
    <row r="31" spans="2:16">
      <c r="H31" s="680"/>
    </row>
    <row r="32" spans="2:16" ht="15.75">
      <c r="B32" s="1194"/>
      <c r="C32" s="1817" t="s">
        <v>1067</v>
      </c>
      <c r="D32" s="1817"/>
      <c r="E32" s="1817"/>
      <c r="F32" s="1817"/>
      <c r="G32" s="1817"/>
      <c r="H32" s="1817"/>
      <c r="I32" s="1817"/>
      <c r="K32" s="1194"/>
      <c r="L32" s="1817" t="s">
        <v>1067</v>
      </c>
      <c r="M32" s="1817"/>
      <c r="N32" s="1817"/>
      <c r="O32" s="1817"/>
      <c r="P32" s="1817"/>
    </row>
    <row r="33" spans="2:18" ht="15.75" thickBot="1">
      <c r="B33" s="1208" t="s">
        <v>1202</v>
      </c>
      <c r="C33" s="1196" t="s">
        <v>879</v>
      </c>
      <c r="D33" s="1196" t="s">
        <v>127</v>
      </c>
      <c r="E33" s="1196" t="s">
        <v>880</v>
      </c>
      <c r="F33" s="1196" t="s">
        <v>881</v>
      </c>
      <c r="G33" s="1196" t="s">
        <v>882</v>
      </c>
      <c r="H33" s="1196" t="s">
        <v>883</v>
      </c>
      <c r="I33" s="1196" t="s">
        <v>884</v>
      </c>
      <c r="K33" s="1208" t="s">
        <v>1202</v>
      </c>
      <c r="L33" s="1209" t="s">
        <v>886</v>
      </c>
      <c r="M33" s="1209" t="s">
        <v>887</v>
      </c>
      <c r="N33" s="1209" t="s">
        <v>888</v>
      </c>
      <c r="O33" s="1209" t="s">
        <v>294</v>
      </c>
      <c r="P33" s="1209" t="s">
        <v>1029</v>
      </c>
    </row>
    <row r="34" spans="2:18" ht="15.75" thickTop="1">
      <c r="B34" s="785"/>
      <c r="C34" s="785">
        <f t="shared" ref="C34:I34" si="5">$C17*(1-$K$6)*($D17*C80+$E17*C84+$F17*C88)/1000000</f>
        <v>21.846235799354151</v>
      </c>
      <c r="D34" s="785">
        <f t="shared" si="5"/>
        <v>0.95173673697916616</v>
      </c>
      <c r="E34" s="785">
        <f t="shared" si="5"/>
        <v>2.0954708213541653</v>
      </c>
      <c r="F34" s="785">
        <f t="shared" si="5"/>
        <v>2.9608837785312477E-2</v>
      </c>
      <c r="G34" s="785">
        <f t="shared" si="5"/>
        <v>7.7722917737499966E-2</v>
      </c>
      <c r="H34" s="785">
        <f t="shared" si="5"/>
        <v>7.4484462831770792E-2</v>
      </c>
      <c r="I34" s="785">
        <f t="shared" si="5"/>
        <v>7.7722917737499966E-2</v>
      </c>
      <c r="K34" s="785"/>
      <c r="L34" s="786">
        <f>$C17*(1-$K$6)*($D17*J80+$E17*J84+$F17*J88)/1000000</f>
        <v>1234.6853111249993</v>
      </c>
      <c r="M34" s="785">
        <f>$C17*(1-$K$6)*($D17*K80+$E17*K84+$F17*K88)/1000000</f>
        <v>5.54968270311458E-2</v>
      </c>
      <c r="N34" s="785">
        <f>$C17*(1-$K$6)*($D17*L80+$E17*L84+$F17*L88)/1000000</f>
        <v>1.9034734739583323E-2</v>
      </c>
      <c r="O34" s="786">
        <f>L34+D34*VOC_C_Ratio/CO2_C_Ratio+E34*CO_C_Ratio/CO2_C_Ratio</f>
        <v>1240.9410599857717</v>
      </c>
      <c r="P34" s="786">
        <f>O34+N34*CH4_GWP+M34*N2O_GWP</f>
        <v>1257.9549828095428</v>
      </c>
    </row>
    <row r="35" spans="2:18">
      <c r="B35" s="785"/>
      <c r="C35" s="785">
        <f t="shared" ref="C35:I35" si="6">$C18*(1-$L$6)*($D18*C81+$E18*C85+$F18*C89)/1000000</f>
        <v>6.0252668959999998E-2</v>
      </c>
      <c r="D35" s="785">
        <f t="shared" si="6"/>
        <v>1.1229159999999998E-2</v>
      </c>
      <c r="E35" s="785">
        <f t="shared" si="6"/>
        <v>1.1581711999999999E-2</v>
      </c>
      <c r="F35" s="785">
        <f t="shared" si="6"/>
        <v>5.5526639999999994E-5</v>
      </c>
      <c r="G35" s="785">
        <f t="shared" si="6"/>
        <v>7.2923580799999998E-4</v>
      </c>
      <c r="H35" s="785">
        <f t="shared" si="6"/>
        <v>3.168383160000001E-4</v>
      </c>
      <c r="I35" s="785">
        <f t="shared" si="6"/>
        <v>3.2667580800000004E-4</v>
      </c>
      <c r="K35" s="785"/>
      <c r="L35" s="786">
        <f>$C18*(1-$L$6)*($D18*J81+$E18*J85+$F18*J89)/1000000</f>
        <v>1.0834360000000001</v>
      </c>
      <c r="M35" s="785">
        <f>$C18*(1-$L$6)*($D18*K81+$E18*K85+$F18*K89)/1000000</f>
        <v>5.1651119999999992E-5</v>
      </c>
      <c r="N35" s="785">
        <f>$C18*(1-$L$6)*($D18*L81+$E18*L85+$F18*L89)/1000000</f>
        <v>1.3903999999999999E-5</v>
      </c>
      <c r="O35" s="786">
        <f>L35+D35*VOC_C_Ratio/CO2_C_Ratio+E35*CO_C_Ratio/CO2_C_Ratio</f>
        <v>1.1365975782739739</v>
      </c>
      <c r="P35" s="786">
        <f>O35+N35*CH4_GWP+M35*N2O_GWP</f>
        <v>1.1523372120339739</v>
      </c>
    </row>
    <row r="36" spans="2:18">
      <c r="B36" s="785"/>
      <c r="C36" s="785">
        <f t="shared" ref="C36:I36" si="7">$C19*(1-$M$6)*($D19*C82+$E19*C86+$F19*C90)/1000000</f>
        <v>3.1130919999999999E-2</v>
      </c>
      <c r="D36" s="785">
        <f t="shared" si="7"/>
        <v>1.1750000000000003E-3</v>
      </c>
      <c r="E36" s="785">
        <f t="shared" si="7"/>
        <v>3.0370000000000006E-3</v>
      </c>
      <c r="F36" s="785">
        <f t="shared" si="7"/>
        <v>6.1226119999999986E-4</v>
      </c>
      <c r="G36" s="785">
        <f t="shared" si="7"/>
        <v>7.1382319999999996E-3</v>
      </c>
      <c r="H36" s="785">
        <f t="shared" si="7"/>
        <v>1.5558400000000003E-4</v>
      </c>
      <c r="I36" s="785">
        <f t="shared" si="7"/>
        <v>9.3432000000000023E-5</v>
      </c>
      <c r="K36" s="785"/>
      <c r="L36" s="786">
        <f>$C19*(1-$M$6)*($D19*J82+$E19*J86+$F19*J90)/1000000</f>
        <v>3.9520499999999998</v>
      </c>
      <c r="M36" s="785">
        <f>$C19*(1-$M$6)*($D19*K82+$E19*K86+$F19*K90)/1000000</f>
        <v>2.4502040000000001E-4</v>
      </c>
      <c r="N36" s="785">
        <f>$C19*(1-$M$6)*($D19*L82+$E19*L86+$F19*L90)/1000000</f>
        <v>2.3499999999999999E-5</v>
      </c>
      <c r="O36" s="786">
        <f>L36+D36*VOC_C_Ratio/CO2_C_Ratio+E36*CO_C_Ratio/CO2_C_Ratio</f>
        <v>3.9604801994229275</v>
      </c>
      <c r="P36" s="786">
        <f>O36+N36*CH4_GWP+M36*N2O_GWP</f>
        <v>4.0340837786229278</v>
      </c>
    </row>
    <row r="37" spans="2:18" ht="15.75" thickBot="1">
      <c r="B37" s="1212" t="s">
        <v>1069</v>
      </c>
      <c r="C37" s="1212">
        <f t="shared" ref="C37:I37" si="8">SUM(C34:C36)</f>
        <v>21.93761938831415</v>
      </c>
      <c r="D37" s="1212">
        <f t="shared" si="8"/>
        <v>0.96414089697916616</v>
      </c>
      <c r="E37" s="1212">
        <f t="shared" si="8"/>
        <v>2.1100895333541652</v>
      </c>
      <c r="F37" s="1212">
        <f t="shared" si="8"/>
        <v>3.0276625625312477E-2</v>
      </c>
      <c r="G37" s="1212">
        <f t="shared" si="8"/>
        <v>8.5590385545499956E-2</v>
      </c>
      <c r="H37" s="1212">
        <f t="shared" si="8"/>
        <v>7.4956885147770796E-2</v>
      </c>
      <c r="I37" s="1212">
        <f t="shared" si="8"/>
        <v>7.8143025545499969E-2</v>
      </c>
      <c r="K37" s="1212" t="s">
        <v>1069</v>
      </c>
      <c r="L37" s="1213">
        <f>SUM(L34:L36)</f>
        <v>1239.7207971249993</v>
      </c>
      <c r="M37" s="1212">
        <f>SUM(M34:M36)</f>
        <v>5.57934985511458E-2</v>
      </c>
      <c r="N37" s="1212">
        <f>SUM(N34:N36)</f>
        <v>1.9072138739583321E-2</v>
      </c>
      <c r="O37" s="1213">
        <f>L37+D37*VOC_C_Ratio/CO2_C_Ratio+E37*CO_C_Ratio/CO2_C_Ratio</f>
        <v>1246.0381377634687</v>
      </c>
      <c r="P37" s="1213">
        <f>O37+N37*CH4_GWP+M37*N2O_GWP</f>
        <v>1263.1414038001999</v>
      </c>
    </row>
    <row r="38" spans="2:18">
      <c r="B38" s="785" t="s">
        <v>1163</v>
      </c>
      <c r="C38" s="786">
        <f>C37*1000000/SUM($D$58:$F$58)</f>
        <v>56319.237472764587</v>
      </c>
      <c r="D38" s="786">
        <f t="shared" ref="D38:I38" si="9">D37*1000000/SUM($D$58:$F$58)</f>
        <v>2475.1856239742478</v>
      </c>
      <c r="E38" s="786">
        <f t="shared" si="9"/>
        <v>5417.1162063770626</v>
      </c>
      <c r="F38" s="786">
        <f t="shared" si="9"/>
        <v>77.727507177660087</v>
      </c>
      <c r="G38" s="786">
        <f t="shared" si="9"/>
        <v>219.73146509644701</v>
      </c>
      <c r="H38" s="786">
        <f t="shared" si="9"/>
        <v>192.43266737979707</v>
      </c>
      <c r="I38" s="786">
        <f t="shared" si="9"/>
        <v>200.61226948269726</v>
      </c>
      <c r="K38" s="785" t="s">
        <v>1163</v>
      </c>
      <c r="L38" s="786">
        <f>L37*1000000/SUM($D$58:$F$58)</f>
        <v>3182666.666666667</v>
      </c>
      <c r="M38" s="786">
        <f>M37*1000000/SUM($D$58:$F$58)</f>
        <v>143.23556438453647</v>
      </c>
      <c r="N38" s="786">
        <f>N37*1000000/SUM($D$58:$F$58)</f>
        <v>48.962847416355423</v>
      </c>
      <c r="O38" s="786">
        <f>O37*1000000/SUM($D$59:$F$59)</f>
        <v>2749572.0262813414</v>
      </c>
      <c r="P38" s="786">
        <f>P37*1000000/SUM($D$59:$F$59)</f>
        <v>2787312.9753160579</v>
      </c>
    </row>
    <row r="39" spans="2:18">
      <c r="B39" s="1210" t="s">
        <v>1164</v>
      </c>
      <c r="C39" s="1211">
        <f>C38/(lbperkg*Fuel_Specs!$P$18)*1000</f>
        <v>1505.5645291140727</v>
      </c>
      <c r="D39" s="1211">
        <f>D38/(lbperkg*Fuel_Specs!$P$18)*1000</f>
        <v>66.168361747277444</v>
      </c>
      <c r="E39" s="1211">
        <f>E38/(lbperkg*Fuel_Specs!$P$18)*1000</f>
        <v>144.81407022519375</v>
      </c>
      <c r="F39" s="1211">
        <f>F38/(lbperkg*Fuel_Specs!$P$18)*1000</f>
        <v>2.0778650953812368</v>
      </c>
      <c r="G39" s="1211">
        <f>G38/(lbperkg*Fuel_Specs!$P$18)*1000</f>
        <v>5.8740124089829644</v>
      </c>
      <c r="H39" s="1211">
        <f>H38/(lbperkg*Fuel_Specs!$P$18)*1000</f>
        <v>5.1442422030293775</v>
      </c>
      <c r="I39" s="1211">
        <f>I38/(lbperkg*Fuel_Specs!$P$18)*1000</f>
        <v>5.3629049431694362</v>
      </c>
      <c r="K39" s="1210" t="s">
        <v>1164</v>
      </c>
      <c r="L39" s="1211">
        <f>L38/(lbperkg*Fuel_Specs!$P$18)*1000</f>
        <v>85081.230789821653</v>
      </c>
      <c r="M39" s="1211">
        <f>M38/(lbperkg*Fuel_Specs!$P$18)*1000</f>
        <v>3.8290714633570713</v>
      </c>
      <c r="N39" s="1211">
        <f>N38/(lbperkg*Fuel_Specs!$P$18)*1000</f>
        <v>1.3089084586796476</v>
      </c>
      <c r="O39" s="1211">
        <f>O38/(lbperkg*Fuel_Specs!$P$18)*1000</f>
        <v>73503.447467934762</v>
      </c>
      <c r="P39" s="1211">
        <f>P38/(lbperkg*Fuel_Specs!$P$18)*1000</f>
        <v>74512.364433283394</v>
      </c>
    </row>
    <row r="40" spans="2:18">
      <c r="H40" s="680"/>
    </row>
    <row r="41" spans="2:18">
      <c r="H41" s="680"/>
    </row>
    <row r="42" spans="2:18" ht="15.75">
      <c r="B42" s="1194"/>
      <c r="C42" s="1817" t="s">
        <v>1068</v>
      </c>
      <c r="D42" s="1817"/>
      <c r="E42" s="1817"/>
      <c r="F42" s="1817"/>
      <c r="G42" s="1817"/>
      <c r="H42" s="1817"/>
      <c r="I42" s="1817"/>
      <c r="K42" s="1194"/>
      <c r="L42" s="1817" t="s">
        <v>1068</v>
      </c>
      <c r="M42" s="1817"/>
      <c r="N42" s="1817"/>
      <c r="O42" s="1817"/>
      <c r="P42" s="1817"/>
      <c r="Q42" s="1248"/>
      <c r="R42" s="1248"/>
    </row>
    <row r="43" spans="2:18" ht="15.75" thickBot="1">
      <c r="B43" s="1208" t="s">
        <v>1202</v>
      </c>
      <c r="C43" s="1196" t="s">
        <v>879</v>
      </c>
      <c r="D43" s="1196" t="s">
        <v>127</v>
      </c>
      <c r="E43" s="1196" t="s">
        <v>880</v>
      </c>
      <c r="F43" s="1196" t="s">
        <v>881</v>
      </c>
      <c r="G43" s="1196" t="s">
        <v>882</v>
      </c>
      <c r="H43" s="1196" t="s">
        <v>883</v>
      </c>
      <c r="I43" s="1196" t="s">
        <v>884</v>
      </c>
      <c r="K43" s="1208" t="s">
        <v>1202</v>
      </c>
      <c r="L43" s="1209" t="s">
        <v>886</v>
      </c>
      <c r="M43" s="1209" t="s">
        <v>887</v>
      </c>
      <c r="N43" s="1209" t="s">
        <v>888</v>
      </c>
      <c r="O43" s="1209" t="s">
        <v>294</v>
      </c>
      <c r="P43" s="1209" t="s">
        <v>1029</v>
      </c>
      <c r="Q43" s="1209" t="s">
        <v>266</v>
      </c>
      <c r="R43" s="1209" t="s">
        <v>267</v>
      </c>
    </row>
    <row r="44" spans="2:18" ht="15.75" thickTop="1">
      <c r="B44" s="785"/>
      <c r="C44" s="785">
        <f t="shared" ref="C44:I44" si="10">C24+C34</f>
        <v>25.341633527250814</v>
      </c>
      <c r="D44" s="785">
        <f t="shared" si="10"/>
        <v>1.1040146148958327</v>
      </c>
      <c r="E44" s="785">
        <f t="shared" si="10"/>
        <v>2.4307461527708316</v>
      </c>
      <c r="F44" s="785">
        <f t="shared" si="10"/>
        <v>3.4346251830962474E-2</v>
      </c>
      <c r="G44" s="785">
        <f t="shared" si="10"/>
        <v>9.0158584575499967E-2</v>
      </c>
      <c r="H44" s="785">
        <f t="shared" si="10"/>
        <v>8.6401976884854126E-2</v>
      </c>
      <c r="I44" s="785">
        <f t="shared" si="10"/>
        <v>9.0158584575499967E-2</v>
      </c>
      <c r="K44" s="785"/>
      <c r="L44" s="786">
        <f t="shared" ref="L44:N46" si="11">L24+L34</f>
        <v>1432.2349609049993</v>
      </c>
      <c r="M44" s="785">
        <f t="shared" si="11"/>
        <v>6.4376319356129127E-2</v>
      </c>
      <c r="N44" s="785">
        <f t="shared" si="11"/>
        <v>2.2080292297916655E-2</v>
      </c>
      <c r="O44" s="786">
        <f>L44+D44*VOC_C_Ratio/CO2_C_Ratio+E44*CO_C_Ratio/CO2_C_Ratio</f>
        <v>1439.4916295834953</v>
      </c>
      <c r="P44" s="786">
        <f>O44+N44*CH4_GWP+M44*N2O_GWP</f>
        <v>1459.2277800590696</v>
      </c>
      <c r="Q44" s="785">
        <f>H44*'BC_OC Ratios'!$C$6/100</f>
        <v>1.7280395376970827E-2</v>
      </c>
      <c r="R44" s="785">
        <f>I44*'BC_OC Ratios'!$C$7/100</f>
        <v>3.8587874198313984E-2</v>
      </c>
    </row>
    <row r="45" spans="2:18">
      <c r="B45" s="785"/>
      <c r="C45" s="785">
        <f t="shared" ref="C45:I45" si="12">C25+C35</f>
        <v>0.12050533792</v>
      </c>
      <c r="D45" s="785">
        <f t="shared" si="12"/>
        <v>2.2458319999999997E-2</v>
      </c>
      <c r="E45" s="785">
        <f t="shared" si="12"/>
        <v>2.3163423999999998E-2</v>
      </c>
      <c r="F45" s="785">
        <f t="shared" si="12"/>
        <v>1.1105327999999999E-4</v>
      </c>
      <c r="G45" s="785">
        <f t="shared" si="12"/>
        <v>1.458471616E-3</v>
      </c>
      <c r="H45" s="785">
        <f t="shared" si="12"/>
        <v>6.3367663200000019E-4</v>
      </c>
      <c r="I45" s="785">
        <f t="shared" si="12"/>
        <v>6.5335161600000007E-4</v>
      </c>
      <c r="K45" s="785"/>
      <c r="L45" s="786">
        <f t="shared" si="11"/>
        <v>2.1668720000000001</v>
      </c>
      <c r="M45" s="785">
        <f t="shared" si="11"/>
        <v>1.0330223999999998E-4</v>
      </c>
      <c r="N45" s="785">
        <f t="shared" si="11"/>
        <v>2.7807999999999999E-5</v>
      </c>
      <c r="O45" s="786">
        <f>L45+D45*VOC_C_Ratio/CO2_C_Ratio+E45*CO_C_Ratio/CO2_C_Ratio</f>
        <v>2.2731951565479478</v>
      </c>
      <c r="P45" s="786">
        <f>O45+N45*CH4_GWP+M45*N2O_GWP</f>
        <v>2.3046744240679478</v>
      </c>
      <c r="Q45" s="785">
        <f>H45*'BC_OC Ratios'!$C$6/100</f>
        <v>1.2673532640000004E-4</v>
      </c>
      <c r="R45" s="785">
        <f>I45*'BC_OC Ratios'!$C$7/100</f>
        <v>2.7963449164799999E-4</v>
      </c>
    </row>
    <row r="46" spans="2:18">
      <c r="B46" s="785"/>
      <c r="C46" s="785">
        <f t="shared" ref="C46:I46" si="13">C26+C36</f>
        <v>6.2261839999999999E-2</v>
      </c>
      <c r="D46" s="785">
        <f t="shared" si="13"/>
        <v>2.3500000000000005E-3</v>
      </c>
      <c r="E46" s="785">
        <f t="shared" si="13"/>
        <v>6.0740000000000013E-3</v>
      </c>
      <c r="F46" s="785">
        <f t="shared" si="13"/>
        <v>1.2245223999999997E-3</v>
      </c>
      <c r="G46" s="785">
        <f t="shared" si="13"/>
        <v>1.4276463999999999E-2</v>
      </c>
      <c r="H46" s="785">
        <f t="shared" si="13"/>
        <v>3.1116800000000007E-4</v>
      </c>
      <c r="I46" s="785">
        <f t="shared" si="13"/>
        <v>1.8686400000000005E-4</v>
      </c>
      <c r="K46" s="785"/>
      <c r="L46" s="786">
        <f t="shared" si="11"/>
        <v>7.9040999999999997</v>
      </c>
      <c r="M46" s="785">
        <f t="shared" si="11"/>
        <v>4.9004080000000002E-4</v>
      </c>
      <c r="N46" s="785">
        <f t="shared" si="11"/>
        <v>4.6999999999999997E-5</v>
      </c>
      <c r="O46" s="786">
        <f>L46+D46*VOC_C_Ratio/CO2_C_Ratio+E46*CO_C_Ratio/CO2_C_Ratio</f>
        <v>7.920960398845855</v>
      </c>
      <c r="P46" s="786">
        <f>O46+N46*CH4_GWP+M46*N2O_GWP</f>
        <v>8.0681675572458555</v>
      </c>
      <c r="Q46" s="785">
        <f>H46*'BC_OC Ratios'!$C$6/100</f>
        <v>6.2233600000000013E-5</v>
      </c>
      <c r="R46" s="785">
        <f>I46*'BC_OC Ratios'!$C$7/100</f>
        <v>7.9977792000000003E-5</v>
      </c>
    </row>
    <row r="47" spans="2:18" ht="15.75" thickBot="1">
      <c r="B47" s="1212" t="s">
        <v>1069</v>
      </c>
      <c r="C47" s="1212">
        <f t="shared" ref="C47:I47" si="14">SUM(C44:C46)</f>
        <v>25.524400705170816</v>
      </c>
      <c r="D47" s="1212">
        <f t="shared" si="14"/>
        <v>1.1288229348958327</v>
      </c>
      <c r="E47" s="1212">
        <f t="shared" si="14"/>
        <v>2.4599835767708313</v>
      </c>
      <c r="F47" s="1212">
        <f t="shared" si="14"/>
        <v>3.5681827510962473E-2</v>
      </c>
      <c r="G47" s="1212">
        <f t="shared" si="14"/>
        <v>0.10589352019149997</v>
      </c>
      <c r="H47" s="1212">
        <f t="shared" si="14"/>
        <v>8.734682151685412E-2</v>
      </c>
      <c r="I47" s="1212">
        <f t="shared" si="14"/>
        <v>9.0998800191499959E-2</v>
      </c>
      <c r="K47" s="1212" t="s">
        <v>1069</v>
      </c>
      <c r="L47" s="1213">
        <f>SUM(L44:L46)</f>
        <v>1442.3059329049993</v>
      </c>
      <c r="M47" s="1212">
        <f>SUM(M44:M46)</f>
        <v>6.4969662396129127E-2</v>
      </c>
      <c r="N47" s="1212">
        <f>SUM(N44:N46)</f>
        <v>2.2155100297916654E-2</v>
      </c>
      <c r="O47" s="1213">
        <f>L47+D47*VOC_C_Ratio/CO2_C_Ratio+E47*CO_C_Ratio/CO2_C_Ratio</f>
        <v>1449.6857851388893</v>
      </c>
      <c r="P47" s="1213">
        <f>O47+N47*CH4_GWP+M47*N2O_GWP</f>
        <v>1469.6006220403835</v>
      </c>
      <c r="Q47" s="1212">
        <v>9.2045762809681783E-2</v>
      </c>
      <c r="R47" s="1212">
        <v>0.19697793241271899</v>
      </c>
    </row>
    <row r="48" spans="2:18">
      <c r="B48" s="785" t="s">
        <v>1163</v>
      </c>
      <c r="C48" s="786">
        <f>C47*1000000/SUM($D$59:$F$59)</f>
        <v>56323.459161934326</v>
      </c>
      <c r="D48" s="786">
        <f t="shared" ref="D48:I48" si="15">D47*1000000/SUM($D$59:$F$59)</f>
        <v>2490.9189135939323</v>
      </c>
      <c r="E48" s="786">
        <f t="shared" si="15"/>
        <v>5428.3266481242854</v>
      </c>
      <c r="F48" s="786">
        <f t="shared" si="15"/>
        <v>78.737361078559744</v>
      </c>
      <c r="G48" s="786">
        <f t="shared" si="15"/>
        <v>233.67010371417462</v>
      </c>
      <c r="H48" s="786">
        <f t="shared" si="15"/>
        <v>192.74400176740116</v>
      </c>
      <c r="I48" s="786">
        <f t="shared" si="15"/>
        <v>200.80264628241224</v>
      </c>
      <c r="K48" s="785" t="s">
        <v>1163</v>
      </c>
      <c r="L48" s="786">
        <f t="shared" ref="L48:Q48" si="16">L47*1000000/SUM($D$59:$F$59)</f>
        <v>3182666.6666666665</v>
      </c>
      <c r="M48" s="786">
        <f t="shared" si="16"/>
        <v>143.36540822256103</v>
      </c>
      <c r="N48" s="786">
        <f t="shared" si="16"/>
        <v>48.888587092486517</v>
      </c>
      <c r="O48" s="786">
        <f t="shared" si="16"/>
        <v>3198951.4292637529</v>
      </c>
      <c r="P48" s="786">
        <f t="shared" si="16"/>
        <v>3242896.5355913881</v>
      </c>
      <c r="Q48" s="786">
        <f t="shared" si="16"/>
        <v>203.11292799873436</v>
      </c>
      <c r="R48" s="786">
        <f t="shared" ref="R48" si="17">R47*1000000/SUM($D$59:$F$59)</f>
        <v>434.66166591729154</v>
      </c>
    </row>
    <row r="49" spans="2:18">
      <c r="B49" s="1210" t="s">
        <v>1164</v>
      </c>
      <c r="C49" s="1211">
        <f>C48/(lbperkg*Fuel_Specs!$P$18)*1000</f>
        <v>1505.6773862078851</v>
      </c>
      <c r="D49" s="1211">
        <f>D48/(lbperkg*Fuel_Specs!$P$18)*1000</f>
        <v>66.588954849041841</v>
      </c>
      <c r="E49" s="1211">
        <f>E48/(lbperkg*Fuel_Specs!$P$18)*1000</f>
        <v>145.11375545190654</v>
      </c>
      <c r="F49" s="1211">
        <f>F48/(lbperkg*Fuel_Specs!$P$18)*1000</f>
        <v>2.1048612033011507</v>
      </c>
      <c r="G49" s="1211">
        <f>G48/(lbperkg*Fuel_Specs!$P$18)*1000</f>
        <v>6.2466296678217166</v>
      </c>
      <c r="H49" s="1211">
        <f>H48/(lbperkg*Fuel_Specs!$P$18)*1000</f>
        <v>5.1525650076642382</v>
      </c>
      <c r="I49" s="1211">
        <f>I48/(lbperkg*Fuel_Specs!$P$18)*1000</f>
        <v>5.3679942265063376</v>
      </c>
      <c r="K49" s="1210" t="s">
        <v>1164</v>
      </c>
      <c r="L49" s="1211">
        <f>L48/(lbperkg*Fuel_Specs!$P$18)*1000</f>
        <v>85081.230789821653</v>
      </c>
      <c r="M49" s="1211">
        <f>M48/(lbperkg*Fuel_Specs!$P$18)*1000</f>
        <v>3.8325425379956144</v>
      </c>
      <c r="N49" s="1211">
        <f>N48/(lbperkg*Fuel_Specs!$P$18)*1000</f>
        <v>1.3069232807093027</v>
      </c>
      <c r="O49" s="1211">
        <f>O48/(lbperkg*Fuel_Specs!$P$18)*1000</f>
        <v>85516.566245900452</v>
      </c>
      <c r="P49" s="1211">
        <f>P48/(lbperkg*Fuel_Specs!$P$18)*1000</f>
        <v>86691.337004240879</v>
      </c>
      <c r="Q49" s="1211">
        <f>Q48/(lbperkg*Fuel_Specs!$P$18)*1000</f>
        <v>5.4297542637589276</v>
      </c>
      <c r="R49" s="1211">
        <f>R48/(lbperkg*Fuel_Specs!$P$18)*1000</f>
        <v>11.619674124444105</v>
      </c>
    </row>
    <row r="50" spans="2:18">
      <c r="H50" s="680"/>
    </row>
    <row r="51" spans="2:18">
      <c r="H51" s="680"/>
    </row>
    <row r="52" spans="2:18">
      <c r="H52" s="680"/>
    </row>
    <row r="53" spans="2:18">
      <c r="H53" s="680"/>
    </row>
    <row r="54" spans="2:18">
      <c r="H54" s="680"/>
    </row>
    <row r="55" spans="2:18" ht="18.75">
      <c r="B55" s="678" t="s">
        <v>1002</v>
      </c>
      <c r="G55" s="823"/>
      <c r="H55" s="822"/>
    </row>
    <row r="56" spans="2:18" ht="20.25" customHeight="1" thickBot="1">
      <c r="B56" s="1811" t="s">
        <v>1003</v>
      </c>
      <c r="C56" s="1811"/>
      <c r="D56" s="747" t="s">
        <v>965</v>
      </c>
      <c r="E56" s="747" t="s">
        <v>966</v>
      </c>
      <c r="F56" s="747" t="s">
        <v>1004</v>
      </c>
      <c r="G56" s="690"/>
      <c r="H56" s="680"/>
    </row>
    <row r="57" spans="2:18" ht="30.75" customHeight="1" thickTop="1">
      <c r="B57" s="1812" t="s">
        <v>1165</v>
      </c>
      <c r="C57" s="1812"/>
      <c r="D57" s="683">
        <f>($C$17*D$17*$K$6+$C$18*D$18*$L$6+$C$19*D$19*$M$6)*'EF Marine Vessels spec. TOTE'!$C$110/1000000</f>
        <v>62.025522134478393</v>
      </c>
      <c r="E57" s="683">
        <f>($C$17*E$17*$K$6+$C$18*E$18*$L$6+$C$19*E$19*$M$6)*'EF Marine Vessels spec. TOTE'!$C$111/1000000</f>
        <v>0.83393527440301618</v>
      </c>
      <c r="F57" s="683">
        <f>($C$17*F$17*$K$6+$C$18*F$18*$L$6+$C$19*F$19*$M$6)*'EF Marine Vessels spec. TOTE'!$C$112/1000000</f>
        <v>0.79318265605362381</v>
      </c>
      <c r="H57" s="681"/>
      <c r="I57" s="682"/>
    </row>
    <row r="58" spans="2:18" ht="30.75" customHeight="1">
      <c r="B58" s="1812" t="s">
        <v>1166</v>
      </c>
      <c r="C58" s="1812"/>
      <c r="D58" s="683">
        <f>($C$17*D$17*(1-$K$6)+$C$18*D$18*(1-$L$6)+$C$19*D$19*(1-$M$6))*'EF Marine Vessels spec. TOTE'!$C$110/1000000</f>
        <v>386.54356612641362</v>
      </c>
      <c r="E58" s="683">
        <f>($C$17*E$17*(1-$K$6)+$C$18*E$18*(1-$L$6)+$C$19*E$19*(1-$M$6))*'EF Marine Vessels spec. TOTE'!$C$111/1000000</f>
        <v>2.1859147465437787</v>
      </c>
      <c r="F58" s="683">
        <f>($C$17*F$17*(1-$K$6)+$C$18*F$18*(1-$L$6)+$C$19*F$19*(1-$M$6))*'EF Marine Vessels spec. TOTE'!$C$112/1000000</f>
        <v>0.79318265605362381</v>
      </c>
      <c r="G58" s="1617" t="s">
        <v>1484</v>
      </c>
      <c r="H58" s="1618"/>
      <c r="I58" s="1619"/>
    </row>
    <row r="59" spans="2:18" ht="30.75" customHeight="1">
      <c r="B59" s="1813" t="s">
        <v>1167</v>
      </c>
      <c r="C59" s="1813"/>
      <c r="D59" s="1214">
        <f>($C$17*D17+$C$18*D18+$C$19*D19)*'EF Marine Vessels spec. TOTE'!$C$110/1000000</f>
        <v>448.5690882608921</v>
      </c>
      <c r="E59" s="1214">
        <f>($C$17*E17+$C$18*E18+$C$19*E19)*'EF Marine Vessels spec. TOTE'!$C$111/1000000</f>
        <v>3.0198500209467944</v>
      </c>
      <c r="F59" s="1214">
        <f>($C$17*F17+$C$18*F18+$C$19*F19)*'EF Marine Vessels spec. TOTE'!$C$112/1000000</f>
        <v>1.5863653121072476</v>
      </c>
      <c r="H59" s="681"/>
      <c r="I59" s="682"/>
    </row>
    <row r="60" spans="2:18">
      <c r="D60" s="684"/>
      <c r="E60" s="684"/>
      <c r="F60" s="684"/>
      <c r="H60" s="681"/>
      <c r="I60" s="682"/>
    </row>
    <row r="62" spans="2:18" ht="18.75">
      <c r="B62" s="678"/>
    </row>
    <row r="63" spans="2:18" ht="15.75">
      <c r="B63" s="1215" t="s">
        <v>1006</v>
      </c>
      <c r="C63" s="1810" t="s">
        <v>1005</v>
      </c>
      <c r="D63" s="1810"/>
      <c r="E63" s="1810"/>
      <c r="F63" s="1810"/>
      <c r="G63" s="1810"/>
      <c r="H63" s="1810"/>
      <c r="I63" s="1810"/>
      <c r="J63" s="1810"/>
      <c r="K63" s="1810"/>
      <c r="L63" s="1810"/>
    </row>
    <row r="64" spans="2:18" ht="18.75" thickBot="1">
      <c r="B64" s="1216" t="s">
        <v>965</v>
      </c>
      <c r="C64" s="1209" t="s">
        <v>1193</v>
      </c>
      <c r="D64" s="1209" t="s">
        <v>127</v>
      </c>
      <c r="E64" s="1209" t="s">
        <v>880</v>
      </c>
      <c r="F64" s="1209" t="s">
        <v>1194</v>
      </c>
      <c r="G64" s="1209" t="s">
        <v>882</v>
      </c>
      <c r="H64" s="1209" t="s">
        <v>883</v>
      </c>
      <c r="I64" s="1209" t="s">
        <v>884</v>
      </c>
      <c r="J64" s="1209" t="s">
        <v>1188</v>
      </c>
      <c r="K64" s="1209" t="s">
        <v>1189</v>
      </c>
      <c r="L64" s="1209" t="s">
        <v>1190</v>
      </c>
    </row>
    <row r="65" spans="2:12" ht="15.75" thickTop="1">
      <c r="B65" s="677" t="s">
        <v>979</v>
      </c>
      <c r="C65" s="685">
        <f>VLOOKUP($G$11,'EF Marine Vessels spec. TOTE'!$D$8:$K$17,2,FALSE)*VLOOKUP($G$17,'EF Marine Vessels spec. TOTE'!$B$97:$L$105,2,FALSE)</f>
        <v>11.467999999999998</v>
      </c>
      <c r="D65" s="685">
        <f>VLOOKUP($G$11,'EF Marine Vessels spec. TOTE'!$D$8:$K$17,3,FALSE)*VLOOKUP($G$17,'EF Marine Vessels spec. TOTE'!$B$97:$L$105,3,FALSE)</f>
        <v>0.5</v>
      </c>
      <c r="E65" s="685">
        <f>VLOOKUP($G$11,'EF Marine Vessels spec. TOTE'!$D$8:$K$17,4,FALSE)*VLOOKUP($G$17,'EF Marine Vessels spec. TOTE'!$B$97:$L$105,4,FALSE)</f>
        <v>1.1000000000000001</v>
      </c>
      <c r="F65" s="685">
        <f>VLOOKUP($G$11,'EF Marine Vessels spec. TOTE'!$D$8:$K$17,5,FALSE)*VLOOKUP($G$17,'EF Marine Vessels spec. TOTE'!$B$97:$L$105,5,FALSE)</f>
        <v>1.5539999999999998E-2</v>
      </c>
      <c r="G65" s="685">
        <f>VLOOKUP($G$11,'EF Marine Vessels spec. TOTE'!$D$8:$K$17,6,FALSE)*VLOOKUP($G$17,'EF Marine Vessels spec. TOTE'!$B$97:$L$105,6,FALSE)</f>
        <v>4.0800000000000003E-2</v>
      </c>
      <c r="H65" s="685">
        <f>VLOOKUP($G$11,'EF Marine Vessels spec. TOTE'!$D$8:$K$17,7,FALSE)*VLOOKUP($G$17,'EF Marine Vessels spec. TOTE'!$B$97:$L$105,7,FALSE)</f>
        <v>3.9100000000000003E-2</v>
      </c>
      <c r="I65" s="685">
        <f>VLOOKUP($G$11,'EF Marine Vessels spec. TOTE'!$D$8:$K$17,8,FALSE)*VLOOKUP($G$17,'EF Marine Vessels spec. TOTE'!$B$97:$L$105,8,FALSE)</f>
        <v>4.0800000000000003E-2</v>
      </c>
      <c r="J65" s="686">
        <f>VLOOKUP($G$11,'EF Marine Vessels spec. TOTE'!$P$8:$S$17,2,FALSE)*VLOOKUP($G$17,'EF Marine Vessels spec. TOTE'!$B$97:$L$105,9,FALSE)</f>
        <v>648</v>
      </c>
      <c r="K65" s="685">
        <f>VLOOKUP($G$11,'EF Marine Vessels spec. TOTE'!$P$8:$S$17,3,FALSE)*VLOOKUP($G$17,'EF Marine Vessels spec. TOTE'!$B$97:$L$105,10,FALSE)</f>
        <v>2.9139999999999999E-2</v>
      </c>
      <c r="L65" s="685">
        <f>VLOOKUP($G$11,'EF Marine Vessels spec. TOTE'!$P$8:$S$17,4,FALSE)*VLOOKUP($G$17,'EF Marine Vessels spec. TOTE'!$B$97:$L$105,11,FALSE)</f>
        <v>0.01</v>
      </c>
    </row>
    <row r="66" spans="2:12">
      <c r="B66" s="677" t="s">
        <v>1369</v>
      </c>
      <c r="C66" s="685">
        <f>VLOOKUP($G$11,'EF Marine Vessels spec. TOTE'!$D$8:$K$17,2,FALSE)*VLOOKUP($G$18,'EF Marine Vessels spec. TOTE'!$B$97:$L$105,2,FALSE)*VLOOKUP(IF($D$18/$D$11&lt;0.02,0.02,$D$18/$D$11),'EF Marine Vessels spec. TOTE'!$B$27:$F$45,2,TRUE)</f>
        <v>53.096839999999993</v>
      </c>
      <c r="D66" s="685">
        <f>VLOOKUP($G$11,'EF Marine Vessels spec. TOTE'!$D$8:$K$17,3,FALSE)*VLOOKUP($G$18,'EF Marine Vessels spec. TOTE'!$B$97:$L$105,3,FALSE)*VLOOKUP(IF($D$18/$D$11&lt;0.02,0.02,$D$18/$D$11),'EF Marine Vessels spec. TOTE'!$B$27:$F$45,3,TRUE)</f>
        <v>10.59</v>
      </c>
      <c r="E66" s="685">
        <f>VLOOKUP($G$11,'EF Marine Vessels spec. TOTE'!$D$8:$K$17,4,FALSE)*VLOOKUP($G$18,'EF Marine Vessels spec. TOTE'!$B$97:$L$105,4,FALSE)*VLOOKUP(IF($D$18/$D$11&lt;0.02,0.02,$D$18/$D$11),'EF Marine Vessels spec. TOTE'!$B$27:$F$45,4,TRUE)</f>
        <v>10.648</v>
      </c>
      <c r="F66" s="685">
        <f>VLOOKUP($G$11,'EF Marine Vessels spec. TOTE'!$D$8:$K$17,5,FALSE)*VLOOKUP($G$18,'EF Marine Vessels spec. TOTE'!$B$97:$L$105,5,FALSE)</f>
        <v>1.5539999999999998E-2</v>
      </c>
      <c r="G66" s="685">
        <f>VLOOKUP($G$11,'EF Marine Vessels spec. TOTE'!$D$8:$K$17,6,FALSE)*VLOOKUP($G$18,'EF Marine Vessels spec. TOTE'!$B$97:$L$105,6,FALSE)*VLOOKUP(IF($D$18/$D$11&lt;0.02,0.02,$D$18/$D$11),'EF Marine Vessels spec. TOTE'!$B$27:$F$45,5,TRUE)</f>
        <v>0.29743200000000003</v>
      </c>
      <c r="H66" s="685">
        <f>VLOOKUP($G$11,'EF Marine Vessels spec. TOTE'!$D$8:$K$17,7,FALSE)*VLOOKUP($G$18,'EF Marine Vessels spec. TOTE'!$B$97:$L$105,7,FALSE)*VLOOKUP(IF($D$18/$D$11&lt;0.02,0.02,$D$18/$D$11),'EF Marine Vessels spec. TOTE'!$B$27:$F$45,5,TRUE)</f>
        <v>0.28503900000000004</v>
      </c>
      <c r="I66" s="685">
        <f>VLOOKUP($G$11,'EF Marine Vessels spec. TOTE'!$D$8:$K$17,8,FALSE)*VLOOKUP($G$18,'EF Marine Vessels spec. TOTE'!$B$97:$L$105,8,FALSE)*VLOOKUP(IF($D$18/$D$11&lt;0.02,0.02,$D$18/$D$11),'EF Marine Vessels spec. TOTE'!$B$27:$F$45,5,TRUE)</f>
        <v>0.29743200000000003</v>
      </c>
      <c r="J66" s="686">
        <f>VLOOKUP($G$11,'EF Marine Vessels spec. TOTE'!$P$8:$S$17,2,FALSE)*VLOOKUP($G$17,'EF Marine Vessels spec. TOTE'!$B$97:$L$105,9,FALSE)</f>
        <v>648</v>
      </c>
      <c r="K66" s="685">
        <f>VLOOKUP($G$11,'EF Marine Vessels spec. TOTE'!$P$8:$S$17,3,FALSE)*VLOOKUP($G$17,'EF Marine Vessels spec. TOTE'!$B$97:$L$105,10,FALSE)</f>
        <v>2.9139999999999999E-2</v>
      </c>
      <c r="L66" s="685">
        <f>VLOOKUP($G$11,'EF Marine Vessels spec. TOTE'!$P$8:$S$17,4,FALSE)*VLOOKUP($G$17,'EF Marine Vessels spec. TOTE'!$B$97:$L$105,11,FALSE)</f>
        <v>0.01</v>
      </c>
    </row>
    <row r="67" spans="2:12">
      <c r="B67" s="677" t="s">
        <v>980</v>
      </c>
      <c r="C67" s="685">
        <f>VLOOKUP($G$11,'EF Marine Vessels spec. TOTE'!$D$8:$K$17,2,FALSE)*VLOOKUP($G$19,'EF Marine Vessels spec. TOTE'!$B$97:$L$105,2,FALSE)*VLOOKUP(IF($D$19/$D$11&lt;0.02,0.02,$D$19/$D$11),'EF Marine Vessels spec. TOTE'!$B$27:$F$45,2,TRUE)</f>
        <v>53.096839999999993</v>
      </c>
      <c r="D67" s="685">
        <f>VLOOKUP($G$11,'EF Marine Vessels spec. TOTE'!$D$8:$K$17,3,FALSE)*VLOOKUP($G$19,'EF Marine Vessels spec. TOTE'!$B$97:$L$105,3,FALSE)*VLOOKUP(IF($D$19/$D$11&lt;0.02,0.02,$D$19/$D$11),'EF Marine Vessels spec. TOTE'!$B$27:$F$45,3,TRUE)</f>
        <v>10.59</v>
      </c>
      <c r="E67" s="685">
        <f>VLOOKUP($G$11,'EF Marine Vessels spec. TOTE'!$D$8:$K$17,4,FALSE)*VLOOKUP($G$19,'EF Marine Vessels spec. TOTE'!$B$97:$L$105,4,FALSE)*VLOOKUP(IF($D$19/$D$11&lt;0.02,0.02,$D$19/$D$11),'EF Marine Vessels spec. TOTE'!$B$27:$F$45,4,TRUE)</f>
        <v>10.648</v>
      </c>
      <c r="F67" s="685">
        <f>VLOOKUP($G$11,'EF Marine Vessels spec. TOTE'!$D$8:$K$17,5,FALSE)*VLOOKUP($G$19,'EF Marine Vessels spec. TOTE'!$B$97:$L$105,5,FALSE)</f>
        <v>1.5539999999999998E-2</v>
      </c>
      <c r="G67" s="685">
        <f>VLOOKUP($G$11,'EF Marine Vessels spec. TOTE'!$D$8:$K$17,6,FALSE)*VLOOKUP($G$19,'EF Marine Vessels spec. TOTE'!$B$97:$L$105,6,FALSE)*VLOOKUP(IF($D$19/$D$11&lt;0.02,0.02,$D$19/$D$11),'EF Marine Vessels spec. TOTE'!$B$27:$F$45,5,TRUE)</f>
        <v>0.29743200000000003</v>
      </c>
      <c r="H67" s="685">
        <f>VLOOKUP($G$11,'EF Marine Vessels spec. TOTE'!$D$8:$K$17,7,FALSE)*VLOOKUP($G$19,'EF Marine Vessels spec. TOTE'!$B$97:$L$105,7,FALSE)*VLOOKUP(IF($D$19/$D$11&lt;0.02,0.02,$D$19/$D$11),'EF Marine Vessels spec. TOTE'!$B$27:$F$45,5,TRUE)</f>
        <v>0.28503900000000004</v>
      </c>
      <c r="I67" s="685">
        <f>VLOOKUP($G$11,'EF Marine Vessels spec. TOTE'!$D$8:$K$17,8,FALSE)*VLOOKUP($G$19,'EF Marine Vessels spec. TOTE'!$B$97:$L$105,8,FALSE)*VLOOKUP(IF($D$19/$D$11&lt;0.02,0.02,$D$19/$D$11),'EF Marine Vessels spec. TOTE'!$B$27:$F$45,5,TRUE)</f>
        <v>0.29743200000000003</v>
      </c>
      <c r="J67" s="686">
        <f>VLOOKUP($G$11,'EF Marine Vessels spec. TOTE'!$P$8:$S$17,2,FALSE)*VLOOKUP($G$17,'EF Marine Vessels spec. TOTE'!$B$97:$L$105,9,FALSE)</f>
        <v>648</v>
      </c>
      <c r="K67" s="685">
        <f>VLOOKUP($G$11,'EF Marine Vessels spec. TOTE'!$P$8:$S$17,3,FALSE)*VLOOKUP($G$17,'EF Marine Vessels spec. TOTE'!$B$97:$L$105,10,FALSE)</f>
        <v>2.9139999999999999E-2</v>
      </c>
      <c r="L67" s="685">
        <f>VLOOKUP($G$11,'EF Marine Vessels spec. TOTE'!$P$8:$S$17,4,FALSE)*VLOOKUP($G$17,'EF Marine Vessels spec. TOTE'!$B$97:$L$105,11,FALSE)</f>
        <v>0.01</v>
      </c>
    </row>
    <row r="68" spans="2:12" ht="18">
      <c r="B68" s="1217" t="s">
        <v>966</v>
      </c>
      <c r="C68" s="1218" t="s">
        <v>1193</v>
      </c>
      <c r="D68" s="1218" t="s">
        <v>127</v>
      </c>
      <c r="E68" s="1218" t="s">
        <v>880</v>
      </c>
      <c r="F68" s="1218" t="s">
        <v>1194</v>
      </c>
      <c r="G68" s="1218" t="s">
        <v>882</v>
      </c>
      <c r="H68" s="1218" t="s">
        <v>883</v>
      </c>
      <c r="I68" s="1218" t="s">
        <v>884</v>
      </c>
      <c r="J68" s="1218" t="s">
        <v>1188</v>
      </c>
      <c r="K68" s="1218" t="s">
        <v>1189</v>
      </c>
      <c r="L68" s="1218" t="s">
        <v>1190</v>
      </c>
    </row>
    <row r="69" spans="2:12">
      <c r="B69" s="677" t="s">
        <v>979</v>
      </c>
      <c r="C69" s="685">
        <f>VLOOKUP($H$11,'EF Marine Vessels spec. TOTE'!$D$50:$K$54,2,FALSE)*VLOOKUP($G17,'EF Marine Vessels spec. TOTE'!$B$97:$L$105,2,FALSE)</f>
        <v>11.467999999999998</v>
      </c>
      <c r="D69" s="685">
        <f>VLOOKUP($H$11,'EF Marine Vessels spec. TOTE'!$D$50:$K$54,3,FALSE)*VLOOKUP($G17,'EF Marine Vessels spec. TOTE'!$B$97:$L$105,3,FALSE)</f>
        <v>0.4</v>
      </c>
      <c r="E69" s="685">
        <f>VLOOKUP($H$11,'EF Marine Vessels spec. TOTE'!$D$50:$K$54,4,FALSE)*VLOOKUP($G17,'EF Marine Vessels spec. TOTE'!$B$97:$L$105,4,FALSE)</f>
        <v>1.1000000000000001</v>
      </c>
      <c r="F69" s="685">
        <f>VLOOKUP($H$11,'EF Marine Vessels spec. TOTE'!$D$50:$K$54,5,FALSE)*VLOOKUP($G17,'EF Marine Vessels spec. TOTE'!$B$97:$L$105,5,FALSE)</f>
        <v>1.6279999999999999E-2</v>
      </c>
      <c r="G69" s="685">
        <f>VLOOKUP($H$11,'EF Marine Vessels spec. TOTE'!$D$50:$K$54,6,FALSE)*VLOOKUP($G17,'EF Marine Vessels spec. TOTE'!$B$97:$L$105,6,FALSE)</f>
        <v>4.0800000000000003E-2</v>
      </c>
      <c r="H69" s="685">
        <f>VLOOKUP($H$11,'EF Marine Vessels spec. TOTE'!$D$50:$K$54,7,FALSE)*VLOOKUP($G17,'EF Marine Vessels spec. TOTE'!$B$97:$L$105,7,FALSE)</f>
        <v>3.9100000000000003E-2</v>
      </c>
      <c r="I69" s="685">
        <f>VLOOKUP($H$11,'EF Marine Vessels spec. TOTE'!$D$50:$K$54,8,FALSE)*VLOOKUP($G17,'EF Marine Vessels spec. TOTE'!$B$97:$L$105,8,FALSE)</f>
        <v>4.0800000000000003E-2</v>
      </c>
      <c r="J69" s="686">
        <f>VLOOKUP($H$11,'EF Marine Vessels spec. TOTE'!$P$50:$S$54,2,FALSE)*VLOOKUP($G17,'EF Marine Vessels spec. TOTE'!$B$97:$L$105,9,FALSE)</f>
        <v>683</v>
      </c>
      <c r="K69" s="685">
        <f>VLOOKUP($H$11,'EF Marine Vessels spec. TOTE'!$P$50:$S$54,3,FALSE)*VLOOKUP($G17,'EF Marine Vessels spec. TOTE'!$B$97:$L$105,10,FALSE)</f>
        <v>2.726E-2</v>
      </c>
      <c r="L69" s="685">
        <f>VLOOKUP($H$11,'EF Marine Vessels spec. TOTE'!$P$50:$S$54,4,FALSE)*VLOOKUP($G17,'EF Marine Vessels spec. TOTE'!$B$97:$L$105,11,FALSE)</f>
        <v>8.0000000000000002E-3</v>
      </c>
    </row>
    <row r="70" spans="2:12">
      <c r="B70" s="677" t="s">
        <v>1369</v>
      </c>
      <c r="C70" s="685">
        <f>VLOOKUP($H$11,'EF Marine Vessels spec. TOTE'!$D$50:$K$54,2,FALSE)*VLOOKUP($G18,'EF Marine Vessels spec. TOTE'!$B$97:$L$105,2,FALSE)</f>
        <v>11.467999999999998</v>
      </c>
      <c r="D70" s="685">
        <f>VLOOKUP($H$11,'EF Marine Vessels spec. TOTE'!$D$50:$K$54,3,FALSE)*VLOOKUP($G18,'EF Marine Vessels spec. TOTE'!$B$97:$L$105,3,FALSE)</f>
        <v>0.4</v>
      </c>
      <c r="E70" s="685">
        <f>VLOOKUP($H$11,'EF Marine Vessels spec. TOTE'!$D$50:$K$54,4,FALSE)*VLOOKUP($G18,'EF Marine Vessels spec. TOTE'!$B$97:$L$105,4,FALSE)</f>
        <v>1.1000000000000001</v>
      </c>
      <c r="F70" s="685">
        <f>VLOOKUP($H$11,'EF Marine Vessels spec. TOTE'!$D$50:$K$54,5,FALSE)*VLOOKUP($G18,'EF Marine Vessels spec. TOTE'!$B$97:$L$105,5,FALSE)</f>
        <v>1.6279999999999999E-2</v>
      </c>
      <c r="G70" s="685">
        <f>VLOOKUP($H$11,'EF Marine Vessels spec. TOTE'!$D$50:$K$54,6,FALSE)*VLOOKUP($G18,'EF Marine Vessels spec. TOTE'!$B$97:$L$105,6,FALSE)</f>
        <v>4.0800000000000003E-2</v>
      </c>
      <c r="H70" s="685">
        <f>VLOOKUP($H$11,'EF Marine Vessels spec. TOTE'!$D$50:$K$54,7,FALSE)*VLOOKUP($G18,'EF Marine Vessels spec. TOTE'!$B$97:$L$105,7,FALSE)</f>
        <v>3.9100000000000003E-2</v>
      </c>
      <c r="I70" s="685">
        <f>VLOOKUP($H$11,'EF Marine Vessels spec. TOTE'!$D$50:$K$54,8,FALSE)*VLOOKUP($G18,'EF Marine Vessels spec. TOTE'!$B$97:$L$105,8,FALSE)</f>
        <v>4.0800000000000003E-2</v>
      </c>
      <c r="J70" s="686">
        <f>VLOOKUP($H$11,'EF Marine Vessels spec. TOTE'!$P$50:$S$54,2,FALSE)*VLOOKUP($G18,'EF Marine Vessels spec. TOTE'!$B$97:$L$105,9,FALSE)</f>
        <v>683</v>
      </c>
      <c r="K70" s="685">
        <f>VLOOKUP($H$11,'EF Marine Vessels spec. TOTE'!$P$50:$S$54,3,FALSE)*VLOOKUP($G18,'EF Marine Vessels spec. TOTE'!$B$97:$L$105,10,FALSE)</f>
        <v>2.726E-2</v>
      </c>
      <c r="L70" s="685">
        <f>VLOOKUP($H$11,'EF Marine Vessels spec. TOTE'!$P$50:$S$54,4,FALSE)*VLOOKUP($G18,'EF Marine Vessels spec. TOTE'!$B$97:$L$105,11,FALSE)</f>
        <v>8.0000000000000002E-3</v>
      </c>
    </row>
    <row r="71" spans="2:12">
      <c r="B71" s="677" t="s">
        <v>980</v>
      </c>
      <c r="C71" s="685">
        <f>VLOOKUP($H$11,'EF Marine Vessels spec. TOTE'!$D$50:$K$54,2,FALSE)*VLOOKUP($G19,'EF Marine Vessels spec. TOTE'!$B$97:$L$105,2,FALSE)</f>
        <v>11.467999999999998</v>
      </c>
      <c r="D71" s="685">
        <f>VLOOKUP($H$11,'EF Marine Vessels spec. TOTE'!$D$50:$K$54,3,FALSE)*VLOOKUP($G19,'EF Marine Vessels spec. TOTE'!$B$97:$L$105,3,FALSE)</f>
        <v>0.4</v>
      </c>
      <c r="E71" s="685">
        <f>VLOOKUP($H$11,'EF Marine Vessels spec. TOTE'!$D$50:$K$54,4,FALSE)*VLOOKUP($G19,'EF Marine Vessels spec. TOTE'!$B$97:$L$105,4,FALSE)</f>
        <v>1.1000000000000001</v>
      </c>
      <c r="F71" s="685">
        <f>VLOOKUP($H$11,'EF Marine Vessels spec. TOTE'!$D$50:$K$54,5,FALSE)*VLOOKUP($G19,'EF Marine Vessels spec. TOTE'!$B$97:$L$105,5,FALSE)</f>
        <v>1.6279999999999999E-2</v>
      </c>
      <c r="G71" s="685">
        <f>VLOOKUP($H$11,'EF Marine Vessels spec. TOTE'!$D$50:$K$54,6,FALSE)*VLOOKUP($G19,'EF Marine Vessels spec. TOTE'!$B$97:$L$105,6,FALSE)</f>
        <v>4.0800000000000003E-2</v>
      </c>
      <c r="H71" s="685">
        <f>VLOOKUP($H$11,'EF Marine Vessels spec. TOTE'!$D$50:$K$54,7,FALSE)*VLOOKUP($G19,'EF Marine Vessels spec. TOTE'!$B$97:$L$105,7,FALSE)</f>
        <v>3.9100000000000003E-2</v>
      </c>
      <c r="I71" s="685">
        <f>VLOOKUP($H$11,'EF Marine Vessels spec. TOTE'!$D$50:$K$54,8,FALSE)*VLOOKUP($G19,'EF Marine Vessels spec. TOTE'!$B$97:$L$105,8,FALSE)</f>
        <v>4.0800000000000003E-2</v>
      </c>
      <c r="J71" s="686">
        <f>VLOOKUP($H$11,'EF Marine Vessels spec. TOTE'!$P$50:$S$54,2,FALSE)*VLOOKUP($G19,'EF Marine Vessels spec. TOTE'!$B$97:$L$105,9,FALSE)</f>
        <v>683</v>
      </c>
      <c r="K71" s="685">
        <f>VLOOKUP($H$11,'EF Marine Vessels spec. TOTE'!$P$50:$S$54,3,FALSE)*VLOOKUP($G19,'EF Marine Vessels spec. TOTE'!$B$97:$L$105,10,FALSE)</f>
        <v>2.726E-2</v>
      </c>
      <c r="L71" s="685">
        <f>VLOOKUP($H$11,'EF Marine Vessels spec. TOTE'!$P$50:$S$54,4,FALSE)*VLOOKUP($G19,'EF Marine Vessels spec. TOTE'!$B$97:$L$105,11,FALSE)</f>
        <v>8.0000000000000002E-3</v>
      </c>
    </row>
    <row r="72" spans="2:12" ht="18">
      <c r="B72" s="1217" t="s">
        <v>1004</v>
      </c>
      <c r="C72" s="1218" t="s">
        <v>1193</v>
      </c>
      <c r="D72" s="1218" t="s">
        <v>127</v>
      </c>
      <c r="E72" s="1218" t="s">
        <v>880</v>
      </c>
      <c r="F72" s="1218" t="s">
        <v>1194</v>
      </c>
      <c r="G72" s="1218" t="s">
        <v>882</v>
      </c>
      <c r="H72" s="1218" t="s">
        <v>883</v>
      </c>
      <c r="I72" s="1218" t="s">
        <v>884</v>
      </c>
      <c r="J72" s="1218" t="s">
        <v>1188</v>
      </c>
      <c r="K72" s="1218" t="s">
        <v>1189</v>
      </c>
      <c r="L72" s="1218" t="s">
        <v>1190</v>
      </c>
    </row>
    <row r="73" spans="2:12">
      <c r="B73" s="677" t="s">
        <v>979</v>
      </c>
      <c r="C73" s="685">
        <f>VLOOKUP($I$11,'EF Marine Vessels spec. TOTE'!$D$59:$K$60,2,FALSE)*VLOOKUP($G17,'EF Marine Vessels spec. TOTE'!$B$97:$L$105,2,FALSE)</f>
        <v>1.88</v>
      </c>
      <c r="D73" s="685">
        <f>VLOOKUP($I$11,'EF Marine Vessels spec. TOTE'!$D$59:$K$60,3,FALSE)*VLOOKUP($G17,'EF Marine Vessels spec. TOTE'!$B$97:$L$105,3,FALSE)</f>
        <v>0.1</v>
      </c>
      <c r="E73" s="685">
        <f>VLOOKUP($I$11,'EF Marine Vessels spec. TOTE'!$D$59:$K$60,4,FALSE)*VLOOKUP($G17,'EF Marine Vessels spec. TOTE'!$B$97:$L$105,4,FALSE)</f>
        <v>0.2</v>
      </c>
      <c r="F73" s="685">
        <f>VLOOKUP($I$11,'EF Marine Vessels spec. TOTE'!$D$59:$K$60,5,FALSE)*VLOOKUP($G17,'EF Marine Vessels spec. TOTE'!$B$97:$L$105,5,FALSE)</f>
        <v>0.22199999999999998</v>
      </c>
      <c r="G73" s="685">
        <f>VLOOKUP($I$11,'EF Marine Vessels spec. TOTE'!$D$59:$K$60,6,FALSE)*VLOOKUP($G17,'EF Marine Vessels spec. TOTE'!$B$97:$L$105,6,FALSE)</f>
        <v>2.72</v>
      </c>
      <c r="H73" s="685">
        <f>VLOOKUP($I$11,'EF Marine Vessels spec. TOTE'!$D$59:$K$60,7,FALSE)*VLOOKUP($G17,'EF Marine Vessels spec. TOTE'!$B$97:$L$105,7,FALSE)</f>
        <v>2.5500000000000002E-2</v>
      </c>
      <c r="I73" s="685">
        <f>VLOOKUP($I$11,'EF Marine Vessels spec. TOTE'!$D$59:$K$60,8,FALSE)*VLOOKUP($G17,'EF Marine Vessels spec. TOTE'!$B$97:$L$105,8,FALSE)</f>
        <v>0</v>
      </c>
      <c r="J73" s="686">
        <f>VLOOKUP($I$11,'EF Marine Vessels spec. TOTE'!$P$59:$S$60,2,FALSE)*VLOOKUP($G17,'EF Marine Vessels spec. TOTE'!$B$97:$L$105,9,FALSE)</f>
        <v>922</v>
      </c>
      <c r="K73" s="685">
        <f>VLOOKUP($I$11,'EF Marine Vessels spec. TOTE'!$P$59:$S$60,3,FALSE)*VLOOKUP($G17,'EF Marine Vessels spec. TOTE'!$B$97:$L$105,10,FALSE)</f>
        <v>7.0499999999999993E-2</v>
      </c>
      <c r="L73" s="685">
        <f>VLOOKUP($I$11,'EF Marine Vessels spec. TOTE'!$P$59:$S$60,4,FALSE)*VLOOKUP($G17,'EF Marine Vessels spec. TOTE'!$B$97:$L$105,11,FALSE)</f>
        <v>2E-3</v>
      </c>
    </row>
    <row r="74" spans="2:12">
      <c r="B74" s="677" t="s">
        <v>1369</v>
      </c>
      <c r="C74" s="685">
        <f>VLOOKUP($I$11,'EF Marine Vessels spec. TOTE'!$D$59:$K$60,2,FALSE)*VLOOKUP($G18,'EF Marine Vessels spec. TOTE'!$B$97:$L$105,2,FALSE)</f>
        <v>1.88</v>
      </c>
      <c r="D74" s="685">
        <f>VLOOKUP($I$11,'EF Marine Vessels spec. TOTE'!$D$59:$K$60,3,FALSE)*VLOOKUP($G18,'EF Marine Vessels spec. TOTE'!$B$97:$L$105,3,FALSE)</f>
        <v>0.1</v>
      </c>
      <c r="E74" s="685">
        <f>VLOOKUP($I$11,'EF Marine Vessels spec. TOTE'!$D$59:$K$60,4,FALSE)*VLOOKUP($G18,'EF Marine Vessels spec. TOTE'!$B$97:$L$105,4,FALSE)</f>
        <v>0.2</v>
      </c>
      <c r="F74" s="685">
        <f>VLOOKUP($I$11,'EF Marine Vessels spec. TOTE'!$D$59:$K$60,5,FALSE)*VLOOKUP($G18,'EF Marine Vessels spec. TOTE'!$B$97:$L$105,5,FALSE)</f>
        <v>0.22199999999999998</v>
      </c>
      <c r="G74" s="685">
        <f>VLOOKUP($I$11,'EF Marine Vessels spec. TOTE'!$D$59:$K$60,6,FALSE)*VLOOKUP($G18,'EF Marine Vessels spec. TOTE'!$B$97:$L$105,6,FALSE)</f>
        <v>2.72</v>
      </c>
      <c r="H74" s="685">
        <f>VLOOKUP($I$11,'EF Marine Vessels spec. TOTE'!$D$59:$K$60,7,FALSE)*VLOOKUP($G18,'EF Marine Vessels spec. TOTE'!$B$97:$L$105,7,FALSE)</f>
        <v>2.5500000000000002E-2</v>
      </c>
      <c r="I74" s="685">
        <f>VLOOKUP($I$11,'EF Marine Vessels spec. TOTE'!$D$59:$K$60,8,FALSE)*VLOOKUP($G18,'EF Marine Vessels spec. TOTE'!$B$97:$L$105,8,FALSE)</f>
        <v>0</v>
      </c>
      <c r="J74" s="686">
        <f>VLOOKUP($I$11,'EF Marine Vessels spec. TOTE'!$P$59:$S$60,2,FALSE)*VLOOKUP($G18,'EF Marine Vessels spec. TOTE'!$B$97:$L$105,9,FALSE)</f>
        <v>922</v>
      </c>
      <c r="K74" s="685">
        <f>VLOOKUP($I$11,'EF Marine Vessels spec. TOTE'!$P$59:$S$60,3,FALSE)*VLOOKUP($G18,'EF Marine Vessels spec. TOTE'!$B$97:$L$105,10,FALSE)</f>
        <v>7.0499999999999993E-2</v>
      </c>
      <c r="L74" s="685">
        <f>VLOOKUP($I$11,'EF Marine Vessels spec. TOTE'!$P$59:$S$60,4,FALSE)*VLOOKUP($G18,'EF Marine Vessels spec. TOTE'!$B$97:$L$105,11,FALSE)</f>
        <v>2E-3</v>
      </c>
    </row>
    <row r="75" spans="2:12">
      <c r="B75" s="1201" t="s">
        <v>980</v>
      </c>
      <c r="C75" s="1219">
        <f>VLOOKUP($I$11,'EF Marine Vessels spec. TOTE'!$D$59:$K$60,2,FALSE)*VLOOKUP($G19,'EF Marine Vessels spec. TOTE'!$B$97:$L$105,2,FALSE)</f>
        <v>1.88</v>
      </c>
      <c r="D75" s="1219">
        <f>VLOOKUP($I$11,'EF Marine Vessels spec. TOTE'!$D$59:$K$60,3,FALSE)*VLOOKUP($G19,'EF Marine Vessels spec. TOTE'!$B$97:$L$105,3,FALSE)</f>
        <v>0.1</v>
      </c>
      <c r="E75" s="1219">
        <f>VLOOKUP($I$11,'EF Marine Vessels spec. TOTE'!$D$59:$K$60,4,FALSE)*VLOOKUP($G19,'EF Marine Vessels spec. TOTE'!$B$97:$L$105,4,FALSE)</f>
        <v>0.2</v>
      </c>
      <c r="F75" s="1219">
        <f>VLOOKUP($I$11,'EF Marine Vessels spec. TOTE'!$D$59:$K$60,5,FALSE)*VLOOKUP($G19,'EF Marine Vessels spec. TOTE'!$B$97:$L$105,5,FALSE)</f>
        <v>0.22199999999999998</v>
      </c>
      <c r="G75" s="1219">
        <f>VLOOKUP($I$11,'EF Marine Vessels spec. TOTE'!$D$59:$K$60,6,FALSE)*VLOOKUP($G19,'EF Marine Vessels spec. TOTE'!$B$97:$L$105,6,FALSE)</f>
        <v>2.72</v>
      </c>
      <c r="H75" s="1219">
        <f>VLOOKUP($I$11,'EF Marine Vessels spec. TOTE'!$D$59:$K$60,7,FALSE)*VLOOKUP($G19,'EF Marine Vessels spec. TOTE'!$B$97:$L$105,7,FALSE)</f>
        <v>2.5500000000000002E-2</v>
      </c>
      <c r="I75" s="1219">
        <f>VLOOKUP($I$11,'EF Marine Vessels spec. TOTE'!$D$59:$K$60,8,FALSE)*VLOOKUP($G19,'EF Marine Vessels spec. TOTE'!$B$97:$L$105,8,FALSE)</f>
        <v>0</v>
      </c>
      <c r="J75" s="1220">
        <f>VLOOKUP($I$11,'EF Marine Vessels spec. TOTE'!$P$59:$S$60,2,FALSE)*VLOOKUP($G19,'EF Marine Vessels spec. TOTE'!$B$97:$L$105,9,FALSE)</f>
        <v>922</v>
      </c>
      <c r="K75" s="1219">
        <f>VLOOKUP($I$11,'EF Marine Vessels spec. TOTE'!$P$59:$S$60,3,FALSE)*VLOOKUP($G19,'EF Marine Vessels spec. TOTE'!$B$97:$L$105,10,FALSE)</f>
        <v>7.0499999999999993E-2</v>
      </c>
      <c r="L75" s="1219">
        <f>VLOOKUP($I$11,'EF Marine Vessels spec. TOTE'!$P$59:$S$60,4,FALSE)*VLOOKUP($G19,'EF Marine Vessels spec. TOTE'!$B$97:$L$105,11,FALSE)</f>
        <v>2E-3</v>
      </c>
    </row>
    <row r="78" spans="2:12" ht="15.75">
      <c r="B78" s="1215" t="s">
        <v>1007</v>
      </c>
      <c r="C78" s="1810" t="s">
        <v>1005</v>
      </c>
      <c r="D78" s="1810"/>
      <c r="E78" s="1810"/>
      <c r="F78" s="1810"/>
      <c r="G78" s="1810"/>
      <c r="H78" s="1810"/>
      <c r="I78" s="1810"/>
      <c r="J78" s="1810"/>
      <c r="K78" s="1810"/>
      <c r="L78" s="1810"/>
    </row>
    <row r="79" spans="2:12" ht="18.75" thickBot="1">
      <c r="B79" s="1216" t="s">
        <v>965</v>
      </c>
      <c r="C79" s="1209" t="s">
        <v>1193</v>
      </c>
      <c r="D79" s="1209" t="s">
        <v>127</v>
      </c>
      <c r="E79" s="1209" t="s">
        <v>880</v>
      </c>
      <c r="F79" s="1209" t="s">
        <v>1194</v>
      </c>
      <c r="G79" s="1209" t="s">
        <v>882</v>
      </c>
      <c r="H79" s="1209" t="s">
        <v>883</v>
      </c>
      <c r="I79" s="1209" t="s">
        <v>884</v>
      </c>
      <c r="J79" s="1209" t="s">
        <v>1188</v>
      </c>
      <c r="K79" s="1209" t="s">
        <v>1189</v>
      </c>
      <c r="L79" s="1209" t="s">
        <v>1190</v>
      </c>
    </row>
    <row r="80" spans="2:12" ht="15.75" thickTop="1">
      <c r="B80" s="677" t="s">
        <v>979</v>
      </c>
      <c r="C80" s="685">
        <f>VLOOKUP($G$11,'EF Marine Vessels spec. TOTE'!$D$8:$K$17,2,FALSE)*VLOOKUP($H$17,'EF Marine Vessels spec. TOTE'!$B$97:$L$105,2,FALSE)</f>
        <v>11.467999999999998</v>
      </c>
      <c r="D80" s="685">
        <f>VLOOKUP($G$11,'EF Marine Vessels spec. TOTE'!$D$8:$K$17,3,FALSE)*VLOOKUP($H$17,'EF Marine Vessels spec. TOTE'!$B$97:$L$105,3,FALSE)</f>
        <v>0.5</v>
      </c>
      <c r="E80" s="685">
        <f>VLOOKUP($G$11,'EF Marine Vessels spec. TOTE'!$D$8:$K$17,4,FALSE)*VLOOKUP($H$17,'EF Marine Vessels spec. TOTE'!$B$97:$L$105,4,FALSE)</f>
        <v>1.1000000000000001</v>
      </c>
      <c r="F80" s="685">
        <f>VLOOKUP($G$11,'EF Marine Vessels spec. TOTE'!$D$8:$K$17,5,FALSE)*VLOOKUP($H$17,'EF Marine Vessels spec. TOTE'!$B$97:$L$105,5,FALSE)</f>
        <v>1.5539999999999998E-2</v>
      </c>
      <c r="G80" s="685">
        <f>VLOOKUP($G$11,'EF Marine Vessels spec. TOTE'!$D$8:$K$17,6,FALSE)*VLOOKUP($H$17,'EF Marine Vessels spec. TOTE'!$B$97:$L$105,6,FALSE)</f>
        <v>4.0800000000000003E-2</v>
      </c>
      <c r="H80" s="685">
        <f>VLOOKUP($G$11,'EF Marine Vessels spec. TOTE'!$D$8:$K$17,7,FALSE)*VLOOKUP($H$17,'EF Marine Vessels spec. TOTE'!$B$97:$L$105,7,FALSE)</f>
        <v>3.9100000000000003E-2</v>
      </c>
      <c r="I80" s="685">
        <f>VLOOKUP($G$11,'EF Marine Vessels spec. TOTE'!$D$8:$K$17,8,FALSE)*VLOOKUP($H$17,'EF Marine Vessels spec. TOTE'!$B$97:$L$105,8,FALSE)</f>
        <v>4.0800000000000003E-2</v>
      </c>
      <c r="J80" s="686">
        <f>VLOOKUP($G$11,'EF Marine Vessels spec. TOTE'!$P$8:$S$17,2,FALSE)*VLOOKUP($G$17,'EF Marine Vessels spec. TOTE'!$B$97:$L$105,9,FALSE)</f>
        <v>648</v>
      </c>
      <c r="K80" s="685">
        <f>VLOOKUP($G$11,'EF Marine Vessels spec. TOTE'!$P$8:$S$17,3,FALSE)*VLOOKUP($G$17,'EF Marine Vessels spec. TOTE'!$B$97:$L$105,10,FALSE)</f>
        <v>2.9139999999999999E-2</v>
      </c>
      <c r="L80" s="685">
        <f>VLOOKUP($G$11,'EF Marine Vessels spec. TOTE'!$P$8:$S$17,4,FALSE)*VLOOKUP($G$17,'EF Marine Vessels spec. TOTE'!$B$97:$L$105,11,FALSE)</f>
        <v>0.01</v>
      </c>
    </row>
    <row r="81" spans="2:12">
      <c r="B81" s="677" t="s">
        <v>1369</v>
      </c>
      <c r="C81" s="685">
        <f>VLOOKUP($G$11,'EF Marine Vessels spec. TOTE'!$D$8:$K$17,2,FALSE)*VLOOKUP($H$18,'EF Marine Vessels spec. TOTE'!$B$97:$L$105,2,FALSE)*VLOOKUP(IF($D$18/$D$11&lt;0.02,0.02,$D$18/$D$11),'EF Marine Vessels spec. TOTE'!$B$27:$F$45,2,TRUE)</f>
        <v>53.096839999999993</v>
      </c>
      <c r="D81" s="685">
        <f>VLOOKUP($G$11,'EF Marine Vessels spec. TOTE'!$D$8:$K$17,3,FALSE)*VLOOKUP($H$18,'EF Marine Vessels spec. TOTE'!$B$97:$L$105,3,FALSE)*VLOOKUP(IF($D$18/$D$11&lt;0.02,0.02,$D$18/$D$11),'EF Marine Vessels spec. TOTE'!$B$27:$F$45,3,TRUE)</f>
        <v>10.59</v>
      </c>
      <c r="E81" s="685">
        <f>VLOOKUP($G$11,'EF Marine Vessels spec. TOTE'!$D$8:$K$17,4,FALSE)*VLOOKUP($H$18,'EF Marine Vessels spec. TOTE'!$B$97:$L$105,4,FALSE)*VLOOKUP(IF($D$18/$D$11&lt;0.02,0.02,$D$18/$D$11),'EF Marine Vessels spec. TOTE'!$B$27:$F$45,4,TRUE)</f>
        <v>10.648</v>
      </c>
      <c r="F81" s="685">
        <f>VLOOKUP($G$11,'EF Marine Vessels spec. TOTE'!$D$8:$K$17,5,FALSE)*VLOOKUP($H$18,'EF Marine Vessels spec. TOTE'!$B$97:$L$105,5,FALSE)</f>
        <v>1.5539999999999998E-2</v>
      </c>
      <c r="G81" s="685">
        <f>VLOOKUP($G$11,'EF Marine Vessels spec. TOTE'!$D$8:$K$17,6,FALSE)*VLOOKUP($H$18,'EF Marine Vessels spec. TOTE'!$B$97:$L$105,6,FALSE)*VLOOKUP(IF($D$18/$D$11&lt;0.02,0.02,$D$18/$D$11),'EF Marine Vessels spec. TOTE'!$B$27:$F$45,5,TRUE)</f>
        <v>0.29743200000000003</v>
      </c>
      <c r="H81" s="685">
        <f>VLOOKUP($G$11,'EF Marine Vessels spec. TOTE'!$D$8:$K$17,7,FALSE)*VLOOKUP($H$18,'EF Marine Vessels spec. TOTE'!$B$97:$L$105,7,FALSE)*VLOOKUP(IF($D$18/$D$11&lt;0.02,0.02,$D$18/$D$11),'EF Marine Vessels spec. TOTE'!$B$27:$F$45,5,TRUE)</f>
        <v>0.28503900000000004</v>
      </c>
      <c r="I81" s="685">
        <f>VLOOKUP($G$11,'EF Marine Vessels spec. TOTE'!$D$8:$K$17,8,FALSE)*VLOOKUP($H$18,'EF Marine Vessels spec. TOTE'!$B$97:$L$105,8,FALSE)*VLOOKUP(IF($D$18/$D$11&lt;0.02,0.02,$D$18/$D$11),'EF Marine Vessels spec. TOTE'!$B$27:$F$45,5,TRUE)</f>
        <v>0.29743200000000003</v>
      </c>
      <c r="J81" s="686">
        <f>VLOOKUP($G$11,'EF Marine Vessels spec. TOTE'!$P$8:$S$17,2,FALSE)*VLOOKUP($G$17,'EF Marine Vessels spec. TOTE'!$B$97:$L$105,9,FALSE)</f>
        <v>648</v>
      </c>
      <c r="K81" s="685">
        <f>VLOOKUP($G$11,'EF Marine Vessels spec. TOTE'!$P$8:$S$17,3,FALSE)*VLOOKUP($G$17,'EF Marine Vessels spec. TOTE'!$B$97:$L$105,10,FALSE)</f>
        <v>2.9139999999999999E-2</v>
      </c>
      <c r="L81" s="685">
        <f>VLOOKUP($G$11,'EF Marine Vessels spec. TOTE'!$P$8:$S$17,4,FALSE)*VLOOKUP($G$17,'EF Marine Vessels spec. TOTE'!$B$97:$L$105,11,FALSE)</f>
        <v>0.01</v>
      </c>
    </row>
    <row r="82" spans="2:12">
      <c r="B82" s="677" t="s">
        <v>980</v>
      </c>
      <c r="C82" s="685">
        <f>VLOOKUP($G$11,'EF Marine Vessels spec. TOTE'!$D$8:$K$17,2,FALSE)*VLOOKUP($H$19,'EF Marine Vessels spec. TOTE'!$B$97:$L$105,2,FALSE)*VLOOKUP(IF($D$19/$D$11&lt;0.02,0.02,$D$19/$D$11),'EF Marine Vessels spec. TOTE'!$B$27:$F$45,2,TRUE)</f>
        <v>53.096839999999993</v>
      </c>
      <c r="D82" s="685">
        <f>VLOOKUP($G$11,'EF Marine Vessels spec. TOTE'!$D$8:$K$17,3,FALSE)*VLOOKUP($H$19,'EF Marine Vessels spec. TOTE'!$B$97:$L$105,3,FALSE)*VLOOKUP(IF($D$19/$D$11&lt;0.02,0.02,$D$19/$D$11),'EF Marine Vessels spec. TOTE'!$B$27:$F$45,3,TRUE)</f>
        <v>10.59</v>
      </c>
      <c r="E82" s="685">
        <f>VLOOKUP($G$11,'EF Marine Vessels spec. TOTE'!$D$8:$K$17,4,FALSE)*VLOOKUP($H$19,'EF Marine Vessels spec. TOTE'!$B$97:$L$105,4,FALSE)*VLOOKUP(IF($D$19/$D$11&lt;0.02,0.02,$D$19/$D$11),'EF Marine Vessels spec. TOTE'!$B$27:$F$45,4,TRUE)</f>
        <v>10.648</v>
      </c>
      <c r="F82" s="685">
        <f>VLOOKUP($G$11,'EF Marine Vessels spec. TOTE'!$D$8:$K$17,5,FALSE)*VLOOKUP($H$19,'EF Marine Vessels spec. TOTE'!$B$97:$L$105,5,FALSE)</f>
        <v>1.5539999999999998E-2</v>
      </c>
      <c r="G82" s="685">
        <f>VLOOKUP($G$11,'EF Marine Vessels spec. TOTE'!$D$8:$K$17,6,FALSE)*VLOOKUP($H$19,'EF Marine Vessels spec. TOTE'!$B$97:$L$105,6,FALSE)*VLOOKUP(IF($D$19/$D$11&lt;0.02,0.02,$D$19/$D$11),'EF Marine Vessels spec. TOTE'!$B$27:$F$45,5,TRUE)</f>
        <v>0.29743200000000003</v>
      </c>
      <c r="H82" s="685">
        <f>VLOOKUP($G$11,'EF Marine Vessels spec. TOTE'!$D$8:$K$17,7,FALSE)*VLOOKUP($H$19,'EF Marine Vessels spec. TOTE'!$B$97:$L$105,7,FALSE)*VLOOKUP(IF($D$19/$D$11&lt;0.02,0.02,$D$19/$D$11),'EF Marine Vessels spec. TOTE'!$B$27:$F$45,5,TRUE)</f>
        <v>0.28503900000000004</v>
      </c>
      <c r="I82" s="685">
        <f>VLOOKUP($G$11,'EF Marine Vessels spec. TOTE'!$D$8:$K$17,8,FALSE)*VLOOKUP($H$19,'EF Marine Vessels spec. TOTE'!$B$97:$L$105,8,FALSE)*VLOOKUP(IF($D$19/$D$11&lt;0.02,0.02,$D$19/$D$11),'EF Marine Vessels spec. TOTE'!$B$27:$F$45,5,TRUE)</f>
        <v>0.29743200000000003</v>
      </c>
      <c r="J82" s="686">
        <f>VLOOKUP($G$11,'EF Marine Vessels spec. TOTE'!$P$8:$S$17,2,FALSE)*VLOOKUP($G$17,'EF Marine Vessels spec. TOTE'!$B$97:$L$105,9,FALSE)</f>
        <v>648</v>
      </c>
      <c r="K82" s="685">
        <f>VLOOKUP($G$11,'EF Marine Vessels spec. TOTE'!$P$8:$S$17,3,FALSE)*VLOOKUP($G$17,'EF Marine Vessels spec. TOTE'!$B$97:$L$105,10,FALSE)</f>
        <v>2.9139999999999999E-2</v>
      </c>
      <c r="L82" s="685">
        <f>VLOOKUP($G$11,'EF Marine Vessels spec. TOTE'!$P$8:$S$17,4,FALSE)*VLOOKUP($G$17,'EF Marine Vessels spec. TOTE'!$B$97:$L$105,11,FALSE)</f>
        <v>0.01</v>
      </c>
    </row>
    <row r="83" spans="2:12" ht="18">
      <c r="B83" s="1217" t="s">
        <v>966</v>
      </c>
      <c r="C83" s="1218" t="s">
        <v>1193</v>
      </c>
      <c r="D83" s="1218" t="s">
        <v>127</v>
      </c>
      <c r="E83" s="1218" t="s">
        <v>880</v>
      </c>
      <c r="F83" s="1218" t="s">
        <v>1194</v>
      </c>
      <c r="G83" s="1218" t="s">
        <v>882</v>
      </c>
      <c r="H83" s="1218" t="s">
        <v>883</v>
      </c>
      <c r="I83" s="1218" t="s">
        <v>884</v>
      </c>
      <c r="J83" s="1218" t="s">
        <v>1188</v>
      </c>
      <c r="K83" s="1218" t="s">
        <v>1189</v>
      </c>
      <c r="L83" s="1218" t="s">
        <v>1190</v>
      </c>
    </row>
    <row r="84" spans="2:12">
      <c r="B84" s="677" t="s">
        <v>979</v>
      </c>
      <c r="C84" s="685">
        <f>VLOOKUP($H$11,'EF Marine Vessels spec. TOTE'!$D$50:$K$54,2,FALSE)*VLOOKUP($H17,'EF Marine Vessels spec. TOTE'!$B$97:$L$105,2,FALSE)</f>
        <v>11.467999999999998</v>
      </c>
      <c r="D84" s="685">
        <f>VLOOKUP($H$11,'EF Marine Vessels spec. TOTE'!$D$50:$K$54,3,FALSE)*VLOOKUP($H17,'EF Marine Vessels spec. TOTE'!$B$97:$L$105,3,FALSE)</f>
        <v>0.4</v>
      </c>
      <c r="E84" s="685">
        <f>VLOOKUP($H$11,'EF Marine Vessels spec. TOTE'!$D$50:$K$54,4,FALSE)*VLOOKUP($H17,'EF Marine Vessels spec. TOTE'!$B$97:$L$105,4,FALSE)</f>
        <v>1.1000000000000001</v>
      </c>
      <c r="F84" s="685">
        <f>VLOOKUP($H$11,'EF Marine Vessels spec. TOTE'!$D$50:$K$54,5,FALSE)*VLOOKUP($H17,'EF Marine Vessels spec. TOTE'!$B$97:$L$105,5,FALSE)</f>
        <v>1.6279999999999999E-2</v>
      </c>
      <c r="G84" s="685">
        <f>VLOOKUP($H$11,'EF Marine Vessels spec. TOTE'!$D$50:$K$54,6,FALSE)*VLOOKUP($H17,'EF Marine Vessels spec. TOTE'!$B$97:$L$105,6,FALSE)</f>
        <v>4.0800000000000003E-2</v>
      </c>
      <c r="H84" s="685">
        <f>VLOOKUP($H$11,'EF Marine Vessels spec. TOTE'!$D$50:$K$54,7,FALSE)*VLOOKUP($H17,'EF Marine Vessels spec. TOTE'!$B$97:$L$105,7,FALSE)</f>
        <v>3.9100000000000003E-2</v>
      </c>
      <c r="I84" s="685">
        <f>VLOOKUP($H$11,'EF Marine Vessels spec. TOTE'!$D$50:$K$54,8,FALSE)*VLOOKUP($H17,'EF Marine Vessels spec. TOTE'!$B$97:$L$105,8,FALSE)</f>
        <v>4.0800000000000003E-2</v>
      </c>
      <c r="J84" s="686">
        <f>VLOOKUP($H$11,'EF Marine Vessels spec. TOTE'!$P$50:$S$54,2,FALSE)*VLOOKUP($H17,'EF Marine Vessels spec. TOTE'!$B$97:$L$105,9,FALSE)</f>
        <v>683</v>
      </c>
      <c r="K84" s="685">
        <f>VLOOKUP($H$11,'EF Marine Vessels spec. TOTE'!$P$50:$S$54,3,FALSE)*VLOOKUP($H17,'EF Marine Vessels spec. TOTE'!$B$97:$L$105,10,FALSE)</f>
        <v>2.726E-2</v>
      </c>
      <c r="L84" s="685">
        <f>VLOOKUP($H$11,'EF Marine Vessels spec. TOTE'!$P$50:$S$54,4,FALSE)*VLOOKUP($H17,'EF Marine Vessels spec. TOTE'!$B$97:$L$105,11,FALSE)</f>
        <v>8.0000000000000002E-3</v>
      </c>
    </row>
    <row r="85" spans="2:12">
      <c r="B85" s="677" t="s">
        <v>1369</v>
      </c>
      <c r="C85" s="685">
        <f>VLOOKUP($H$11,'EF Marine Vessels spec. TOTE'!$D$50:$K$54,2,FALSE)*VLOOKUP($H18,'EF Marine Vessels spec. TOTE'!$B$97:$L$105,2,FALSE)</f>
        <v>11.467999999999998</v>
      </c>
      <c r="D85" s="685">
        <f>VLOOKUP($H$11,'EF Marine Vessels spec. TOTE'!$D$50:$K$54,3,FALSE)*VLOOKUP($H18,'EF Marine Vessels spec. TOTE'!$B$97:$L$105,3,FALSE)</f>
        <v>0.4</v>
      </c>
      <c r="E85" s="685">
        <f>VLOOKUP($H$11,'EF Marine Vessels spec. TOTE'!$D$50:$K$54,4,FALSE)*VLOOKUP($H18,'EF Marine Vessels spec. TOTE'!$B$97:$L$105,4,FALSE)</f>
        <v>1.1000000000000001</v>
      </c>
      <c r="F85" s="685">
        <f>VLOOKUP($H$11,'EF Marine Vessels spec. TOTE'!$D$50:$K$54,5,FALSE)*VLOOKUP($H18,'EF Marine Vessels spec. TOTE'!$B$97:$L$105,5,FALSE)</f>
        <v>1.6279999999999999E-2</v>
      </c>
      <c r="G85" s="685">
        <f>VLOOKUP($H$11,'EF Marine Vessels spec. TOTE'!$D$50:$K$54,6,FALSE)*VLOOKUP($H18,'EF Marine Vessels spec. TOTE'!$B$97:$L$105,6,FALSE)</f>
        <v>4.0800000000000003E-2</v>
      </c>
      <c r="H85" s="685">
        <f>VLOOKUP($H$11,'EF Marine Vessels spec. TOTE'!$D$50:$K$54,7,FALSE)*VLOOKUP($H18,'EF Marine Vessels spec. TOTE'!$B$97:$L$105,7,FALSE)</f>
        <v>3.9100000000000003E-2</v>
      </c>
      <c r="I85" s="685">
        <f>VLOOKUP($H$11,'EF Marine Vessels spec. TOTE'!$D$50:$K$54,8,FALSE)*VLOOKUP($H18,'EF Marine Vessels spec. TOTE'!$B$97:$L$105,8,FALSE)</f>
        <v>4.0800000000000003E-2</v>
      </c>
      <c r="J85" s="686">
        <f>VLOOKUP($H$11,'EF Marine Vessels spec. TOTE'!$P$50:$S$54,2,FALSE)*VLOOKUP($H18,'EF Marine Vessels spec. TOTE'!$B$97:$L$105,9,FALSE)</f>
        <v>683</v>
      </c>
      <c r="K85" s="685">
        <f>VLOOKUP($H$11,'EF Marine Vessels spec. TOTE'!$P$50:$S$54,3,FALSE)*VLOOKUP($H18,'EF Marine Vessels spec. TOTE'!$B$97:$L$105,10,FALSE)</f>
        <v>2.726E-2</v>
      </c>
      <c r="L85" s="685">
        <f>VLOOKUP($H$11,'EF Marine Vessels spec. TOTE'!$P$50:$S$54,4,FALSE)*VLOOKUP($H18,'EF Marine Vessels spec. TOTE'!$B$97:$L$105,11,FALSE)</f>
        <v>8.0000000000000002E-3</v>
      </c>
    </row>
    <row r="86" spans="2:12">
      <c r="B86" s="677" t="s">
        <v>980</v>
      </c>
      <c r="C86" s="685">
        <f>VLOOKUP($H$11,'EF Marine Vessels spec. TOTE'!$D$50:$K$54,2,FALSE)*VLOOKUP($H19,'EF Marine Vessels spec. TOTE'!$B$97:$L$105,2,FALSE)</f>
        <v>11.467999999999998</v>
      </c>
      <c r="D86" s="685">
        <f>VLOOKUP($H$11,'EF Marine Vessels spec. TOTE'!$D$50:$K$54,3,FALSE)*VLOOKUP($H19,'EF Marine Vessels spec. TOTE'!$B$97:$L$105,3,FALSE)</f>
        <v>0.4</v>
      </c>
      <c r="E86" s="685">
        <f>VLOOKUP($H$11,'EF Marine Vessels spec. TOTE'!$D$50:$K$54,4,FALSE)*VLOOKUP($H19,'EF Marine Vessels spec. TOTE'!$B$97:$L$105,4,FALSE)</f>
        <v>1.1000000000000001</v>
      </c>
      <c r="F86" s="685">
        <f>VLOOKUP($H$11,'EF Marine Vessels spec. TOTE'!$D$50:$K$54,5,FALSE)*VLOOKUP($H19,'EF Marine Vessels spec. TOTE'!$B$97:$L$105,5,FALSE)</f>
        <v>1.6279999999999999E-2</v>
      </c>
      <c r="G86" s="685">
        <f>VLOOKUP($H$11,'EF Marine Vessels spec. TOTE'!$D$50:$K$54,6,FALSE)*VLOOKUP($H19,'EF Marine Vessels spec. TOTE'!$B$97:$L$105,6,FALSE)</f>
        <v>4.0800000000000003E-2</v>
      </c>
      <c r="H86" s="685">
        <f>VLOOKUP($H$11,'EF Marine Vessels spec. TOTE'!$D$50:$K$54,7,FALSE)*VLOOKUP($H19,'EF Marine Vessels spec. TOTE'!$B$97:$L$105,7,FALSE)</f>
        <v>3.9100000000000003E-2</v>
      </c>
      <c r="I86" s="685">
        <f>VLOOKUP($H$11,'EF Marine Vessels spec. TOTE'!$D$50:$K$54,8,FALSE)*VLOOKUP($H19,'EF Marine Vessels spec. TOTE'!$B$97:$L$105,8,FALSE)</f>
        <v>4.0800000000000003E-2</v>
      </c>
      <c r="J86" s="686">
        <f>VLOOKUP($H$11,'EF Marine Vessels spec. TOTE'!$P$50:$S$54,2,FALSE)*VLOOKUP($H19,'EF Marine Vessels spec. TOTE'!$B$97:$L$105,9,FALSE)</f>
        <v>683</v>
      </c>
      <c r="K86" s="685">
        <f>VLOOKUP($H$11,'EF Marine Vessels spec. TOTE'!$P$50:$S$54,3,FALSE)*VLOOKUP($H19,'EF Marine Vessels spec. TOTE'!$B$97:$L$105,10,FALSE)</f>
        <v>2.726E-2</v>
      </c>
      <c r="L86" s="685">
        <f>VLOOKUP($H$11,'EF Marine Vessels spec. TOTE'!$P$50:$S$54,4,FALSE)*VLOOKUP($H19,'EF Marine Vessels spec. TOTE'!$B$97:$L$105,11,FALSE)</f>
        <v>8.0000000000000002E-3</v>
      </c>
    </row>
    <row r="87" spans="2:12" ht="18">
      <c r="B87" s="1217" t="s">
        <v>1004</v>
      </c>
      <c r="C87" s="1218" t="s">
        <v>1193</v>
      </c>
      <c r="D87" s="1218" t="s">
        <v>127</v>
      </c>
      <c r="E87" s="1218" t="s">
        <v>880</v>
      </c>
      <c r="F87" s="1218" t="s">
        <v>1194</v>
      </c>
      <c r="G87" s="1218" t="s">
        <v>882</v>
      </c>
      <c r="H87" s="1218" t="s">
        <v>883</v>
      </c>
      <c r="I87" s="1218" t="s">
        <v>884</v>
      </c>
      <c r="J87" s="1218" t="s">
        <v>1188</v>
      </c>
      <c r="K87" s="1218" t="s">
        <v>1189</v>
      </c>
      <c r="L87" s="1218" t="s">
        <v>1190</v>
      </c>
    </row>
    <row r="88" spans="2:12">
      <c r="B88" s="677" t="s">
        <v>979</v>
      </c>
      <c r="C88" s="685">
        <f>VLOOKUP($I$11,'EF Marine Vessels spec. TOTE'!$D$59:$K$60,2,FALSE)*VLOOKUP($H17,'EF Marine Vessels spec. TOTE'!$B$97:$L$105,2,FALSE)</f>
        <v>1.88</v>
      </c>
      <c r="D88" s="685">
        <f>VLOOKUP($I$11,'EF Marine Vessels spec. TOTE'!$D$59:$K$60,3,FALSE)*VLOOKUP($H17,'EF Marine Vessels spec. TOTE'!$B$97:$L$105,3,FALSE)</f>
        <v>0.1</v>
      </c>
      <c r="E88" s="685">
        <f>VLOOKUP($I$11,'EF Marine Vessels spec. TOTE'!$D$59:$K$60,4,FALSE)*VLOOKUP($H17,'EF Marine Vessels spec. TOTE'!$B$97:$L$105,4,FALSE)</f>
        <v>0.2</v>
      </c>
      <c r="F88" s="685">
        <f>VLOOKUP($I$11,'EF Marine Vessels spec. TOTE'!$D$59:$K$60,5,FALSE)*VLOOKUP($H17,'EF Marine Vessels spec. TOTE'!$B$97:$L$105,5,FALSE)</f>
        <v>0.22199999999999998</v>
      </c>
      <c r="G88" s="685">
        <f>VLOOKUP($I$11,'EF Marine Vessels spec. TOTE'!$D$59:$K$60,6,FALSE)*VLOOKUP($H17,'EF Marine Vessels spec. TOTE'!$B$97:$L$105,6,FALSE)</f>
        <v>2.72</v>
      </c>
      <c r="H88" s="685">
        <f>VLOOKUP($I$11,'EF Marine Vessels spec. TOTE'!$D$59:$K$60,7,FALSE)*VLOOKUP($H17,'EF Marine Vessels spec. TOTE'!$B$97:$L$105,7,FALSE)</f>
        <v>2.5500000000000002E-2</v>
      </c>
      <c r="I88" s="685">
        <f>VLOOKUP($I$11,'EF Marine Vessels spec. TOTE'!$D$59:$K$60,8,FALSE)*VLOOKUP($H17,'EF Marine Vessels spec. TOTE'!$B$97:$L$105,8,FALSE)</f>
        <v>0</v>
      </c>
      <c r="J88" s="686">
        <f>VLOOKUP($I$11,'EF Marine Vessels spec. TOTE'!$P$59:$S$60,2,FALSE)*VLOOKUP($H17,'EF Marine Vessels spec. TOTE'!$B$97:$L$105,9,FALSE)</f>
        <v>922</v>
      </c>
      <c r="K88" s="685">
        <f>VLOOKUP($I$11,'EF Marine Vessels spec. TOTE'!$P$59:$S$60,3,FALSE)*VLOOKUP($H17,'EF Marine Vessels spec. TOTE'!$B$97:$L$105,10,FALSE)</f>
        <v>7.0499999999999993E-2</v>
      </c>
      <c r="L88" s="685">
        <f>VLOOKUP($I$11,'EF Marine Vessels spec. TOTE'!$P$59:$S$60,4,FALSE)*VLOOKUP($H17,'EF Marine Vessels spec. TOTE'!$B$97:$L$105,11,FALSE)</f>
        <v>2E-3</v>
      </c>
    </row>
    <row r="89" spans="2:12">
      <c r="B89" s="677" t="s">
        <v>1369</v>
      </c>
      <c r="C89" s="685">
        <f>VLOOKUP($I$11,'EF Marine Vessels spec. TOTE'!$D$59:$K$60,2,FALSE)*VLOOKUP($H18,'EF Marine Vessels spec. TOTE'!$B$97:$L$105,2,FALSE)</f>
        <v>1.88</v>
      </c>
      <c r="D89" s="685">
        <f>VLOOKUP($I$11,'EF Marine Vessels spec. TOTE'!$D$59:$K$60,3,FALSE)*VLOOKUP($H18,'EF Marine Vessels spec. TOTE'!$B$97:$L$105,3,FALSE)</f>
        <v>0.1</v>
      </c>
      <c r="E89" s="685">
        <f>VLOOKUP($I$11,'EF Marine Vessels spec. TOTE'!$D$59:$K$60,4,FALSE)*VLOOKUP($H18,'EF Marine Vessels spec. TOTE'!$B$97:$L$105,4,FALSE)</f>
        <v>0.2</v>
      </c>
      <c r="F89" s="685">
        <f>VLOOKUP($I$11,'EF Marine Vessels spec. TOTE'!$D$59:$K$60,5,FALSE)*VLOOKUP($H18,'EF Marine Vessels spec. TOTE'!$B$97:$L$105,5,FALSE)</f>
        <v>0.22199999999999998</v>
      </c>
      <c r="G89" s="685">
        <f>VLOOKUP($I$11,'EF Marine Vessels spec. TOTE'!$D$59:$K$60,6,FALSE)*VLOOKUP($H18,'EF Marine Vessels spec. TOTE'!$B$97:$L$105,6,FALSE)</f>
        <v>2.72</v>
      </c>
      <c r="H89" s="685">
        <f>VLOOKUP($I$11,'EF Marine Vessels spec. TOTE'!$D$59:$K$60,7,FALSE)*VLOOKUP($H18,'EF Marine Vessels spec. TOTE'!$B$97:$L$105,7,FALSE)</f>
        <v>2.5500000000000002E-2</v>
      </c>
      <c r="I89" s="685">
        <f>VLOOKUP($I$11,'EF Marine Vessels spec. TOTE'!$D$59:$K$60,8,FALSE)*VLOOKUP($H18,'EF Marine Vessels spec. TOTE'!$B$97:$L$105,8,FALSE)</f>
        <v>0</v>
      </c>
      <c r="J89" s="686">
        <f>VLOOKUP($I$11,'EF Marine Vessels spec. TOTE'!$P$59:$S$60,2,FALSE)*VLOOKUP($H18,'EF Marine Vessels spec. TOTE'!$B$97:$L$105,9,FALSE)</f>
        <v>922</v>
      </c>
      <c r="K89" s="685">
        <f>VLOOKUP($I$11,'EF Marine Vessels spec. TOTE'!$P$59:$S$60,3,FALSE)*VLOOKUP($H18,'EF Marine Vessels spec. TOTE'!$B$97:$L$105,10,FALSE)</f>
        <v>7.0499999999999993E-2</v>
      </c>
      <c r="L89" s="685">
        <f>VLOOKUP($I$11,'EF Marine Vessels spec. TOTE'!$P$59:$S$60,4,FALSE)*VLOOKUP($H18,'EF Marine Vessels spec. TOTE'!$B$97:$L$105,11,FALSE)</f>
        <v>2E-3</v>
      </c>
    </row>
    <row r="90" spans="2:12">
      <c r="B90" s="1201" t="s">
        <v>980</v>
      </c>
      <c r="C90" s="1219">
        <f>VLOOKUP($I$11,'EF Marine Vessels spec. TOTE'!$D$59:$K$60,2,FALSE)*VLOOKUP($H19,'EF Marine Vessels spec. TOTE'!$B$97:$L$105,2,FALSE)</f>
        <v>1.88</v>
      </c>
      <c r="D90" s="1219">
        <f>VLOOKUP($I$11,'EF Marine Vessels spec. TOTE'!$D$59:$K$60,3,FALSE)*VLOOKUP($H19,'EF Marine Vessels spec. TOTE'!$B$97:$L$105,3,FALSE)</f>
        <v>0.1</v>
      </c>
      <c r="E90" s="1219">
        <f>VLOOKUP($I$11,'EF Marine Vessels spec. TOTE'!$D$59:$K$60,4,FALSE)*VLOOKUP($H19,'EF Marine Vessels spec. TOTE'!$B$97:$L$105,4,FALSE)</f>
        <v>0.2</v>
      </c>
      <c r="F90" s="1219">
        <f>VLOOKUP($I$11,'EF Marine Vessels spec. TOTE'!$D$59:$K$60,5,FALSE)*VLOOKUP($H19,'EF Marine Vessels spec. TOTE'!$B$97:$L$105,5,FALSE)</f>
        <v>0.22199999999999998</v>
      </c>
      <c r="G90" s="1219">
        <f>VLOOKUP($I$11,'EF Marine Vessels spec. TOTE'!$D$59:$K$60,6,FALSE)*VLOOKUP($H19,'EF Marine Vessels spec. TOTE'!$B$97:$L$105,6,FALSE)</f>
        <v>2.72</v>
      </c>
      <c r="H90" s="1219">
        <f>VLOOKUP($I$11,'EF Marine Vessels spec. TOTE'!$D$59:$K$60,7,FALSE)*VLOOKUP($H19,'EF Marine Vessels spec. TOTE'!$B$97:$L$105,7,FALSE)</f>
        <v>2.5500000000000002E-2</v>
      </c>
      <c r="I90" s="1219">
        <f>VLOOKUP($I$11,'EF Marine Vessels spec. TOTE'!$D$59:$K$60,8,FALSE)*VLOOKUP($H19,'EF Marine Vessels spec. TOTE'!$B$97:$L$105,8,FALSE)</f>
        <v>0</v>
      </c>
      <c r="J90" s="1220">
        <f>VLOOKUP($I$11,'EF Marine Vessels spec. TOTE'!$P$59:$S$60,2,FALSE)*VLOOKUP($H19,'EF Marine Vessels spec. TOTE'!$B$97:$L$105,9,FALSE)</f>
        <v>922</v>
      </c>
      <c r="K90" s="1219">
        <f>VLOOKUP($I$11,'EF Marine Vessels spec. TOTE'!$P$59:$S$60,3,FALSE)*VLOOKUP($H19,'EF Marine Vessels spec. TOTE'!$B$97:$L$105,10,FALSE)</f>
        <v>7.0499999999999993E-2</v>
      </c>
      <c r="L90" s="1219">
        <f>VLOOKUP($I$11,'EF Marine Vessels spec. TOTE'!$P$59:$S$60,4,FALSE)*VLOOKUP($H19,'EF Marine Vessels spec. TOTE'!$B$97:$L$105,11,FALSE)</f>
        <v>2E-3</v>
      </c>
    </row>
  </sheetData>
  <sheetProtection password="C8A2" sheet="1" objects="1" scenarios="1"/>
  <mergeCells count="16">
    <mergeCell ref="C32:I32"/>
    <mergeCell ref="L32:P32"/>
    <mergeCell ref="L42:P42"/>
    <mergeCell ref="L22:P22"/>
    <mergeCell ref="B1:AL1"/>
    <mergeCell ref="B2:AL2"/>
    <mergeCell ref="K4:M4"/>
    <mergeCell ref="B13:AL13"/>
    <mergeCell ref="C22:I22"/>
    <mergeCell ref="C42:I42"/>
    <mergeCell ref="C63:L63"/>
    <mergeCell ref="C78:L78"/>
    <mergeCell ref="B56:C56"/>
    <mergeCell ref="B57:C57"/>
    <mergeCell ref="B58:C58"/>
    <mergeCell ref="B59:C59"/>
  </mergeCells>
  <pageMargins left="0.7" right="0.7" top="0.75" bottom="0.75" header="0.3" footer="0.3"/>
  <pageSetup paperSize="9" scale="50" fitToHeight="0" orientation="landscape" r:id="rId1"/>
  <headerFooter>
    <oddHeader>&amp;CTacoma LNG Facility DSEIS Life Cycle Analsis GHG Emission Calculations Scenario A</oddHeader>
    <oddFooter>Page &amp;P of &amp;N</oddFooter>
  </headerFooter>
  <rowBreaks count="1" manualBreakCount="1">
    <brk id="52" max="17" man="1"/>
  </row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'EF Marine Vessels spec. TOTE'!$B$97:$B$105</xm:f>
          </x14:formula1>
          <xm:sqref>G17:H20</xm:sqref>
        </x14:dataValidation>
        <x14:dataValidation type="list" allowBlank="1" showInputMessage="1" showErrorMessage="1">
          <x14:formula1>
            <xm:f>'EF Marine Vessels spec. TOTE'!$B$68:$B$92</xm:f>
          </x14:formula1>
          <xm:sqref>B6</xm:sqref>
        </x14:dataValidation>
        <x14:dataValidation type="list" allowBlank="1" showInputMessage="1" showErrorMessage="1">
          <x14:formula1>
            <xm:f>'EF Marine Vessels spec. TOTE'!$D$8:$D$17</xm:f>
          </x14:formula1>
          <xm:sqref>G11</xm:sqref>
        </x14:dataValidation>
        <x14:dataValidation type="list" allowBlank="1" showInputMessage="1" showErrorMessage="1">
          <x14:formula1>
            <xm:f>'EF Marine Vessels spec. TOTE'!$D$50:$D$54</xm:f>
          </x14:formula1>
          <xm:sqref>H11</xm:sqref>
        </x14:dataValidation>
        <x14:dataValidation type="list" allowBlank="1" showInputMessage="1" showErrorMessage="1">
          <x14:formula1>
            <xm:f>'EF Marine Vessels spec. TOTE'!$D$59:$D$60</xm:f>
          </x14:formula1>
          <xm:sqref>I11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sheetPr>
  <dimension ref="B1:AH89"/>
  <sheetViews>
    <sheetView zoomScale="70" zoomScaleNormal="70" zoomScaleSheetLayoutView="100" zoomScalePageLayoutView="85" workbookViewId="0"/>
  </sheetViews>
  <sheetFormatPr defaultColWidth="9.140625" defaultRowHeight="15"/>
  <cols>
    <col min="1" max="1" width="7.28515625" style="829" customWidth="1"/>
    <col min="2" max="2" width="25.28515625" style="828" customWidth="1"/>
    <col min="3" max="7" width="14.7109375" style="828" customWidth="1"/>
    <col min="8" max="8" width="16.7109375" style="828" customWidth="1"/>
    <col min="9" max="14" width="14.7109375" style="828" customWidth="1"/>
    <col min="15" max="15" width="2.7109375" style="828" customWidth="1"/>
    <col min="16" max="21" width="7.85546875" style="828" customWidth="1"/>
    <col min="22" max="22" width="9.140625" style="828"/>
    <col min="23" max="16384" width="9.140625" style="829"/>
  </cols>
  <sheetData>
    <row r="1" spans="2:34" ht="28.5" customHeight="1">
      <c r="B1" s="930" t="s">
        <v>606</v>
      </c>
      <c r="C1" s="827"/>
      <c r="D1" s="827"/>
      <c r="E1" s="827"/>
      <c r="F1" s="827"/>
      <c r="G1" s="827"/>
      <c r="H1" s="827"/>
      <c r="I1" s="827"/>
      <c r="J1" s="827"/>
      <c r="K1" s="827"/>
      <c r="L1" s="827"/>
      <c r="M1" s="827"/>
      <c r="N1" s="827"/>
    </row>
    <row r="3" spans="2:34" s="828" customFormat="1">
      <c r="B3" s="830" t="s">
        <v>607</v>
      </c>
      <c r="C3" s="831"/>
      <c r="D3" s="832"/>
      <c r="E3" s="832"/>
      <c r="F3" s="832"/>
      <c r="G3" s="832"/>
      <c r="H3" s="832"/>
      <c r="I3" s="832"/>
      <c r="J3" s="832"/>
      <c r="K3" s="832"/>
      <c r="L3" s="832"/>
      <c r="W3" s="829"/>
      <c r="X3" s="829"/>
      <c r="Y3" s="829"/>
      <c r="Z3" s="829"/>
      <c r="AA3" s="829"/>
      <c r="AB3" s="829"/>
      <c r="AC3" s="829"/>
      <c r="AD3" s="829"/>
      <c r="AE3" s="829"/>
      <c r="AF3" s="829"/>
      <c r="AG3" s="829"/>
      <c r="AH3" s="829"/>
    </row>
    <row r="4" spans="2:34" s="828" customFormat="1">
      <c r="B4" s="1818" t="s">
        <v>223</v>
      </c>
      <c r="C4" s="1821" t="s">
        <v>608</v>
      </c>
      <c r="D4" s="833"/>
      <c r="E4" s="834"/>
      <c r="F4" s="834"/>
      <c r="G4" s="834"/>
      <c r="H4" s="834"/>
      <c r="I4" s="834"/>
      <c r="J4" s="834"/>
      <c r="K4" s="834"/>
      <c r="L4" s="835"/>
      <c r="M4" s="1824" t="s">
        <v>609</v>
      </c>
      <c r="N4" s="1824" t="s">
        <v>610</v>
      </c>
      <c r="W4" s="829"/>
      <c r="X4" s="829"/>
      <c r="Y4" s="829"/>
      <c r="Z4" s="829"/>
      <c r="AA4" s="829"/>
      <c r="AB4" s="829"/>
      <c r="AC4" s="829"/>
      <c r="AD4" s="829"/>
      <c r="AE4" s="829"/>
      <c r="AF4" s="829"/>
      <c r="AG4" s="829"/>
      <c r="AH4" s="829"/>
    </row>
    <row r="5" spans="2:34" s="828" customFormat="1" ht="17.25">
      <c r="B5" s="1819"/>
      <c r="C5" s="1822"/>
      <c r="D5" s="836" t="s">
        <v>611</v>
      </c>
      <c r="E5" s="837"/>
      <c r="F5" s="837"/>
      <c r="G5" s="837"/>
      <c r="H5" s="837"/>
      <c r="I5" s="837"/>
      <c r="J5" s="837"/>
      <c r="K5" s="837"/>
      <c r="L5" s="837"/>
      <c r="M5" s="1825"/>
      <c r="N5" s="1825"/>
      <c r="O5" s="838"/>
      <c r="W5" s="829"/>
      <c r="X5" s="829"/>
      <c r="Y5" s="829"/>
      <c r="Z5" s="829"/>
      <c r="AA5" s="829"/>
      <c r="AB5" s="829"/>
      <c r="AC5" s="829"/>
      <c r="AD5" s="829"/>
      <c r="AE5" s="829"/>
      <c r="AF5" s="829"/>
      <c r="AG5" s="829"/>
      <c r="AH5" s="829"/>
    </row>
    <row r="6" spans="2:34" s="828" customFormat="1" ht="30.75" thickBot="1">
      <c r="B6" s="1820"/>
      <c r="C6" s="1823"/>
      <c r="D6" s="839" t="s">
        <v>612</v>
      </c>
      <c r="E6" s="840" t="s">
        <v>613</v>
      </c>
      <c r="F6" s="840" t="s">
        <v>221</v>
      </c>
      <c r="G6" s="840" t="s">
        <v>244</v>
      </c>
      <c r="H6" s="840" t="s">
        <v>614</v>
      </c>
      <c r="I6" s="840" t="s">
        <v>615</v>
      </c>
      <c r="J6" s="840" t="s">
        <v>616</v>
      </c>
      <c r="K6" s="840" t="s">
        <v>204</v>
      </c>
      <c r="L6" s="840" t="s">
        <v>617</v>
      </c>
      <c r="M6" s="1826"/>
      <c r="N6" s="1826"/>
      <c r="O6" s="838"/>
      <c r="V6" s="892" t="s">
        <v>618</v>
      </c>
      <c r="W6" s="829"/>
      <c r="X6" s="829"/>
      <c r="Y6" s="829"/>
      <c r="Z6" s="829"/>
      <c r="AA6" s="829"/>
      <c r="AB6" s="829"/>
      <c r="AC6" s="829"/>
      <c r="AD6" s="829"/>
      <c r="AE6" s="829"/>
      <c r="AF6" s="829"/>
      <c r="AG6" s="829"/>
      <c r="AH6" s="829"/>
    </row>
    <row r="7" spans="2:34" s="828" customFormat="1" ht="15.75" thickTop="1">
      <c r="B7" s="841" t="s">
        <v>619</v>
      </c>
      <c r="C7" s="842" t="s">
        <v>620</v>
      </c>
      <c r="D7" s="843">
        <v>39</v>
      </c>
      <c r="E7" s="844">
        <v>9</v>
      </c>
      <c r="F7" s="844">
        <v>12</v>
      </c>
      <c r="G7" s="844">
        <v>36</v>
      </c>
      <c r="H7" s="844"/>
      <c r="I7" s="844"/>
      <c r="J7" s="844">
        <v>112</v>
      </c>
      <c r="K7" s="844">
        <v>185</v>
      </c>
      <c r="L7" s="844">
        <v>30</v>
      </c>
      <c r="M7" s="931">
        <v>1.3699999999999999E-3</v>
      </c>
      <c r="N7" s="845">
        <v>0.75</v>
      </c>
      <c r="V7" s="928">
        <f t="shared" ref="V7:V16" si="0">1-N7</f>
        <v>0.25</v>
      </c>
      <c r="W7" s="829"/>
      <c r="X7" s="829"/>
      <c r="Y7" s="829"/>
      <c r="Z7" s="829"/>
      <c r="AA7" s="829"/>
      <c r="AB7" s="829"/>
      <c r="AC7" s="829"/>
      <c r="AD7" s="829"/>
      <c r="AE7" s="829"/>
      <c r="AF7" s="829"/>
      <c r="AG7" s="829"/>
      <c r="AH7" s="829"/>
    </row>
    <row r="8" spans="2:34" s="828" customFormat="1">
      <c r="B8" s="841"/>
      <c r="C8" s="842" t="s">
        <v>621</v>
      </c>
      <c r="D8" s="843"/>
      <c r="E8" s="844"/>
      <c r="F8" s="844"/>
      <c r="G8" s="844"/>
      <c r="H8" s="844">
        <v>33</v>
      </c>
      <c r="I8" s="844">
        <v>244</v>
      </c>
      <c r="J8" s="844"/>
      <c r="K8" s="844"/>
      <c r="L8" s="844"/>
      <c r="M8" s="932">
        <v>5.3699999999999998E-3</v>
      </c>
      <c r="N8" s="847">
        <v>0.75</v>
      </c>
      <c r="V8" s="928">
        <f t="shared" si="0"/>
        <v>0.25</v>
      </c>
      <c r="W8" s="829"/>
      <c r="X8" s="829"/>
      <c r="Y8" s="829"/>
      <c r="Z8" s="829"/>
      <c r="AA8" s="829"/>
      <c r="AB8" s="829"/>
      <c r="AC8" s="829"/>
      <c r="AD8" s="829"/>
      <c r="AE8" s="829"/>
      <c r="AF8" s="829"/>
      <c r="AG8" s="829"/>
      <c r="AH8" s="829"/>
    </row>
    <row r="9" spans="2:34">
      <c r="B9" s="848"/>
      <c r="C9" s="849" t="s">
        <v>622</v>
      </c>
      <c r="D9" s="850"/>
      <c r="E9" s="851"/>
      <c r="F9" s="851"/>
      <c r="G9" s="851"/>
      <c r="H9" s="851"/>
      <c r="I9" s="851"/>
      <c r="J9" s="851"/>
      <c r="K9" s="851"/>
      <c r="L9" s="851"/>
      <c r="M9" s="933">
        <v>5.0199999999999995E-4</v>
      </c>
      <c r="N9" s="853">
        <v>0</v>
      </c>
      <c r="V9" s="928">
        <f t="shared" si="0"/>
        <v>1</v>
      </c>
    </row>
    <row r="10" spans="2:34" s="828" customFormat="1">
      <c r="B10" s="854" t="s">
        <v>623</v>
      </c>
      <c r="C10" s="855" t="s">
        <v>621</v>
      </c>
      <c r="D10" s="856"/>
      <c r="E10" s="856"/>
      <c r="F10" s="856"/>
      <c r="G10" s="856"/>
      <c r="H10" s="856">
        <v>1</v>
      </c>
      <c r="I10" s="856"/>
      <c r="J10" s="856"/>
      <c r="K10" s="856"/>
      <c r="L10" s="856"/>
      <c r="M10" s="934">
        <v>4.9299999999999997E-2</v>
      </c>
      <c r="N10" s="858">
        <v>0.75</v>
      </c>
      <c r="V10" s="928">
        <f t="shared" si="0"/>
        <v>0.25</v>
      </c>
      <c r="W10" s="829"/>
      <c r="X10" s="829"/>
      <c r="Y10" s="829"/>
      <c r="Z10" s="829"/>
      <c r="AA10" s="829"/>
      <c r="AB10" s="829"/>
      <c r="AC10" s="829"/>
      <c r="AD10" s="829"/>
      <c r="AE10" s="829"/>
      <c r="AF10" s="829"/>
      <c r="AG10" s="829"/>
      <c r="AH10" s="829"/>
    </row>
    <row r="11" spans="2:34" s="828" customFormat="1">
      <c r="B11" s="848"/>
      <c r="C11" s="849" t="s">
        <v>622</v>
      </c>
      <c r="D11" s="850"/>
      <c r="E11" s="851"/>
      <c r="F11" s="851"/>
      <c r="G11" s="851"/>
      <c r="H11" s="851"/>
      <c r="I11" s="851"/>
      <c r="J11" s="851"/>
      <c r="K11" s="851"/>
      <c r="L11" s="851"/>
      <c r="M11" s="933">
        <v>9.8200000000000006E-3</v>
      </c>
      <c r="N11" s="853">
        <v>0</v>
      </c>
      <c r="V11" s="928">
        <f t="shared" si="0"/>
        <v>1</v>
      </c>
      <c r="W11" s="829"/>
      <c r="X11" s="829"/>
      <c r="Y11" s="829"/>
      <c r="Z11" s="829"/>
      <c r="AA11" s="829"/>
      <c r="AB11" s="829"/>
      <c r="AC11" s="829"/>
      <c r="AD11" s="829"/>
      <c r="AE11" s="829"/>
      <c r="AF11" s="829"/>
      <c r="AG11" s="829"/>
      <c r="AH11" s="829"/>
    </row>
    <row r="12" spans="2:34" s="828" customFormat="1">
      <c r="B12" s="854" t="s">
        <v>624</v>
      </c>
      <c r="C12" s="855" t="s">
        <v>620</v>
      </c>
      <c r="D12" s="843">
        <v>0</v>
      </c>
      <c r="E12" s="844">
        <v>7</v>
      </c>
      <c r="F12" s="844">
        <v>2</v>
      </c>
      <c r="G12" s="844">
        <v>15</v>
      </c>
      <c r="H12" s="844"/>
      <c r="I12" s="844"/>
      <c r="J12" s="844">
        <v>28</v>
      </c>
      <c r="K12" s="844">
        <v>77</v>
      </c>
      <c r="L12" s="844">
        <v>15</v>
      </c>
      <c r="M12" s="934">
        <v>5.5900000000000004E-4</v>
      </c>
      <c r="N12" s="858">
        <v>0.3</v>
      </c>
      <c r="V12" s="928">
        <f t="shared" si="0"/>
        <v>0.7</v>
      </c>
      <c r="W12" s="829"/>
      <c r="X12" s="829"/>
      <c r="Y12" s="829"/>
      <c r="Z12" s="829"/>
      <c r="AA12" s="829"/>
      <c r="AB12" s="829"/>
      <c r="AC12" s="829"/>
      <c r="AD12" s="829"/>
      <c r="AE12" s="829"/>
      <c r="AF12" s="829"/>
      <c r="AG12" s="829"/>
      <c r="AH12" s="829"/>
    </row>
    <row r="13" spans="2:34" s="828" customFormat="1">
      <c r="B13" s="841"/>
      <c r="C13" s="842" t="s">
        <v>621</v>
      </c>
      <c r="D13" s="843"/>
      <c r="E13" s="844"/>
      <c r="F13" s="844"/>
      <c r="G13" s="844"/>
      <c r="H13" s="844">
        <v>6</v>
      </c>
      <c r="I13" s="844">
        <v>114</v>
      </c>
      <c r="J13" s="844"/>
      <c r="K13" s="844"/>
      <c r="L13" s="844"/>
      <c r="M13" s="932">
        <v>5.5900000000000004E-4</v>
      </c>
      <c r="N13" s="847">
        <v>0.3</v>
      </c>
      <c r="V13" s="928">
        <f t="shared" si="0"/>
        <v>0.7</v>
      </c>
      <c r="W13" s="829"/>
      <c r="X13" s="829"/>
      <c r="Y13" s="829"/>
      <c r="Z13" s="829"/>
      <c r="AA13" s="829"/>
      <c r="AB13" s="829"/>
      <c r="AC13" s="829"/>
      <c r="AD13" s="829"/>
      <c r="AE13" s="829"/>
      <c r="AF13" s="829"/>
      <c r="AG13" s="829"/>
      <c r="AH13" s="829"/>
    </row>
    <row r="14" spans="2:34" s="828" customFormat="1">
      <c r="B14" s="848"/>
      <c r="C14" s="849" t="s">
        <v>622</v>
      </c>
      <c r="D14" s="843"/>
      <c r="E14" s="844"/>
      <c r="F14" s="844"/>
      <c r="G14" s="844"/>
      <c r="H14" s="844"/>
      <c r="I14" s="844"/>
      <c r="J14" s="844"/>
      <c r="K14" s="844"/>
      <c r="L14" s="844"/>
      <c r="M14" s="933">
        <v>5.5900000000000004E-4</v>
      </c>
      <c r="N14" s="853">
        <v>0.3</v>
      </c>
      <c r="V14" s="928">
        <f t="shared" si="0"/>
        <v>0.7</v>
      </c>
      <c r="W14" s="829"/>
      <c r="X14" s="829"/>
      <c r="Y14" s="829"/>
      <c r="Z14" s="829"/>
      <c r="AA14" s="829"/>
      <c r="AB14" s="829"/>
      <c r="AC14" s="829"/>
      <c r="AD14" s="829"/>
      <c r="AE14" s="829"/>
      <c r="AF14" s="829"/>
      <c r="AG14" s="829"/>
      <c r="AH14" s="829"/>
    </row>
    <row r="15" spans="2:34" s="828" customFormat="1">
      <c r="B15" s="859" t="s">
        <v>625</v>
      </c>
      <c r="C15" s="860" t="s">
        <v>620</v>
      </c>
      <c r="D15" s="861">
        <v>0</v>
      </c>
      <c r="E15" s="856">
        <v>2</v>
      </c>
      <c r="F15" s="856">
        <v>0</v>
      </c>
      <c r="G15" s="856">
        <v>0</v>
      </c>
      <c r="H15" s="856">
        <v>0</v>
      </c>
      <c r="I15" s="856">
        <v>0</v>
      </c>
      <c r="J15" s="856">
        <v>1</v>
      </c>
      <c r="K15" s="856">
        <v>1</v>
      </c>
      <c r="L15" s="856">
        <v>0</v>
      </c>
      <c r="M15" s="935">
        <v>1.6549999999999999E-2</v>
      </c>
      <c r="N15" s="862">
        <v>0.75</v>
      </c>
      <c r="V15" s="928">
        <f t="shared" si="0"/>
        <v>0.25</v>
      </c>
      <c r="W15" s="829"/>
      <c r="X15" s="829"/>
      <c r="Y15" s="829"/>
      <c r="Z15" s="829"/>
      <c r="AA15" s="829"/>
      <c r="AB15" s="829"/>
      <c r="AC15" s="829"/>
      <c r="AD15" s="829"/>
      <c r="AE15" s="829"/>
      <c r="AF15" s="829"/>
      <c r="AG15" s="829"/>
      <c r="AH15" s="829"/>
    </row>
    <row r="16" spans="2:34" s="828" customFormat="1">
      <c r="B16" s="860" t="s">
        <v>626</v>
      </c>
      <c r="C16" s="855" t="s">
        <v>620</v>
      </c>
      <c r="D16" s="863">
        <v>3</v>
      </c>
      <c r="E16" s="864">
        <v>0</v>
      </c>
      <c r="F16" s="864">
        <v>1</v>
      </c>
      <c r="G16" s="864">
        <v>3</v>
      </c>
      <c r="H16" s="864">
        <v>1</v>
      </c>
      <c r="I16" s="864">
        <v>19</v>
      </c>
      <c r="J16" s="864">
        <v>8</v>
      </c>
      <c r="K16" s="864">
        <v>9</v>
      </c>
      <c r="L16" s="864">
        <v>2</v>
      </c>
      <c r="M16" s="935">
        <v>2.2030000000000001E-2</v>
      </c>
      <c r="N16" s="862">
        <v>0.75</v>
      </c>
      <c r="V16" s="928">
        <f t="shared" si="0"/>
        <v>0.25</v>
      </c>
      <c r="W16" s="829"/>
      <c r="X16" s="829"/>
      <c r="Y16" s="829"/>
      <c r="Z16" s="829"/>
      <c r="AA16" s="829"/>
      <c r="AB16" s="829"/>
      <c r="AC16" s="829"/>
      <c r="AD16" s="829"/>
      <c r="AE16" s="829"/>
      <c r="AF16" s="829"/>
      <c r="AG16" s="829"/>
      <c r="AH16" s="829"/>
    </row>
    <row r="17" spans="2:34" s="828" customFormat="1">
      <c r="B17" s="859" t="s">
        <v>627</v>
      </c>
      <c r="C17" s="860" t="s">
        <v>621</v>
      </c>
      <c r="D17" s="856"/>
      <c r="E17" s="856"/>
      <c r="F17" s="856"/>
      <c r="G17" s="856"/>
      <c r="H17" s="856"/>
      <c r="I17" s="856">
        <v>4</v>
      </c>
      <c r="J17" s="856"/>
      <c r="K17" s="856"/>
      <c r="L17" s="856"/>
      <c r="M17" s="935">
        <v>4.9299999999999997E-2</v>
      </c>
      <c r="N17" s="862">
        <v>0.75</v>
      </c>
      <c r="V17" s="928">
        <f>1-N17</f>
        <v>0.25</v>
      </c>
      <c r="W17" s="829"/>
      <c r="X17" s="829"/>
      <c r="Y17" s="829"/>
      <c r="Z17" s="829"/>
      <c r="AA17" s="829"/>
      <c r="AB17" s="829"/>
      <c r="AC17" s="829"/>
      <c r="AD17" s="829"/>
      <c r="AE17" s="829"/>
      <c r="AF17" s="829"/>
      <c r="AG17" s="829"/>
      <c r="AH17" s="829"/>
    </row>
    <row r="18" spans="2:34" s="828" customFormat="1">
      <c r="C18" s="865"/>
      <c r="D18" s="866"/>
      <c r="E18" s="866"/>
      <c r="F18" s="866"/>
      <c r="G18" s="866"/>
      <c r="H18" s="866"/>
      <c r="I18" s="866"/>
      <c r="J18" s="867"/>
      <c r="K18" s="867"/>
      <c r="L18" s="867"/>
      <c r="W18" s="829"/>
      <c r="X18" s="829"/>
      <c r="Y18" s="829"/>
      <c r="Z18" s="829"/>
      <c r="AA18" s="829"/>
      <c r="AB18" s="829"/>
      <c r="AC18" s="829"/>
      <c r="AD18" s="829"/>
      <c r="AE18" s="829"/>
      <c r="AF18" s="829"/>
      <c r="AG18" s="829"/>
      <c r="AH18" s="829"/>
    </row>
    <row r="19" spans="2:34" s="828" customFormat="1">
      <c r="B19" s="868" t="s">
        <v>628</v>
      </c>
      <c r="C19" s="831"/>
      <c r="D19" s="832"/>
      <c r="E19" s="832"/>
      <c r="F19" s="832"/>
      <c r="G19" s="832"/>
      <c r="H19" s="832"/>
      <c r="I19" s="832"/>
      <c r="J19" s="832"/>
      <c r="K19" s="832"/>
      <c r="L19" s="832"/>
      <c r="W19" s="829"/>
      <c r="X19" s="829"/>
      <c r="Y19" s="829"/>
      <c r="Z19" s="829"/>
      <c r="AA19" s="829"/>
      <c r="AB19" s="829"/>
      <c r="AC19" s="829"/>
      <c r="AD19" s="829"/>
      <c r="AE19" s="829"/>
      <c r="AF19" s="829"/>
      <c r="AG19" s="829"/>
      <c r="AH19" s="829"/>
    </row>
    <row r="20" spans="2:34" s="828" customFormat="1">
      <c r="B20" s="1827" t="s">
        <v>317</v>
      </c>
      <c r="C20" s="1824" t="s">
        <v>629</v>
      </c>
      <c r="D20" s="869" t="s">
        <v>630</v>
      </c>
      <c r="E20" s="870"/>
      <c r="F20" s="870"/>
      <c r="G20" s="870"/>
      <c r="H20" s="870"/>
      <c r="I20" s="870"/>
      <c r="J20" s="870"/>
      <c r="K20" s="870"/>
      <c r="L20" s="870"/>
      <c r="W20" s="829"/>
      <c r="X20" s="829"/>
      <c r="Y20" s="829"/>
      <c r="Z20" s="829"/>
      <c r="AA20" s="829"/>
      <c r="AB20" s="829"/>
      <c r="AC20" s="829"/>
      <c r="AD20" s="829"/>
      <c r="AE20" s="829"/>
      <c r="AF20" s="829"/>
      <c r="AG20" s="829"/>
      <c r="AH20" s="829"/>
    </row>
    <row r="21" spans="2:34" s="828" customFormat="1" ht="30.75" thickBot="1">
      <c r="B21" s="1828"/>
      <c r="C21" s="1826"/>
      <c r="D21" s="839" t="s">
        <v>612</v>
      </c>
      <c r="E21" s="839" t="s">
        <v>613</v>
      </c>
      <c r="F21" s="839" t="s">
        <v>221</v>
      </c>
      <c r="G21" s="839" t="s">
        <v>244</v>
      </c>
      <c r="H21" s="839" t="s">
        <v>614</v>
      </c>
      <c r="I21" s="839" t="s">
        <v>615</v>
      </c>
      <c r="J21" s="839" t="s">
        <v>616</v>
      </c>
      <c r="K21" s="839" t="s">
        <v>204</v>
      </c>
      <c r="L21" s="839" t="s">
        <v>617</v>
      </c>
      <c r="W21" s="829"/>
      <c r="X21" s="829"/>
      <c r="Y21" s="829"/>
      <c r="Z21" s="829"/>
      <c r="AA21" s="829"/>
      <c r="AB21" s="829"/>
      <c r="AC21" s="829"/>
      <c r="AD21" s="829"/>
      <c r="AE21" s="829"/>
      <c r="AF21" s="829"/>
      <c r="AG21" s="829"/>
      <c r="AH21" s="829"/>
    </row>
    <row r="22" spans="2:34" s="828" customFormat="1" ht="18" thickTop="1">
      <c r="B22" s="871" t="s">
        <v>631</v>
      </c>
      <c r="C22" s="872" t="s">
        <v>632</v>
      </c>
      <c r="D22" s="873">
        <v>1</v>
      </c>
      <c r="E22" s="874">
        <v>1</v>
      </c>
      <c r="F22" s="874">
        <v>1</v>
      </c>
      <c r="G22" s="874">
        <v>1</v>
      </c>
      <c r="H22" s="874">
        <v>1</v>
      </c>
      <c r="I22" s="874">
        <v>1</v>
      </c>
      <c r="J22" s="874">
        <v>1</v>
      </c>
      <c r="K22" s="874">
        <v>1</v>
      </c>
      <c r="L22" s="874">
        <v>1</v>
      </c>
      <c r="W22" s="829"/>
      <c r="X22" s="829"/>
      <c r="Y22" s="829"/>
      <c r="Z22" s="829"/>
      <c r="AA22" s="829"/>
      <c r="AB22" s="829"/>
      <c r="AC22" s="829"/>
      <c r="AD22" s="829"/>
      <c r="AE22" s="829"/>
      <c r="AF22" s="829"/>
      <c r="AG22" s="829"/>
      <c r="AH22" s="829"/>
    </row>
    <row r="23" spans="2:34" s="828" customFormat="1" ht="17.25">
      <c r="B23" s="841" t="s">
        <v>633</v>
      </c>
      <c r="C23" s="857" t="s">
        <v>634</v>
      </c>
      <c r="D23" s="875">
        <v>69.570096902141458</v>
      </c>
      <c r="E23" s="876">
        <v>5.7132249104838347E-10</v>
      </c>
      <c r="F23" s="877">
        <v>0</v>
      </c>
      <c r="G23" s="878">
        <v>1184.6065810272216</v>
      </c>
      <c r="H23" s="878">
        <v>210669.44943680742</v>
      </c>
      <c r="I23" s="878">
        <v>27.397993260482984</v>
      </c>
      <c r="J23" s="877">
        <v>0</v>
      </c>
      <c r="K23" s="878">
        <v>1184.6065810272216</v>
      </c>
      <c r="L23" s="878">
        <v>1184.6065810272216</v>
      </c>
      <c r="W23" s="829"/>
      <c r="X23" s="829"/>
      <c r="Y23" s="829"/>
      <c r="Z23" s="829"/>
      <c r="AA23" s="829"/>
      <c r="AB23" s="829"/>
      <c r="AC23" s="829"/>
      <c r="AD23" s="829"/>
      <c r="AE23" s="829"/>
      <c r="AF23" s="829"/>
      <c r="AG23" s="829"/>
      <c r="AH23" s="829"/>
    </row>
    <row r="24" spans="2:34" s="828" customFormat="1" ht="17.25">
      <c r="B24" s="841" t="s">
        <v>635</v>
      </c>
      <c r="C24" s="846">
        <v>2148878</v>
      </c>
      <c r="D24" s="875">
        <v>3127.561499613279</v>
      </c>
      <c r="E24" s="879">
        <v>3.4777836219078537E-4</v>
      </c>
      <c r="F24" s="880">
        <v>0</v>
      </c>
      <c r="G24" s="878">
        <v>21.678400856086583</v>
      </c>
      <c r="H24" s="881">
        <v>1.0245251980768076E-2</v>
      </c>
      <c r="I24" s="882">
        <v>0.21061090039571473</v>
      </c>
      <c r="J24" s="880">
        <v>0</v>
      </c>
      <c r="K24" s="878">
        <v>21.678400856086583</v>
      </c>
      <c r="L24" s="878">
        <v>166.1943691893475</v>
      </c>
      <c r="W24" s="829"/>
      <c r="X24" s="829"/>
      <c r="Y24" s="829"/>
      <c r="Z24" s="829"/>
      <c r="AA24" s="829"/>
      <c r="AB24" s="829"/>
      <c r="AC24" s="829"/>
      <c r="AD24" s="829"/>
      <c r="AE24" s="829"/>
      <c r="AF24" s="829"/>
      <c r="AG24" s="829"/>
      <c r="AH24" s="829"/>
    </row>
    <row r="25" spans="2:34" s="828" customFormat="1" ht="17.25">
      <c r="B25" s="841" t="s">
        <v>636</v>
      </c>
      <c r="C25" s="846" t="s">
        <v>637</v>
      </c>
      <c r="D25" s="883">
        <v>4.0366459713277907</v>
      </c>
      <c r="E25" s="884">
        <v>4.0366459713277907</v>
      </c>
      <c r="F25" s="880">
        <v>0</v>
      </c>
      <c r="G25" s="884">
        <v>4.0366459713277907</v>
      </c>
      <c r="H25" s="884">
        <v>4.0366459713277907</v>
      </c>
      <c r="I25" s="884">
        <v>4.0366459713277907</v>
      </c>
      <c r="J25" s="880">
        <v>0</v>
      </c>
      <c r="K25" s="884">
        <v>4.0366459713277907</v>
      </c>
      <c r="L25" s="884">
        <v>4.0366459713277907</v>
      </c>
      <c r="W25" s="829"/>
      <c r="X25" s="829"/>
      <c r="Y25" s="829"/>
      <c r="Z25" s="829"/>
      <c r="AA25" s="829"/>
      <c r="AB25" s="829"/>
      <c r="AC25" s="829"/>
      <c r="AD25" s="829"/>
      <c r="AE25" s="829"/>
      <c r="AF25" s="829"/>
      <c r="AG25" s="829"/>
      <c r="AH25" s="829"/>
    </row>
    <row r="26" spans="2:34" s="828" customFormat="1" ht="17.25">
      <c r="B26" s="841" t="s">
        <v>638</v>
      </c>
      <c r="C26" s="846" t="s">
        <v>639</v>
      </c>
      <c r="D26" s="885">
        <v>0.19505940264134292</v>
      </c>
      <c r="E26" s="886">
        <v>0.19505940264134292</v>
      </c>
      <c r="F26" s="880">
        <v>0</v>
      </c>
      <c r="G26" s="886">
        <v>0.19505940264134292</v>
      </c>
      <c r="H26" s="886">
        <v>0.19505940264134292</v>
      </c>
      <c r="I26" s="886">
        <v>0.19505940264134292</v>
      </c>
      <c r="J26" s="880">
        <v>0</v>
      </c>
      <c r="K26" s="886">
        <v>0.19505940264134292</v>
      </c>
      <c r="L26" s="886">
        <v>0.19505940264134292</v>
      </c>
      <c r="W26" s="829"/>
      <c r="X26" s="829"/>
      <c r="Y26" s="829"/>
      <c r="Z26" s="829"/>
      <c r="AA26" s="829"/>
      <c r="AB26" s="829"/>
      <c r="AC26" s="829"/>
      <c r="AD26" s="829"/>
      <c r="AE26" s="829"/>
      <c r="AF26" s="829"/>
      <c r="AG26" s="829"/>
      <c r="AH26" s="829"/>
    </row>
    <row r="27" spans="2:34" s="828" customFormat="1" ht="17.25">
      <c r="B27" s="841" t="s">
        <v>640</v>
      </c>
      <c r="C27" s="887" t="s">
        <v>641</v>
      </c>
      <c r="D27" s="883">
        <v>1.3356150764191952</v>
      </c>
      <c r="E27" s="884">
        <v>1.3356150764191952</v>
      </c>
      <c r="F27" s="880">
        <v>0</v>
      </c>
      <c r="G27" s="884">
        <v>1.3356150764191952</v>
      </c>
      <c r="H27" s="884">
        <v>1.3356150764191952</v>
      </c>
      <c r="I27" s="884">
        <v>1.3356150764191952</v>
      </c>
      <c r="J27" s="880">
        <v>0</v>
      </c>
      <c r="K27" s="884">
        <v>1.3356150764191952</v>
      </c>
      <c r="L27" s="884">
        <v>1.3356150764191952</v>
      </c>
      <c r="W27" s="829"/>
      <c r="X27" s="829"/>
      <c r="Y27" s="829"/>
      <c r="Z27" s="829"/>
      <c r="AA27" s="829"/>
      <c r="AB27" s="829"/>
      <c r="AC27" s="829"/>
      <c r="AD27" s="829"/>
      <c r="AE27" s="829"/>
      <c r="AF27" s="829"/>
      <c r="AG27" s="829"/>
      <c r="AH27" s="829"/>
    </row>
    <row r="28" spans="2:34" s="828" customFormat="1" ht="17.25">
      <c r="B28" s="841" t="s">
        <v>642</v>
      </c>
      <c r="C28" s="887" t="s">
        <v>643</v>
      </c>
      <c r="D28" s="885">
        <v>0.22350556552653869</v>
      </c>
      <c r="E28" s="886">
        <v>0.22350556552653869</v>
      </c>
      <c r="F28" s="880">
        <v>0</v>
      </c>
      <c r="G28" s="886">
        <v>0.22350556552653869</v>
      </c>
      <c r="H28" s="886">
        <v>0.22350556552653869</v>
      </c>
      <c r="I28" s="886">
        <v>0.22350556552653869</v>
      </c>
      <c r="J28" s="880">
        <v>0</v>
      </c>
      <c r="K28" s="886">
        <v>0.22350556552653869</v>
      </c>
      <c r="L28" s="886">
        <v>0.22350556552653869</v>
      </c>
      <c r="W28" s="829"/>
      <c r="X28" s="829"/>
      <c r="Y28" s="829"/>
      <c r="Z28" s="829"/>
      <c r="AA28" s="829"/>
      <c r="AB28" s="829"/>
      <c r="AC28" s="829"/>
      <c r="AD28" s="829"/>
      <c r="AE28" s="829"/>
      <c r="AF28" s="829"/>
      <c r="AG28" s="829"/>
      <c r="AH28" s="829"/>
    </row>
    <row r="29" spans="2:34" s="828" customFormat="1" ht="17.25">
      <c r="B29" s="848" t="s">
        <v>644</v>
      </c>
      <c r="C29" s="888" t="s">
        <v>645</v>
      </c>
      <c r="D29" s="889">
        <v>3.4812685054739663</v>
      </c>
      <c r="E29" s="890">
        <v>3.4812685054739663</v>
      </c>
      <c r="F29" s="891">
        <v>0</v>
      </c>
      <c r="G29" s="890">
        <v>3.4812685054739663</v>
      </c>
      <c r="H29" s="890">
        <v>3.4812685054739663</v>
      </c>
      <c r="I29" s="890">
        <v>3.4812685054739663</v>
      </c>
      <c r="J29" s="891">
        <v>0</v>
      </c>
      <c r="K29" s="890">
        <v>3.4812685054739663</v>
      </c>
      <c r="L29" s="890">
        <v>3.4812685054739663</v>
      </c>
      <c r="W29" s="829"/>
      <c r="X29" s="829"/>
      <c r="Y29" s="829"/>
      <c r="Z29" s="829"/>
      <c r="AA29" s="829"/>
      <c r="AB29" s="829"/>
      <c r="AC29" s="829"/>
      <c r="AD29" s="829"/>
      <c r="AE29" s="829"/>
      <c r="AF29" s="829"/>
      <c r="AG29" s="829"/>
      <c r="AH29" s="829"/>
    </row>
    <row r="30" spans="2:34" s="828" customFormat="1">
      <c r="C30" s="892"/>
      <c r="W30" s="829"/>
      <c r="X30" s="829"/>
      <c r="Y30" s="829"/>
      <c r="Z30" s="829"/>
      <c r="AA30" s="829"/>
      <c r="AB30" s="829"/>
      <c r="AC30" s="829"/>
      <c r="AD30" s="829"/>
      <c r="AE30" s="829"/>
      <c r="AF30" s="829"/>
      <c r="AG30" s="829"/>
      <c r="AH30" s="829"/>
    </row>
    <row r="31" spans="2:34" s="828" customFormat="1">
      <c r="B31" s="868" t="s">
        <v>646</v>
      </c>
      <c r="C31" s="892"/>
      <c r="W31" s="829"/>
      <c r="X31" s="829"/>
      <c r="Y31" s="829"/>
      <c r="Z31" s="829"/>
      <c r="AA31" s="829"/>
      <c r="AB31" s="829"/>
      <c r="AC31" s="829"/>
      <c r="AD31" s="829"/>
      <c r="AE31" s="829"/>
      <c r="AF31" s="829"/>
      <c r="AG31" s="829"/>
      <c r="AH31" s="829"/>
    </row>
    <row r="32" spans="2:34" s="828" customFormat="1" ht="30.75" thickBot="1">
      <c r="B32" s="893" t="s">
        <v>317</v>
      </c>
      <c r="C32" s="894" t="s">
        <v>629</v>
      </c>
      <c r="D32" s="839" t="s">
        <v>612</v>
      </c>
      <c r="E32" s="895" t="s">
        <v>613</v>
      </c>
      <c r="F32" s="895" t="s">
        <v>221</v>
      </c>
      <c r="G32" s="895" t="s">
        <v>244</v>
      </c>
      <c r="H32" s="895" t="s">
        <v>614</v>
      </c>
      <c r="I32" s="895" t="s">
        <v>615</v>
      </c>
      <c r="J32" s="895" t="s">
        <v>616</v>
      </c>
      <c r="K32" s="895" t="s">
        <v>204</v>
      </c>
      <c r="L32" s="895" t="s">
        <v>617</v>
      </c>
      <c r="M32" s="895" t="s">
        <v>211</v>
      </c>
      <c r="W32" s="829"/>
      <c r="X32" s="829"/>
      <c r="Y32" s="829"/>
      <c r="Z32" s="829"/>
      <c r="AA32" s="829"/>
      <c r="AB32" s="829"/>
      <c r="AC32" s="829"/>
      <c r="AD32" s="829"/>
      <c r="AE32" s="829"/>
      <c r="AF32" s="829"/>
      <c r="AG32" s="829"/>
      <c r="AH32" s="829"/>
    </row>
    <row r="33" spans="2:33" s="828" customFormat="1" ht="18" thickTop="1">
      <c r="B33" s="896" t="s">
        <v>647</v>
      </c>
      <c r="C33" s="897"/>
      <c r="D33" s="898"/>
      <c r="E33" s="896"/>
      <c r="F33" s="837"/>
      <c r="G33" s="837"/>
      <c r="H33" s="837"/>
      <c r="I33" s="837"/>
      <c r="J33" s="837"/>
      <c r="K33" s="837"/>
      <c r="L33" s="837"/>
      <c r="M33" s="837"/>
      <c r="N33" s="838"/>
      <c r="V33" s="829"/>
      <c r="W33" s="829"/>
      <c r="X33" s="829"/>
      <c r="Y33" s="829"/>
      <c r="Z33" s="829"/>
      <c r="AA33" s="829"/>
      <c r="AB33" s="829"/>
      <c r="AC33" s="829"/>
      <c r="AD33" s="829"/>
      <c r="AE33" s="829"/>
      <c r="AF33" s="829"/>
      <c r="AG33" s="829"/>
    </row>
    <row r="34" spans="2:33" s="828" customFormat="1" ht="15.75" thickBot="1">
      <c r="B34" s="836" t="s">
        <v>648</v>
      </c>
      <c r="C34" s="897"/>
      <c r="D34" s="899"/>
      <c r="E34" s="836"/>
      <c r="F34" s="900"/>
      <c r="G34" s="900"/>
      <c r="H34" s="900"/>
      <c r="I34" s="900"/>
      <c r="J34" s="900"/>
      <c r="K34" s="900"/>
      <c r="L34" s="900"/>
      <c r="M34" s="900"/>
      <c r="V34" s="829"/>
      <c r="W34" s="829"/>
      <c r="X34" s="829"/>
      <c r="Y34" s="829"/>
      <c r="Z34" s="829"/>
      <c r="AA34" s="829"/>
      <c r="AB34" s="829"/>
      <c r="AC34" s="829"/>
      <c r="AD34" s="829"/>
      <c r="AE34" s="829"/>
      <c r="AF34" s="829"/>
      <c r="AG34" s="829"/>
    </row>
    <row r="35" spans="2:33" s="828" customFormat="1" ht="18" thickTop="1">
      <c r="B35" s="859" t="s">
        <v>649</v>
      </c>
      <c r="C35" s="872" t="s">
        <v>632</v>
      </c>
      <c r="D35" s="936">
        <f>SUMPRODUCT(D$7:D$17,$M$7:$M$17,$V$7:$V$17)*D22</f>
        <v>2.9880000000000004E-2</v>
      </c>
      <c r="E35" s="936">
        <f t="shared" ref="E35:L35" si="1">SUMPRODUCT(E$7:E$17,$M$7:$M$17,$V$7:$V$17)*E22</f>
        <v>1.4096599999999999E-2</v>
      </c>
      <c r="F35" s="936">
        <f t="shared" si="1"/>
        <v>1.0400100000000001E-2</v>
      </c>
      <c r="G35" s="936">
        <f t="shared" si="1"/>
        <v>3.4722000000000003E-2</v>
      </c>
      <c r="H35" s="936">
        <f t="shared" si="1"/>
        <v>6.4482799999999993E-2</v>
      </c>
      <c r="I35" s="936">
        <f t="shared" si="1"/>
        <v>0.5261207</v>
      </c>
      <c r="J35" s="936">
        <f t="shared" si="1"/>
        <v>9.7513900000000001E-2</v>
      </c>
      <c r="K35" s="936">
        <f t="shared" si="1"/>
        <v>0.14719760000000001</v>
      </c>
      <c r="L35" s="936">
        <f t="shared" si="1"/>
        <v>2.71595E-2</v>
      </c>
      <c r="M35" s="936">
        <f t="shared" ref="M35:M43" si="2">SUM(D35:L35)</f>
        <v>0.95157320000000001</v>
      </c>
      <c r="V35" s="829"/>
      <c r="W35" s="829"/>
      <c r="X35" s="829"/>
      <c r="Y35" s="829"/>
      <c r="Z35" s="829"/>
      <c r="AA35" s="829"/>
      <c r="AB35" s="829"/>
      <c r="AC35" s="829"/>
      <c r="AD35" s="829"/>
      <c r="AE35" s="829"/>
      <c r="AF35" s="829"/>
      <c r="AG35" s="829"/>
    </row>
    <row r="36" spans="2:33" s="828" customFormat="1">
      <c r="B36" s="841" t="s">
        <v>650</v>
      </c>
      <c r="C36" s="857" t="s">
        <v>634</v>
      </c>
      <c r="D36" s="936">
        <f>SUMPRODUCT(D$7:D$17,$M$7:$M$17,$V$7:$V$17)*D23/10^6</f>
        <v>2.078754495435987E-6</v>
      </c>
      <c r="E36" s="936">
        <f t="shared" ref="E36:L42" si="3">SUMPRODUCT(E$7:E$17,$M$7:$M$17,$V$7:$V$17)*E23/10^6</f>
        <v>8.0537046273126413E-18</v>
      </c>
      <c r="F36" s="936">
        <f t="shared" si="3"/>
        <v>0</v>
      </c>
      <c r="G36" s="936">
        <f t="shared" si="3"/>
        <v>4.1131909706427195E-5</v>
      </c>
      <c r="H36" s="936">
        <f t="shared" si="3"/>
        <v>1.3584555974143764E-2</v>
      </c>
      <c r="I36" s="936">
        <f t="shared" si="3"/>
        <v>1.4414651392800589E-5</v>
      </c>
      <c r="J36" s="936">
        <f t="shared" si="3"/>
        <v>0</v>
      </c>
      <c r="K36" s="936">
        <f t="shared" si="3"/>
        <v>1.7437124567141256E-4</v>
      </c>
      <c r="L36" s="936">
        <f t="shared" si="3"/>
        <v>3.217332243740883E-5</v>
      </c>
      <c r="M36" s="936">
        <f t="shared" si="2"/>
        <v>1.3848725857847256E-2</v>
      </c>
      <c r="V36" s="829"/>
      <c r="W36" s="829"/>
      <c r="X36" s="829"/>
      <c r="Y36" s="829"/>
      <c r="Z36" s="829"/>
      <c r="AA36" s="829"/>
      <c r="AB36" s="829"/>
      <c r="AC36" s="829"/>
      <c r="AD36" s="829"/>
      <c r="AE36" s="829"/>
      <c r="AF36" s="829"/>
      <c r="AG36" s="829"/>
    </row>
    <row r="37" spans="2:33" s="828" customFormat="1">
      <c r="B37" s="848" t="s">
        <v>651</v>
      </c>
      <c r="C37" s="852">
        <v>2148878</v>
      </c>
      <c r="D37" s="936">
        <f t="shared" ref="D37:D42" si="4">SUMPRODUCT(D$7:D$17,$M$7:$M$17,$V$7:$V$17)*D24/10^6</f>
        <v>9.3451537608444792E-5</v>
      </c>
      <c r="E37" s="936">
        <f t="shared" si="3"/>
        <v>4.9024924604586243E-12</v>
      </c>
      <c r="F37" s="936">
        <f t="shared" si="3"/>
        <v>0</v>
      </c>
      <c r="G37" s="936">
        <f t="shared" si="3"/>
        <v>7.5271743452503839E-7</v>
      </c>
      <c r="H37" s="936">
        <f t="shared" si="3"/>
        <v>6.606425344254717E-10</v>
      </c>
      <c r="I37" s="936">
        <f t="shared" si="3"/>
        <v>1.1080675434382371E-7</v>
      </c>
      <c r="J37" s="936">
        <f t="shared" si="3"/>
        <v>0</v>
      </c>
      <c r="K37" s="936">
        <f t="shared" si="3"/>
        <v>3.1910085778538906E-6</v>
      </c>
      <c r="L37" s="936">
        <f t="shared" si="3"/>
        <v>4.5137559699980832E-6</v>
      </c>
      <c r="M37" s="936">
        <f t="shared" si="2"/>
        <v>1.0202049189019251E-4</v>
      </c>
      <c r="V37" s="829"/>
      <c r="W37" s="829"/>
      <c r="X37" s="829"/>
      <c r="Y37" s="829"/>
      <c r="Z37" s="829"/>
      <c r="AA37" s="829"/>
      <c r="AB37" s="829"/>
      <c r="AC37" s="829"/>
      <c r="AD37" s="829"/>
      <c r="AE37" s="829"/>
      <c r="AF37" s="829"/>
      <c r="AG37" s="829"/>
    </row>
    <row r="38" spans="2:33" s="828" customFormat="1">
      <c r="B38" s="841" t="s">
        <v>232</v>
      </c>
      <c r="C38" s="857" t="s">
        <v>637</v>
      </c>
      <c r="D38" s="936">
        <f t="shared" si="4"/>
        <v>1.2061498162327441E-7</v>
      </c>
      <c r="E38" s="936">
        <f t="shared" si="3"/>
        <v>5.6902983599419331E-8</v>
      </c>
      <c r="F38" s="936">
        <f t="shared" si="3"/>
        <v>0</v>
      </c>
      <c r="G38" s="936">
        <f t="shared" si="3"/>
        <v>1.4016042141644356E-7</v>
      </c>
      <c r="H38" s="936">
        <f t="shared" si="3"/>
        <v>2.6029423483993562E-7</v>
      </c>
      <c r="I38" s="936">
        <f t="shared" si="3"/>
        <v>2.1237630040871571E-6</v>
      </c>
      <c r="J38" s="936">
        <f t="shared" si="3"/>
        <v>0</v>
      </c>
      <c r="K38" s="936">
        <f t="shared" si="3"/>
        <v>5.9418459902911972E-7</v>
      </c>
      <c r="L38" s="936">
        <f t="shared" si="3"/>
        <v>1.0963328625827713E-7</v>
      </c>
      <c r="M38" s="936">
        <f t="shared" si="2"/>
        <v>3.4055535108536269E-6</v>
      </c>
      <c r="V38" s="829"/>
      <c r="W38" s="829"/>
      <c r="X38" s="829"/>
      <c r="Y38" s="829"/>
      <c r="Z38" s="829"/>
      <c r="AA38" s="829"/>
      <c r="AB38" s="829"/>
      <c r="AC38" s="829"/>
      <c r="AD38" s="829"/>
      <c r="AE38" s="829"/>
      <c r="AF38" s="829"/>
      <c r="AG38" s="829"/>
    </row>
    <row r="39" spans="2:33" s="828" customFormat="1">
      <c r="B39" s="841" t="s">
        <v>652</v>
      </c>
      <c r="C39" s="846" t="s">
        <v>639</v>
      </c>
      <c r="D39" s="936">
        <f t="shared" si="4"/>
        <v>5.8283749509233268E-9</v>
      </c>
      <c r="E39" s="936">
        <f t="shared" si="3"/>
        <v>2.7496743752739546E-9</v>
      </c>
      <c r="F39" s="936">
        <f t="shared" si="3"/>
        <v>0</v>
      </c>
      <c r="G39" s="936">
        <f t="shared" si="3"/>
        <v>6.7728525785127096E-9</v>
      </c>
      <c r="H39" s="936">
        <f t="shared" si="3"/>
        <v>1.2577976448641186E-8</v>
      </c>
      <c r="I39" s="936">
        <f t="shared" si="3"/>
        <v>1.0262478945924518E-7</v>
      </c>
      <c r="J39" s="936">
        <f t="shared" si="3"/>
        <v>0</v>
      </c>
      <c r="K39" s="936">
        <f t="shared" si="3"/>
        <v>2.871227592623934E-8</v>
      </c>
      <c r="L39" s="936">
        <f t="shared" si="3"/>
        <v>5.2977158460375535E-9</v>
      </c>
      <c r="M39" s="936">
        <f t="shared" si="2"/>
        <v>1.6456365958487323E-7</v>
      </c>
      <c r="V39" s="829"/>
      <c r="W39" s="829"/>
      <c r="X39" s="829"/>
      <c r="Y39" s="829"/>
      <c r="Z39" s="829"/>
      <c r="AA39" s="829"/>
      <c r="AB39" s="829"/>
      <c r="AC39" s="829"/>
      <c r="AD39" s="829"/>
      <c r="AE39" s="829"/>
      <c r="AF39" s="829"/>
      <c r="AG39" s="829"/>
    </row>
    <row r="40" spans="2:33" s="828" customFormat="1">
      <c r="B40" s="841" t="s">
        <v>653</v>
      </c>
      <c r="C40" s="887" t="s">
        <v>641</v>
      </c>
      <c r="D40" s="936">
        <f t="shared" si="4"/>
        <v>3.9908178483405554E-8</v>
      </c>
      <c r="E40" s="936">
        <f t="shared" si="3"/>
        <v>1.8827631486250824E-8</v>
      </c>
      <c r="F40" s="936">
        <f t="shared" si="3"/>
        <v>0</v>
      </c>
      <c r="G40" s="936">
        <f t="shared" si="3"/>
        <v>4.6375226683427299E-8</v>
      </c>
      <c r="H40" s="936">
        <f t="shared" si="3"/>
        <v>8.6124199849723671E-8</v>
      </c>
      <c r="I40" s="936">
        <f t="shared" si="3"/>
        <v>7.0269473893622047E-7</v>
      </c>
      <c r="J40" s="936">
        <f t="shared" si="3"/>
        <v>0</v>
      </c>
      <c r="K40" s="936">
        <f t="shared" si="3"/>
        <v>1.9659933377272215E-7</v>
      </c>
      <c r="L40" s="936">
        <f t="shared" si="3"/>
        <v>3.6274637668007133E-8</v>
      </c>
      <c r="M40" s="936">
        <f t="shared" si="2"/>
        <v>1.1268039468797571E-6</v>
      </c>
      <c r="V40" s="829"/>
      <c r="W40" s="829"/>
      <c r="X40" s="829"/>
      <c r="Y40" s="829"/>
      <c r="Z40" s="829"/>
      <c r="AA40" s="829"/>
      <c r="AB40" s="829"/>
      <c r="AC40" s="829"/>
      <c r="AD40" s="829"/>
      <c r="AE40" s="829"/>
      <c r="AF40" s="829"/>
      <c r="AG40" s="829"/>
    </row>
    <row r="41" spans="2:33" s="828" customFormat="1">
      <c r="B41" s="841" t="s">
        <v>654</v>
      </c>
      <c r="C41" s="887" t="s">
        <v>643</v>
      </c>
      <c r="D41" s="936">
        <f t="shared" si="4"/>
        <v>6.6783462979329772E-9</v>
      </c>
      <c r="E41" s="936">
        <f t="shared" si="3"/>
        <v>3.1506685550014051E-9</v>
      </c>
      <c r="F41" s="936">
        <f t="shared" si="3"/>
        <v>0</v>
      </c>
      <c r="G41" s="936">
        <f t="shared" si="3"/>
        <v>7.7605602462124777E-9</v>
      </c>
      <c r="H41" s="936">
        <f t="shared" si="3"/>
        <v>1.4412264680734686E-8</v>
      </c>
      <c r="I41" s="936">
        <f t="shared" si="3"/>
        <v>1.175909045887184E-7</v>
      </c>
      <c r="J41" s="936">
        <f t="shared" si="3"/>
        <v>0</v>
      </c>
      <c r="K41" s="936">
        <f t="shared" si="3"/>
        <v>3.2899482832149232E-8</v>
      </c>
      <c r="L41" s="936">
        <f t="shared" si="3"/>
        <v>6.0702994069180277E-9</v>
      </c>
      <c r="M41" s="936">
        <f t="shared" si="2"/>
        <v>1.885625266076672E-7</v>
      </c>
      <c r="V41" s="829"/>
      <c r="W41" s="829"/>
      <c r="X41" s="829"/>
      <c r="Y41" s="829"/>
      <c r="Z41" s="829"/>
      <c r="AA41" s="829"/>
      <c r="AB41" s="829"/>
      <c r="AC41" s="829"/>
      <c r="AD41" s="829"/>
      <c r="AE41" s="829"/>
      <c r="AF41" s="829"/>
      <c r="AG41" s="829"/>
    </row>
    <row r="42" spans="2:33" s="828" customFormat="1">
      <c r="B42" s="848" t="s">
        <v>655</v>
      </c>
      <c r="C42" s="888" t="s">
        <v>645</v>
      </c>
      <c r="D42" s="936">
        <f t="shared" si="4"/>
        <v>1.0402030294356213E-7</v>
      </c>
      <c r="E42" s="936">
        <f t="shared" si="3"/>
        <v>4.9074049614264309E-8</v>
      </c>
      <c r="F42" s="936">
        <f t="shared" si="3"/>
        <v>0</v>
      </c>
      <c r="G42" s="936">
        <f t="shared" si="3"/>
        <v>1.2087660504706708E-7</v>
      </c>
      <c r="H42" s="936">
        <f t="shared" si="3"/>
        <v>2.2448194078477664E-7</v>
      </c>
      <c r="I42" s="936">
        <f t="shared" si="3"/>
        <v>1.8315674229879169E-6</v>
      </c>
      <c r="J42" s="936">
        <f t="shared" si="3"/>
        <v>0</v>
      </c>
      <c r="K42" s="936">
        <f t="shared" si="3"/>
        <v>5.1243436896135477E-7</v>
      </c>
      <c r="L42" s="936">
        <f t="shared" si="3"/>
        <v>9.4549511974420187E-8</v>
      </c>
      <c r="M42" s="936">
        <f t="shared" si="2"/>
        <v>2.9370042023133622E-6</v>
      </c>
      <c r="V42" s="829"/>
      <c r="W42" s="829"/>
      <c r="X42" s="829"/>
      <c r="Y42" s="829"/>
      <c r="Z42" s="829"/>
      <c r="AA42" s="829"/>
      <c r="AB42" s="829"/>
      <c r="AC42" s="829"/>
      <c r="AD42" s="829"/>
      <c r="AE42" s="829"/>
      <c r="AF42" s="829"/>
      <c r="AG42" s="829"/>
    </row>
    <row r="43" spans="2:33" s="828" customFormat="1">
      <c r="B43" s="848" t="s">
        <v>656</v>
      </c>
      <c r="C43" s="852" t="s">
        <v>657</v>
      </c>
      <c r="D43" s="936">
        <f t="shared" ref="D43:L43" si="5">SUM(D38:D42)</f>
        <v>2.7705018429909839E-7</v>
      </c>
      <c r="E43" s="936">
        <f t="shared" si="5"/>
        <v>1.3070500763020985E-7</v>
      </c>
      <c r="F43" s="936">
        <f t="shared" si="5"/>
        <v>0</v>
      </c>
      <c r="G43" s="936">
        <f t="shared" si="5"/>
        <v>3.2194566597166314E-7</v>
      </c>
      <c r="H43" s="936">
        <f t="shared" si="5"/>
        <v>5.9789061660381186E-7</v>
      </c>
      <c r="I43" s="936">
        <f t="shared" si="5"/>
        <v>4.8782408600592581E-6</v>
      </c>
      <c r="J43" s="936">
        <f t="shared" si="5"/>
        <v>0</v>
      </c>
      <c r="K43" s="936">
        <f t="shared" si="5"/>
        <v>1.3648300605215853E-6</v>
      </c>
      <c r="L43" s="936">
        <f t="shared" si="5"/>
        <v>2.5182545115366E-7</v>
      </c>
      <c r="M43" s="936">
        <f t="shared" si="2"/>
        <v>7.822487846239287E-6</v>
      </c>
      <c r="N43" s="901"/>
      <c r="V43" s="829"/>
      <c r="W43" s="829"/>
      <c r="X43" s="829"/>
      <c r="Y43" s="829"/>
      <c r="Z43" s="829"/>
      <c r="AA43" s="829"/>
      <c r="AB43" s="829"/>
      <c r="AC43" s="829"/>
      <c r="AD43" s="829"/>
      <c r="AE43" s="829"/>
      <c r="AF43" s="829"/>
      <c r="AG43" s="829"/>
    </row>
    <row r="44" spans="2:33" s="828" customFormat="1" ht="17.25">
      <c r="B44" s="902" t="s">
        <v>658</v>
      </c>
      <c r="C44" s="903"/>
      <c r="D44" s="834"/>
      <c r="E44" s="902"/>
      <c r="F44" s="904"/>
      <c r="G44" s="904"/>
      <c r="H44" s="904"/>
      <c r="I44" s="904"/>
      <c r="J44" s="904"/>
      <c r="K44" s="904"/>
      <c r="L44" s="904"/>
      <c r="M44" s="905"/>
      <c r="N44" s="901"/>
      <c r="V44" s="829"/>
      <c r="W44" s="829"/>
      <c r="X44" s="829"/>
      <c r="Y44" s="829"/>
      <c r="Z44" s="829"/>
      <c r="AA44" s="829"/>
      <c r="AB44" s="829"/>
      <c r="AC44" s="829"/>
      <c r="AD44" s="829"/>
      <c r="AE44" s="829"/>
      <c r="AF44" s="829"/>
      <c r="AG44" s="829"/>
    </row>
    <row r="45" spans="2:33" s="828" customFormat="1" ht="15.75" thickBot="1">
      <c r="B45" s="836" t="s">
        <v>659</v>
      </c>
      <c r="C45" s="906"/>
      <c r="D45" s="899"/>
      <c r="E45" s="836"/>
      <c r="F45" s="900"/>
      <c r="G45" s="900"/>
      <c r="H45" s="900"/>
      <c r="I45" s="900"/>
      <c r="J45" s="900"/>
      <c r="K45" s="900"/>
      <c r="L45" s="900"/>
      <c r="M45" s="900"/>
      <c r="N45" s="901"/>
      <c r="V45" s="829"/>
      <c r="W45" s="829"/>
      <c r="X45" s="829"/>
      <c r="Y45" s="829"/>
      <c r="Z45" s="829"/>
      <c r="AA45" s="829"/>
      <c r="AB45" s="829"/>
      <c r="AC45" s="829"/>
      <c r="AD45" s="829"/>
      <c r="AE45" s="829"/>
      <c r="AF45" s="829"/>
      <c r="AG45" s="829"/>
    </row>
    <row r="46" spans="2:33" s="828" customFormat="1" ht="18" thickTop="1">
      <c r="B46" s="859" t="s">
        <v>649</v>
      </c>
      <c r="C46" s="872" t="s">
        <v>632</v>
      </c>
      <c r="D46" s="936">
        <f>(D35*0.4535924)*24</f>
        <v>0.32528018188800006</v>
      </c>
      <c r="E46" s="936">
        <f t="shared" ref="E46:M46" si="6">(E35*0.4535924)*24</f>
        <v>0.15345865502015998</v>
      </c>
      <c r="F46" s="936">
        <f t="shared" si="6"/>
        <v>0.11321775166176001</v>
      </c>
      <c r="G46" s="936">
        <f t="shared" si="6"/>
        <v>0.37799124750720003</v>
      </c>
      <c r="H46" s="936">
        <f t="shared" si="6"/>
        <v>0.70197379225727996</v>
      </c>
      <c r="I46" s="936">
        <f t="shared" si="6"/>
        <v>5.72746442406432</v>
      </c>
      <c r="J46" s="936">
        <f t="shared" si="6"/>
        <v>1.06155753442464</v>
      </c>
      <c r="K46" s="936">
        <f t="shared" si="6"/>
        <v>1.6024251037977604</v>
      </c>
      <c r="L46" s="936">
        <f t="shared" si="6"/>
        <v>0.29566422690719996</v>
      </c>
      <c r="M46" s="936">
        <f t="shared" si="6"/>
        <v>10.359032917528321</v>
      </c>
      <c r="N46" s="901"/>
      <c r="V46" s="829"/>
      <c r="W46" s="829"/>
      <c r="X46" s="829"/>
      <c r="Y46" s="829"/>
      <c r="Z46" s="829"/>
      <c r="AA46" s="829"/>
      <c r="AB46" s="829"/>
      <c r="AC46" s="829"/>
      <c r="AD46" s="829"/>
      <c r="AE46" s="829"/>
      <c r="AF46" s="829"/>
      <c r="AG46" s="829"/>
    </row>
    <row r="47" spans="2:33" s="828" customFormat="1">
      <c r="B47" s="841" t="s">
        <v>650</v>
      </c>
      <c r="C47" s="857" t="s">
        <v>634</v>
      </c>
      <c r="D47" s="936">
        <f t="shared" ref="D47:M54" si="7">(D36*0.4535924)*24</f>
        <v>2.2629773774294363E-5</v>
      </c>
      <c r="E47" s="936">
        <f t="shared" si="7"/>
        <v>8.7674381059052326E-17</v>
      </c>
      <c r="F47" s="936">
        <f t="shared" si="7"/>
        <v>0</v>
      </c>
      <c r="G47" s="936">
        <f t="shared" si="7"/>
        <v>4.4777091936771857E-4</v>
      </c>
      <c r="H47" s="936">
        <f t="shared" si="7"/>
        <v>0.14788443233390899</v>
      </c>
      <c r="I47" s="936">
        <f t="shared" si="7"/>
        <v>1.5692103169017031E-4</v>
      </c>
      <c r="J47" s="936">
        <f t="shared" si="7"/>
        <v>0</v>
      </c>
      <c r="K47" s="936">
        <f t="shared" si="7"/>
        <v>1.8982433235620554E-3</v>
      </c>
      <c r="L47" s="936">
        <f t="shared" si="7"/>
        <v>3.5024578896859489E-4</v>
      </c>
      <c r="M47" s="936">
        <f t="shared" si="7"/>
        <v>0.1507602431712719</v>
      </c>
      <c r="N47" s="901"/>
      <c r="V47" s="829"/>
      <c r="W47" s="829"/>
      <c r="X47" s="829"/>
      <c r="Y47" s="829"/>
      <c r="Z47" s="829"/>
      <c r="AA47" s="829"/>
      <c r="AB47" s="829"/>
      <c r="AC47" s="829"/>
      <c r="AD47" s="829"/>
      <c r="AE47" s="829"/>
      <c r="AF47" s="829"/>
      <c r="AG47" s="829"/>
    </row>
    <row r="48" spans="2:33" s="828" customFormat="1">
      <c r="B48" s="848" t="s">
        <v>651</v>
      </c>
      <c r="C48" s="852">
        <v>2148878</v>
      </c>
      <c r="D48" s="936">
        <f t="shared" si="7"/>
        <v>1.0173337734601135E-3</v>
      </c>
      <c r="E48" s="936">
        <f t="shared" si="7"/>
        <v>5.3369599706911977E-11</v>
      </c>
      <c r="F48" s="936">
        <f t="shared" si="7"/>
        <v>0</v>
      </c>
      <c r="G48" s="936">
        <f t="shared" si="7"/>
        <v>8.19424578355332E-6</v>
      </c>
      <c r="H48" s="936">
        <f t="shared" si="7"/>
        <v>7.1918983855711758E-9</v>
      </c>
      <c r="I48" s="936">
        <f t="shared" si="7"/>
        <v>1.2062664393366102E-6</v>
      </c>
      <c r="J48" s="936">
        <f t="shared" si="7"/>
        <v>0</v>
      </c>
      <c r="K48" s="936">
        <f t="shared" si="7"/>
        <v>3.4738013741983996E-5</v>
      </c>
      <c r="L48" s="936">
        <f t="shared" si="7"/>
        <v>4.9137729682698203E-5</v>
      </c>
      <c r="M48" s="936">
        <f t="shared" si="7"/>
        <v>1.110617274375671E-3</v>
      </c>
      <c r="N48" s="901"/>
      <c r="V48" s="829"/>
      <c r="W48" s="829"/>
      <c r="X48" s="829"/>
      <c r="Y48" s="829"/>
      <c r="Z48" s="829"/>
      <c r="AA48" s="829"/>
      <c r="AB48" s="829"/>
      <c r="AC48" s="829"/>
      <c r="AD48" s="829"/>
      <c r="AE48" s="829"/>
      <c r="AF48" s="829"/>
      <c r="AG48" s="829"/>
    </row>
    <row r="49" spans="2:33" s="828" customFormat="1">
      <c r="B49" s="841" t="s">
        <v>232</v>
      </c>
      <c r="C49" s="857" t="s">
        <v>637</v>
      </c>
      <c r="D49" s="936">
        <f t="shared" si="7"/>
        <v>1.3130409357709665E-6</v>
      </c>
      <c r="E49" s="936">
        <f t="shared" si="7"/>
        <v>6.1945826155251002E-7</v>
      </c>
      <c r="F49" s="936">
        <f t="shared" si="7"/>
        <v>0</v>
      </c>
      <c r="G49" s="936">
        <f t="shared" si="7"/>
        <v>1.5258168464471048E-6</v>
      </c>
      <c r="H49" s="936">
        <f t="shared" si="7"/>
        <v>2.8336196804930406E-6</v>
      </c>
      <c r="I49" s="936">
        <f t="shared" si="7"/>
        <v>2.3119746193322484E-5</v>
      </c>
      <c r="J49" s="936">
        <f t="shared" si="7"/>
        <v>0</v>
      </c>
      <c r="K49" s="936">
        <f t="shared" si="7"/>
        <v>6.468422839599746E-6</v>
      </c>
      <c r="L49" s="936">
        <f t="shared" si="7"/>
        <v>1.1934918104106948E-6</v>
      </c>
      <c r="M49" s="936">
        <f t="shared" si="7"/>
        <v>3.707359656759654E-5</v>
      </c>
      <c r="N49" s="901"/>
      <c r="V49" s="829"/>
      <c r="W49" s="829"/>
      <c r="X49" s="829"/>
      <c r="Y49" s="829"/>
      <c r="Z49" s="829"/>
      <c r="AA49" s="829"/>
      <c r="AB49" s="829"/>
      <c r="AC49" s="829"/>
      <c r="AD49" s="829"/>
      <c r="AE49" s="829"/>
      <c r="AF49" s="829"/>
      <c r="AG49" s="829"/>
    </row>
    <row r="50" spans="2:33" s="828" customFormat="1">
      <c r="B50" s="841" t="s">
        <v>652</v>
      </c>
      <c r="C50" s="846" t="s">
        <v>639</v>
      </c>
      <c r="D50" s="936">
        <f t="shared" si="7"/>
        <v>6.3448957970140667E-8</v>
      </c>
      <c r="E50" s="936">
        <f t="shared" si="7"/>
        <v>2.9933553578376326E-8</v>
      </c>
      <c r="F50" s="936">
        <f t="shared" si="7"/>
        <v>0</v>
      </c>
      <c r="G50" s="936">
        <f t="shared" si="7"/>
        <v>7.3730746942410437E-8</v>
      </c>
      <c r="H50" s="936">
        <f t="shared" si="7"/>
        <v>1.3692658858758316E-7</v>
      </c>
      <c r="I50" s="936">
        <f t="shared" si="7"/>
        <v>1.1171957892075294E-6</v>
      </c>
      <c r="J50" s="936">
        <f t="shared" si="7"/>
        <v>0</v>
      </c>
      <c r="K50" s="936">
        <f t="shared" si="7"/>
        <v>3.1256808352428304E-7</v>
      </c>
      <c r="L50" s="936">
        <f t="shared" si="7"/>
        <v>5.767208748293291E-8</v>
      </c>
      <c r="M50" s="936">
        <f t="shared" si="7"/>
        <v>1.7914758072932557E-6</v>
      </c>
      <c r="N50" s="901"/>
      <c r="V50" s="829"/>
      <c r="W50" s="829"/>
      <c r="X50" s="829"/>
      <c r="Y50" s="829"/>
      <c r="Z50" s="829"/>
      <c r="AA50" s="829"/>
      <c r="AB50" s="829"/>
      <c r="AC50" s="829"/>
      <c r="AD50" s="829"/>
      <c r="AE50" s="829"/>
      <c r="AF50" s="829"/>
      <c r="AG50" s="829"/>
    </row>
    <row r="51" spans="2:33" s="828" customFormat="1">
      <c r="B51" s="841" t="s">
        <v>653</v>
      </c>
      <c r="C51" s="887" t="s">
        <v>641</v>
      </c>
      <c r="D51" s="936">
        <f t="shared" si="7"/>
        <v>4.3444911498999082E-7</v>
      </c>
      <c r="E51" s="936">
        <f t="shared" si="7"/>
        <v>2.0496169325193788E-7</v>
      </c>
      <c r="F51" s="936">
        <f t="shared" si="7"/>
        <v>0</v>
      </c>
      <c r="G51" s="936">
        <f t="shared" si="7"/>
        <v>5.0485080892511593E-7</v>
      </c>
      <c r="H51" s="936">
        <f t="shared" si="7"/>
        <v>9.3756678018997924E-7</v>
      </c>
      <c r="I51" s="936">
        <f t="shared" si="7"/>
        <v>7.6496878344348891E-6</v>
      </c>
      <c r="J51" s="936">
        <f t="shared" si="7"/>
        <v>0</v>
      </c>
      <c r="K51" s="936">
        <f t="shared" si="7"/>
        <v>2.1402231274648822E-6</v>
      </c>
      <c r="L51" s="936">
        <f t="shared" si="7"/>
        <v>3.9489359901508215E-7</v>
      </c>
      <c r="M51" s="936">
        <f t="shared" si="7"/>
        <v>1.2266632958271876E-5</v>
      </c>
      <c r="N51" s="901"/>
      <c r="V51" s="829"/>
      <c r="W51" s="829"/>
      <c r="X51" s="829"/>
      <c r="Y51" s="829"/>
      <c r="Z51" s="829"/>
      <c r="AA51" s="829"/>
      <c r="AB51" s="829"/>
      <c r="AC51" s="829"/>
      <c r="AD51" s="829"/>
      <c r="AE51" s="829"/>
      <c r="AF51" s="829"/>
      <c r="AG51" s="829"/>
    </row>
    <row r="52" spans="2:33" s="828" customFormat="1">
      <c r="B52" s="841" t="s">
        <v>654</v>
      </c>
      <c r="C52" s="887" t="s">
        <v>643</v>
      </c>
      <c r="D52" s="936">
        <f t="shared" si="7"/>
        <v>7.270193100745283E-8</v>
      </c>
      <c r="E52" s="936">
        <f t="shared" si="7"/>
        <v>3.4298863475222866E-8</v>
      </c>
      <c r="F52" s="936">
        <f t="shared" si="7"/>
        <v>0</v>
      </c>
      <c r="G52" s="936">
        <f t="shared" si="7"/>
        <v>8.4483147538178602E-8</v>
      </c>
      <c r="H52" s="936">
        <f t="shared" si="7"/>
        <v>1.5689504942327231E-7</v>
      </c>
      <c r="I52" s="936">
        <f t="shared" si="7"/>
        <v>1.2801201751336271E-6</v>
      </c>
      <c r="J52" s="936">
        <f t="shared" si="7"/>
        <v>0</v>
      </c>
      <c r="K52" s="936">
        <f t="shared" si="7"/>
        <v>3.5815092903824089E-7</v>
      </c>
      <c r="L52" s="936">
        <f t="shared" si="7"/>
        <v>6.6082600240860597E-8</v>
      </c>
      <c r="M52" s="936">
        <f t="shared" si="7"/>
        <v>2.0527326958568551E-6</v>
      </c>
      <c r="N52" s="901"/>
      <c r="V52" s="829"/>
      <c r="W52" s="829"/>
      <c r="X52" s="829"/>
      <c r="Y52" s="829"/>
      <c r="Z52" s="829"/>
      <c r="AA52" s="829"/>
      <c r="AB52" s="829"/>
      <c r="AC52" s="829"/>
      <c r="AD52" s="829"/>
      <c r="AE52" s="829"/>
      <c r="AF52" s="829"/>
      <c r="AG52" s="829"/>
    </row>
    <row r="53" spans="2:33" s="828" customFormat="1">
      <c r="B53" s="848" t="s">
        <v>655</v>
      </c>
      <c r="C53" s="888" t="s">
        <v>645</v>
      </c>
      <c r="D53" s="936">
        <f t="shared" si="7"/>
        <v>1.1323876526615379E-6</v>
      </c>
      <c r="E53" s="936">
        <f t="shared" si="7"/>
        <v>5.3423078261407736E-7</v>
      </c>
      <c r="F53" s="936">
        <f t="shared" si="7"/>
        <v>0</v>
      </c>
      <c r="G53" s="936">
        <f t="shared" si="7"/>
        <v>1.3158890252916303E-6</v>
      </c>
      <c r="H53" s="936">
        <f t="shared" si="7"/>
        <v>2.4437592546533932E-6</v>
      </c>
      <c r="I53" s="936">
        <f t="shared" si="7"/>
        <v>1.9938841515717706E-5</v>
      </c>
      <c r="J53" s="936">
        <f t="shared" si="7"/>
        <v>0</v>
      </c>
      <c r="K53" s="936">
        <f t="shared" si="7"/>
        <v>5.5784720462319943E-6</v>
      </c>
      <c r="L53" s="936">
        <f t="shared" si="7"/>
        <v>1.0292865613273438E-6</v>
      </c>
      <c r="M53" s="936">
        <f t="shared" si="7"/>
        <v>3.1972866838497688E-5</v>
      </c>
      <c r="N53" s="901"/>
      <c r="V53" s="829"/>
      <c r="W53" s="829"/>
      <c r="X53" s="829"/>
      <c r="Y53" s="829"/>
      <c r="Z53" s="829"/>
      <c r="AA53" s="829"/>
      <c r="AB53" s="829"/>
      <c r="AC53" s="829"/>
      <c r="AD53" s="829"/>
      <c r="AE53" s="829"/>
      <c r="AF53" s="829"/>
      <c r="AG53" s="829"/>
    </row>
    <row r="54" spans="2:33" s="828" customFormat="1">
      <c r="B54" s="848" t="s">
        <v>656</v>
      </c>
      <c r="C54" s="852" t="s">
        <v>657</v>
      </c>
      <c r="D54" s="936">
        <f t="shared" si="7"/>
        <v>3.0160285924000884E-6</v>
      </c>
      <c r="E54" s="936">
        <f t="shared" si="7"/>
        <v>1.4228831544721248E-6</v>
      </c>
      <c r="F54" s="936">
        <f t="shared" si="7"/>
        <v>0</v>
      </c>
      <c r="G54" s="936">
        <f t="shared" si="7"/>
        <v>3.5047705751444407E-6</v>
      </c>
      <c r="H54" s="936">
        <f t="shared" si="7"/>
        <v>6.508767353347269E-6</v>
      </c>
      <c r="I54" s="936">
        <f t="shared" si="7"/>
        <v>5.3105591507816226E-5</v>
      </c>
      <c r="J54" s="936">
        <f t="shared" si="7"/>
        <v>0</v>
      </c>
      <c r="K54" s="936">
        <f t="shared" si="7"/>
        <v>1.4857837025859147E-5</v>
      </c>
      <c r="L54" s="936">
        <f t="shared" si="7"/>
        <v>2.7414266584769139E-6</v>
      </c>
      <c r="M54" s="936">
        <f t="shared" si="7"/>
        <v>8.5157304867516226E-5</v>
      </c>
      <c r="N54" s="901"/>
      <c r="V54" s="829"/>
      <c r="W54" s="829"/>
      <c r="X54" s="829"/>
      <c r="Y54" s="829"/>
      <c r="Z54" s="829"/>
      <c r="AA54" s="829"/>
      <c r="AB54" s="829"/>
      <c r="AC54" s="829"/>
      <c r="AD54" s="829"/>
      <c r="AE54" s="829"/>
      <c r="AF54" s="829"/>
      <c r="AG54" s="829"/>
    </row>
    <row r="55" spans="2:33" s="828" customFormat="1">
      <c r="B55" s="841"/>
      <c r="C55" s="907"/>
      <c r="D55" s="937"/>
      <c r="E55" s="938"/>
      <c r="F55" s="938"/>
      <c r="G55" s="938"/>
      <c r="H55" s="938"/>
      <c r="I55" s="938"/>
      <c r="J55" s="938"/>
      <c r="K55" s="938"/>
      <c r="L55" s="938"/>
      <c r="M55" s="939"/>
      <c r="N55" s="901" t="s">
        <v>1328</v>
      </c>
      <c r="V55" s="829"/>
      <c r="W55" s="829"/>
      <c r="X55" s="829"/>
      <c r="Y55" s="829"/>
      <c r="Z55" s="829"/>
      <c r="AA55" s="829"/>
      <c r="AB55" s="829"/>
      <c r="AC55" s="829"/>
      <c r="AD55" s="829"/>
      <c r="AE55" s="829"/>
      <c r="AF55" s="829"/>
      <c r="AG55" s="829"/>
    </row>
    <row r="56" spans="2:33" s="828" customFormat="1" ht="18" thickBot="1">
      <c r="B56" s="902" t="s">
        <v>660</v>
      </c>
      <c r="C56" s="903"/>
      <c r="D56" s="834"/>
      <c r="E56" s="902"/>
      <c r="F56" s="904"/>
      <c r="G56" s="904"/>
      <c r="H56" s="904"/>
      <c r="I56" s="904"/>
      <c r="J56" s="904"/>
      <c r="K56" s="904"/>
      <c r="L56" s="904"/>
      <c r="M56" s="905"/>
      <c r="N56" s="901" t="s">
        <v>1329</v>
      </c>
      <c r="V56" s="829"/>
      <c r="W56" s="829"/>
      <c r="X56" s="829"/>
      <c r="Y56" s="829"/>
      <c r="Z56" s="829"/>
      <c r="AA56" s="829"/>
      <c r="AB56" s="829"/>
      <c r="AC56" s="829"/>
      <c r="AD56" s="829"/>
      <c r="AE56" s="829"/>
      <c r="AF56" s="829"/>
      <c r="AG56" s="829"/>
    </row>
    <row r="57" spans="2:33" s="828" customFormat="1" ht="15.75" thickBot="1">
      <c r="B57" s="836" t="s">
        <v>661</v>
      </c>
      <c r="C57" s="906"/>
      <c r="D57" s="899"/>
      <c r="E57" s="836"/>
      <c r="F57" s="900"/>
      <c r="G57" s="900"/>
      <c r="H57" s="900"/>
      <c r="I57" s="900"/>
      <c r="J57" s="900"/>
      <c r="K57" s="900"/>
      <c r="L57" s="900"/>
      <c r="M57" s="908"/>
      <c r="N57" s="909" t="s">
        <v>680</v>
      </c>
      <c r="V57" s="829"/>
      <c r="W57" s="829"/>
      <c r="X57" s="829"/>
      <c r="Y57" s="829"/>
      <c r="Z57" s="829"/>
      <c r="AA57" s="829"/>
      <c r="AB57" s="829"/>
      <c r="AC57" s="829"/>
      <c r="AD57" s="829"/>
      <c r="AE57" s="829"/>
      <c r="AF57" s="829"/>
      <c r="AG57" s="829"/>
    </row>
    <row r="58" spans="2:33" s="828" customFormat="1" ht="18.75" thickTop="1" thickBot="1">
      <c r="B58" s="859" t="s">
        <v>649</v>
      </c>
      <c r="C58" s="872" t="s">
        <v>632</v>
      </c>
      <c r="D58" s="936">
        <f>D35*8760/2000</f>
        <v>0.1308744</v>
      </c>
      <c r="E58" s="936">
        <f t="shared" ref="E58:L58" si="8">E35*8760/2000</f>
        <v>6.1743107999999998E-2</v>
      </c>
      <c r="F58" s="936">
        <f t="shared" si="8"/>
        <v>4.5552438000000001E-2</v>
      </c>
      <c r="G58" s="936">
        <f t="shared" si="8"/>
        <v>0.15208236000000003</v>
      </c>
      <c r="H58" s="936">
        <f t="shared" si="8"/>
        <v>0.28243466399999995</v>
      </c>
      <c r="I58" s="936">
        <f t="shared" si="8"/>
        <v>2.3044086659999996</v>
      </c>
      <c r="J58" s="936">
        <f t="shared" si="8"/>
        <v>0.42711088200000003</v>
      </c>
      <c r="K58" s="936">
        <f t="shared" si="8"/>
        <v>0.64472548800000007</v>
      </c>
      <c r="L58" s="936">
        <f t="shared" si="8"/>
        <v>0.11895860999999999</v>
      </c>
      <c r="M58" s="936">
        <f t="shared" ref="M58:M66" si="9">SUM(D58:L58)</f>
        <v>4.1678906159999993</v>
      </c>
      <c r="N58" s="910">
        <f>IF(scenario="B",2,1)*M58*tonneperton</f>
        <v>3.7810855629139071</v>
      </c>
      <c r="V58" s="829"/>
      <c r="W58" s="829"/>
      <c r="X58" s="829"/>
      <c r="Y58" s="829"/>
      <c r="Z58" s="829"/>
      <c r="AA58" s="829"/>
      <c r="AB58" s="829"/>
      <c r="AC58" s="829"/>
      <c r="AD58" s="829"/>
      <c r="AE58" s="829"/>
      <c r="AF58" s="829"/>
      <c r="AG58" s="829"/>
    </row>
    <row r="59" spans="2:33" s="828" customFormat="1">
      <c r="B59" s="841" t="s">
        <v>650</v>
      </c>
      <c r="C59" s="857" t="s">
        <v>634</v>
      </c>
      <c r="D59" s="936">
        <f t="shared" ref="D59:L65" si="10">D36*8760/2000</f>
        <v>9.1049446900096223E-6</v>
      </c>
      <c r="E59" s="936">
        <f t="shared" si="10"/>
        <v>3.5275226267629371E-17</v>
      </c>
      <c r="F59" s="936">
        <f t="shared" si="10"/>
        <v>0</v>
      </c>
      <c r="G59" s="936">
        <f t="shared" si="10"/>
        <v>1.8015776451415111E-4</v>
      </c>
      <c r="H59" s="936">
        <f t="shared" si="10"/>
        <v>5.9500355166749688E-2</v>
      </c>
      <c r="I59" s="936">
        <f t="shared" si="10"/>
        <v>6.3136173100466578E-5</v>
      </c>
      <c r="J59" s="936">
        <f t="shared" si="10"/>
        <v>0</v>
      </c>
      <c r="K59" s="936">
        <f t="shared" si="10"/>
        <v>7.6374605604078707E-4</v>
      </c>
      <c r="L59" s="936">
        <f t="shared" si="10"/>
        <v>1.4091915227585066E-4</v>
      </c>
      <c r="M59" s="936">
        <f t="shared" si="9"/>
        <v>6.065741925737099E-2</v>
      </c>
      <c r="V59" s="829"/>
      <c r="W59" s="829"/>
      <c r="X59" s="829"/>
      <c r="Y59" s="829"/>
      <c r="Z59" s="829"/>
      <c r="AA59" s="829"/>
      <c r="AB59" s="829"/>
      <c r="AC59" s="829"/>
      <c r="AD59" s="829"/>
      <c r="AE59" s="829"/>
      <c r="AF59" s="829"/>
      <c r="AG59" s="829"/>
    </row>
    <row r="60" spans="2:33" s="828" customFormat="1">
      <c r="B60" s="848" t="s">
        <v>651</v>
      </c>
      <c r="C60" s="852">
        <v>2148878</v>
      </c>
      <c r="D60" s="936">
        <f t="shared" si="10"/>
        <v>4.0931773472498818E-4</v>
      </c>
      <c r="E60" s="936">
        <f t="shared" si="10"/>
        <v>2.1472916976808775E-11</v>
      </c>
      <c r="F60" s="936">
        <f t="shared" si="10"/>
        <v>0</v>
      </c>
      <c r="G60" s="936">
        <f t="shared" si="10"/>
        <v>3.2969023632196682E-6</v>
      </c>
      <c r="H60" s="936">
        <f t="shared" si="10"/>
        <v>2.8936143007835659E-9</v>
      </c>
      <c r="I60" s="936">
        <f t="shared" si="10"/>
        <v>4.8533358402594779E-7</v>
      </c>
      <c r="J60" s="936">
        <f t="shared" si="10"/>
        <v>0</v>
      </c>
      <c r="K60" s="936">
        <f t="shared" si="10"/>
        <v>1.397661757100004E-5</v>
      </c>
      <c r="L60" s="936">
        <f t="shared" si="10"/>
        <v>1.9770251148591604E-5</v>
      </c>
      <c r="M60" s="936">
        <f t="shared" si="9"/>
        <v>4.4684975447904324E-4</v>
      </c>
      <c r="V60" s="829"/>
      <c r="W60" s="829"/>
      <c r="X60" s="829"/>
      <c r="Y60" s="829"/>
      <c r="Z60" s="829"/>
      <c r="AA60" s="829"/>
      <c r="AB60" s="829"/>
      <c r="AC60" s="829"/>
      <c r="AD60" s="829"/>
      <c r="AE60" s="829"/>
      <c r="AF60" s="829"/>
      <c r="AG60" s="829"/>
    </row>
    <row r="61" spans="2:33" s="828" customFormat="1">
      <c r="B61" s="841" t="s">
        <v>232</v>
      </c>
      <c r="C61" s="857" t="s">
        <v>637</v>
      </c>
      <c r="D61" s="936">
        <f t="shared" si="10"/>
        <v>5.2829361950994192E-7</v>
      </c>
      <c r="E61" s="936">
        <f t="shared" si="10"/>
        <v>2.4923506816545669E-7</v>
      </c>
      <c r="F61" s="936">
        <f t="shared" si="10"/>
        <v>0</v>
      </c>
      <c r="G61" s="936">
        <f t="shared" si="10"/>
        <v>6.1390264580402286E-7</v>
      </c>
      <c r="H61" s="936">
        <f t="shared" si="10"/>
        <v>1.1400887485989179E-6</v>
      </c>
      <c r="I61" s="936">
        <f t="shared" si="10"/>
        <v>9.302081957901747E-6</v>
      </c>
      <c r="J61" s="936">
        <f t="shared" si="10"/>
        <v>0</v>
      </c>
      <c r="K61" s="936">
        <f t="shared" si="10"/>
        <v>2.6025285437475442E-6</v>
      </c>
      <c r="L61" s="936">
        <f t="shared" si="10"/>
        <v>4.8019379381125386E-7</v>
      </c>
      <c r="M61" s="936">
        <f t="shared" si="9"/>
        <v>1.4916324377538885E-5</v>
      </c>
      <c r="V61" s="829"/>
      <c r="W61" s="829"/>
      <c r="X61" s="829"/>
      <c r="Y61" s="829"/>
      <c r="Z61" s="829"/>
      <c r="AA61" s="829"/>
      <c r="AB61" s="829"/>
      <c r="AC61" s="829"/>
      <c r="AD61" s="829"/>
      <c r="AE61" s="829"/>
      <c r="AF61" s="829"/>
      <c r="AG61" s="829"/>
    </row>
    <row r="62" spans="2:33" s="828" customFormat="1">
      <c r="B62" s="841" t="s">
        <v>652</v>
      </c>
      <c r="C62" s="846" t="s">
        <v>639</v>
      </c>
      <c r="D62" s="936">
        <f t="shared" si="10"/>
        <v>2.5528282285044172E-8</v>
      </c>
      <c r="E62" s="936">
        <f t="shared" si="10"/>
        <v>1.2043573763699922E-8</v>
      </c>
      <c r="F62" s="936">
        <f t="shared" si="10"/>
        <v>0</v>
      </c>
      <c r="G62" s="936">
        <f t="shared" si="10"/>
        <v>2.9665094293885669E-8</v>
      </c>
      <c r="H62" s="936">
        <f t="shared" si="10"/>
        <v>5.5091536845048394E-8</v>
      </c>
      <c r="I62" s="936">
        <f t="shared" si="10"/>
        <v>4.4949657783149388E-7</v>
      </c>
      <c r="J62" s="936">
        <f t="shared" si="10"/>
        <v>0</v>
      </c>
      <c r="K62" s="936">
        <f t="shared" si="10"/>
        <v>1.2575976855692831E-7</v>
      </c>
      <c r="L62" s="936">
        <f t="shared" si="10"/>
        <v>2.3203995405644484E-8</v>
      </c>
      <c r="M62" s="936">
        <f t="shared" si="9"/>
        <v>7.2078882898174472E-7</v>
      </c>
      <c r="V62" s="829"/>
      <c r="W62" s="829"/>
      <c r="X62" s="829"/>
      <c r="Y62" s="829"/>
      <c r="Z62" s="829"/>
      <c r="AA62" s="829"/>
      <c r="AB62" s="829"/>
      <c r="AC62" s="829"/>
      <c r="AD62" s="829"/>
      <c r="AE62" s="829"/>
      <c r="AF62" s="829"/>
      <c r="AG62" s="829"/>
    </row>
    <row r="63" spans="2:33" s="828" customFormat="1">
      <c r="B63" s="841" t="s">
        <v>653</v>
      </c>
      <c r="C63" s="887" t="s">
        <v>641</v>
      </c>
      <c r="D63" s="936">
        <f t="shared" si="10"/>
        <v>1.7479782175731632E-7</v>
      </c>
      <c r="E63" s="936">
        <f t="shared" si="10"/>
        <v>8.2465025909778609E-8</v>
      </c>
      <c r="F63" s="936">
        <f t="shared" si="10"/>
        <v>0</v>
      </c>
      <c r="G63" s="936">
        <f t="shared" si="10"/>
        <v>2.0312349287341156E-7</v>
      </c>
      <c r="H63" s="936">
        <f t="shared" si="10"/>
        <v>3.7722399534178968E-7</v>
      </c>
      <c r="I63" s="936">
        <f t="shared" si="10"/>
        <v>3.0778029565406456E-6</v>
      </c>
      <c r="J63" s="936">
        <f t="shared" si="10"/>
        <v>0</v>
      </c>
      <c r="K63" s="936">
        <f t="shared" si="10"/>
        <v>8.6110508192452302E-7</v>
      </c>
      <c r="L63" s="936">
        <f t="shared" si="10"/>
        <v>1.5888291298587124E-7</v>
      </c>
      <c r="M63" s="936">
        <f t="shared" si="9"/>
        <v>4.9354012873333357E-6</v>
      </c>
      <c r="V63" s="829"/>
      <c r="W63" s="829"/>
      <c r="X63" s="829"/>
      <c r="Y63" s="829"/>
      <c r="Z63" s="829"/>
      <c r="AA63" s="829"/>
      <c r="AB63" s="829"/>
      <c r="AC63" s="829"/>
      <c r="AD63" s="829"/>
      <c r="AE63" s="829"/>
      <c r="AF63" s="829"/>
      <c r="AG63" s="829"/>
    </row>
    <row r="64" spans="2:33" s="828" customFormat="1">
      <c r="B64" s="841" t="s">
        <v>654</v>
      </c>
      <c r="C64" s="887" t="s">
        <v>643</v>
      </c>
      <c r="D64" s="936">
        <f t="shared" si="10"/>
        <v>2.925115678494644E-8</v>
      </c>
      <c r="E64" s="936">
        <f t="shared" si="10"/>
        <v>1.3799928270906153E-8</v>
      </c>
      <c r="F64" s="936">
        <f t="shared" si="10"/>
        <v>0</v>
      </c>
      <c r="G64" s="936">
        <f t="shared" si="10"/>
        <v>3.3991253878410649E-8</v>
      </c>
      <c r="H64" s="936">
        <f t="shared" si="10"/>
        <v>6.3125719301617916E-8</v>
      </c>
      <c r="I64" s="936">
        <f t="shared" si="10"/>
        <v>5.1504816209858653E-7</v>
      </c>
      <c r="J64" s="936">
        <f t="shared" si="10"/>
        <v>0</v>
      </c>
      <c r="K64" s="936">
        <f t="shared" si="10"/>
        <v>1.4409973480481364E-7</v>
      </c>
      <c r="L64" s="936">
        <f t="shared" si="10"/>
        <v>2.6587911402300963E-8</v>
      </c>
      <c r="M64" s="936">
        <f t="shared" si="9"/>
        <v>8.2590386654158233E-7</v>
      </c>
      <c r="V64" s="829"/>
      <c r="W64" s="829"/>
      <c r="X64" s="829"/>
      <c r="Y64" s="829"/>
      <c r="Z64" s="829"/>
      <c r="AA64" s="829"/>
      <c r="AB64" s="829"/>
      <c r="AC64" s="829"/>
      <c r="AD64" s="829"/>
      <c r="AE64" s="829"/>
      <c r="AF64" s="829"/>
      <c r="AG64" s="829"/>
    </row>
    <row r="65" spans="2:33" s="828" customFormat="1">
      <c r="B65" s="848" t="s">
        <v>655</v>
      </c>
      <c r="C65" s="888" t="s">
        <v>645</v>
      </c>
      <c r="D65" s="936">
        <f t="shared" si="10"/>
        <v>4.5560892689280212E-7</v>
      </c>
      <c r="E65" s="936">
        <f t="shared" si="10"/>
        <v>2.1494433731047768E-7</v>
      </c>
      <c r="F65" s="936">
        <f t="shared" si="10"/>
        <v>0</v>
      </c>
      <c r="G65" s="936">
        <f t="shared" si="10"/>
        <v>5.2943953010615377E-7</v>
      </c>
      <c r="H65" s="936">
        <f t="shared" si="10"/>
        <v>9.8323090063732181E-7</v>
      </c>
      <c r="I65" s="936">
        <f t="shared" si="10"/>
        <v>8.0222653126870765E-6</v>
      </c>
      <c r="J65" s="936">
        <f t="shared" si="10"/>
        <v>0</v>
      </c>
      <c r="K65" s="936">
        <f t="shared" si="10"/>
        <v>2.2444625360507338E-6</v>
      </c>
      <c r="L65" s="936">
        <f t="shared" si="10"/>
        <v>4.1412686244796043E-7</v>
      </c>
      <c r="M65" s="936">
        <f t="shared" si="9"/>
        <v>1.2864078406132528E-5</v>
      </c>
      <c r="V65" s="829"/>
      <c r="W65" s="829"/>
      <c r="X65" s="829"/>
      <c r="Y65" s="829"/>
      <c r="Z65" s="829"/>
      <c r="AA65" s="829"/>
      <c r="AB65" s="829"/>
      <c r="AC65" s="829"/>
      <c r="AD65" s="829"/>
      <c r="AE65" s="829"/>
      <c r="AF65" s="829"/>
      <c r="AG65" s="829"/>
    </row>
    <row r="66" spans="2:33">
      <c r="B66" s="848" t="s">
        <v>656</v>
      </c>
      <c r="C66" s="852" t="s">
        <v>657</v>
      </c>
      <c r="D66" s="936">
        <f t="shared" ref="D66:L66" si="11">SUM(D61:D65)</f>
        <v>1.213479807230051E-6</v>
      </c>
      <c r="E66" s="936">
        <f t="shared" si="11"/>
        <v>5.7248793342031901E-7</v>
      </c>
      <c r="F66" s="936">
        <f t="shared" si="11"/>
        <v>0</v>
      </c>
      <c r="G66" s="936">
        <f t="shared" si="11"/>
        <v>1.4101220169558844E-6</v>
      </c>
      <c r="H66" s="936">
        <f t="shared" si="11"/>
        <v>2.6187609007246958E-6</v>
      </c>
      <c r="I66" s="936">
        <f t="shared" si="11"/>
        <v>2.1366694967059549E-5</v>
      </c>
      <c r="J66" s="936">
        <f t="shared" si="11"/>
        <v>0</v>
      </c>
      <c r="K66" s="936">
        <f t="shared" si="11"/>
        <v>5.977955665084543E-6</v>
      </c>
      <c r="L66" s="936">
        <f t="shared" si="11"/>
        <v>1.1029954760530308E-6</v>
      </c>
      <c r="M66" s="936">
        <f t="shared" si="9"/>
        <v>3.4262496766528078E-5</v>
      </c>
      <c r="V66" s="829"/>
    </row>
    <row r="67" spans="2:33">
      <c r="V67" s="829"/>
    </row>
    <row r="68" spans="2:33">
      <c r="B68" s="911" t="s">
        <v>662</v>
      </c>
      <c r="C68" s="911"/>
      <c r="D68" s="912"/>
      <c r="E68" s="912"/>
      <c r="F68" s="911"/>
    </row>
    <row r="69" spans="2:33" ht="17.25">
      <c r="B69" s="1832" t="s">
        <v>663</v>
      </c>
      <c r="C69" s="1832"/>
      <c r="D69" s="1832"/>
      <c r="E69" s="1832"/>
      <c r="F69" s="1832"/>
      <c r="G69" s="1832"/>
      <c r="H69" s="1832"/>
      <c r="I69" s="1832"/>
      <c r="J69" s="1832"/>
      <c r="K69" s="1832"/>
      <c r="L69" s="1832"/>
      <c r="M69" s="1832"/>
      <c r="O69" s="838"/>
    </row>
    <row r="70" spans="2:33" ht="17.25">
      <c r="B70" s="1833" t="s">
        <v>664</v>
      </c>
      <c r="C70" s="1833"/>
      <c r="D70" s="1833"/>
      <c r="E70" s="1833"/>
      <c r="F70" s="1833"/>
      <c r="G70" s="1833"/>
      <c r="H70" s="1833"/>
      <c r="I70" s="1833"/>
      <c r="J70" s="1833"/>
      <c r="K70" s="1833"/>
      <c r="L70" s="1833"/>
      <c r="M70" s="1833"/>
      <c r="N70" s="913"/>
      <c r="O70" s="838"/>
      <c r="P70" s="913"/>
      <c r="Q70" s="913"/>
      <c r="R70" s="913"/>
    </row>
    <row r="71" spans="2:33">
      <c r="B71" s="914"/>
      <c r="C71" s="915" t="s">
        <v>665</v>
      </c>
      <c r="D71" s="916">
        <v>8760</v>
      </c>
      <c r="E71" s="914"/>
      <c r="F71" s="914"/>
      <c r="G71" s="914"/>
      <c r="H71" s="914"/>
      <c r="I71" s="914"/>
      <c r="J71" s="914"/>
      <c r="K71" s="914"/>
      <c r="L71" s="914"/>
    </row>
    <row r="72" spans="2:33" ht="17.25">
      <c r="B72" s="1834" t="s">
        <v>666</v>
      </c>
      <c r="C72" s="1834"/>
      <c r="D72" s="1834"/>
      <c r="E72" s="1834"/>
      <c r="F72" s="1834"/>
      <c r="G72" s="1834"/>
      <c r="H72" s="1834"/>
      <c r="I72" s="1834"/>
      <c r="J72" s="1834"/>
      <c r="K72" s="1834"/>
      <c r="L72" s="1834"/>
      <c r="M72" s="1834"/>
      <c r="O72" s="838"/>
    </row>
    <row r="73" spans="2:33" ht="17.25">
      <c r="C73" s="917" t="s">
        <v>667</v>
      </c>
      <c r="D73" s="918">
        <f>' Gas Data Fugitives'!$F$11</f>
        <v>2980</v>
      </c>
      <c r="E73" s="919" t="s">
        <v>668</v>
      </c>
      <c r="F73" s="920"/>
      <c r="G73" s="914"/>
      <c r="I73" s="914"/>
      <c r="J73" s="914"/>
      <c r="K73" s="914"/>
      <c r="L73" s="914"/>
      <c r="M73" s="914"/>
    </row>
    <row r="74" spans="2:33" ht="17.25">
      <c r="C74" s="917" t="s">
        <v>669</v>
      </c>
      <c r="D74" s="918">
        <f>' Gas Data Fugitives'!$F$12</f>
        <v>144</v>
      </c>
      <c r="E74" s="919" t="s">
        <v>668</v>
      </c>
      <c r="F74" s="920"/>
      <c r="G74" s="914"/>
      <c r="I74" s="914"/>
      <c r="J74" s="914"/>
      <c r="K74" s="914"/>
      <c r="L74" s="914"/>
      <c r="M74" s="914"/>
    </row>
    <row r="75" spans="2:33" ht="17.25">
      <c r="C75" s="917" t="s">
        <v>670</v>
      </c>
      <c r="D75" s="918">
        <f>' Gas Data Fugitives'!$F$13</f>
        <v>986</v>
      </c>
      <c r="E75" s="919" t="s">
        <v>668</v>
      </c>
      <c r="F75" s="920"/>
      <c r="G75" s="914"/>
      <c r="I75" s="914"/>
      <c r="J75" s="914"/>
      <c r="K75" s="914"/>
      <c r="L75" s="914"/>
      <c r="M75" s="914"/>
    </row>
    <row r="76" spans="2:33" ht="17.25">
      <c r="C76" s="917" t="s">
        <v>671</v>
      </c>
      <c r="D76" s="918">
        <f>' Gas Data Fugitives'!$F$14</f>
        <v>165</v>
      </c>
      <c r="E76" s="919" t="s">
        <v>668</v>
      </c>
      <c r="F76" s="920"/>
      <c r="G76" s="914"/>
      <c r="I76" s="914"/>
      <c r="J76" s="914"/>
      <c r="K76" s="914"/>
      <c r="L76" s="914"/>
      <c r="M76" s="914"/>
    </row>
    <row r="77" spans="2:33" ht="17.25">
      <c r="C77" s="917" t="s">
        <v>672</v>
      </c>
      <c r="D77" s="918">
        <f>' Gas Data Fugitives'!$F$15</f>
        <v>2570</v>
      </c>
      <c r="E77" s="919" t="s">
        <v>668</v>
      </c>
      <c r="F77" s="920"/>
      <c r="G77" s="914"/>
      <c r="I77" s="914"/>
      <c r="J77" s="914"/>
      <c r="K77" s="914"/>
      <c r="L77" s="914"/>
      <c r="M77" s="914"/>
    </row>
    <row r="78" spans="2:33" ht="17.25">
      <c r="C78" s="921" t="s">
        <v>673</v>
      </c>
      <c r="D78" s="922">
        <f>' Gas Data Fugitives'!$B$8</f>
        <v>4.6091924175538819E-2</v>
      </c>
      <c r="E78" s="919" t="s">
        <v>668</v>
      </c>
      <c r="F78" s="912"/>
      <c r="G78" s="923"/>
      <c r="I78" s="914"/>
      <c r="J78" s="914"/>
      <c r="K78" s="914"/>
      <c r="L78" s="914"/>
      <c r="M78" s="914"/>
    </row>
    <row r="79" spans="2:33">
      <c r="C79" s="921"/>
      <c r="D79" s="912"/>
      <c r="E79" s="912"/>
      <c r="F79" s="923"/>
    </row>
    <row r="80" spans="2:33">
      <c r="B80" s="911" t="s">
        <v>602</v>
      </c>
      <c r="C80" s="911"/>
      <c r="D80" s="924"/>
      <c r="E80" s="924"/>
      <c r="F80" s="911"/>
    </row>
    <row r="81" spans="2:22" ht="17.25">
      <c r="B81" s="1835" t="s">
        <v>674</v>
      </c>
      <c r="C81" s="1835"/>
      <c r="D81" s="1835"/>
      <c r="E81" s="1835"/>
      <c r="F81" s="1835"/>
      <c r="G81" s="1835"/>
      <c r="H81" s="1835"/>
      <c r="I81" s="1835"/>
      <c r="J81" s="1835"/>
      <c r="K81" s="1835"/>
      <c r="L81" s="1835"/>
      <c r="M81" s="1835"/>
      <c r="N81" s="1835"/>
    </row>
    <row r="82" spans="2:22" ht="17.25">
      <c r="B82" s="1829" t="s">
        <v>675</v>
      </c>
      <c r="C82" s="1829"/>
      <c r="D82" s="1829"/>
      <c r="E82" s="1829"/>
      <c r="F82" s="1829"/>
      <c r="G82" s="1829"/>
      <c r="H82" s="1829"/>
      <c r="I82" s="1829"/>
      <c r="J82" s="1829"/>
      <c r="K82" s="1829"/>
      <c r="L82" s="1829"/>
      <c r="M82" s="1829"/>
      <c r="N82" s="1829"/>
      <c r="O82" s="838"/>
    </row>
    <row r="83" spans="2:22">
      <c r="B83" s="1829"/>
      <c r="C83" s="1829"/>
      <c r="D83" s="1829"/>
      <c r="E83" s="1829"/>
      <c r="F83" s="1829"/>
      <c r="G83" s="1829"/>
      <c r="H83" s="1829"/>
      <c r="I83" s="1829"/>
      <c r="J83" s="1829"/>
      <c r="K83" s="1829"/>
      <c r="L83" s="1829"/>
      <c r="M83" s="1829"/>
      <c r="N83" s="1829"/>
    </row>
    <row r="84" spans="2:22" ht="17.25">
      <c r="B84" s="1829" t="s">
        <v>676</v>
      </c>
      <c r="C84" s="1829"/>
      <c r="D84" s="1829"/>
      <c r="E84" s="1829"/>
      <c r="F84" s="1829"/>
      <c r="G84" s="1829"/>
      <c r="H84" s="1829"/>
      <c r="I84" s="1829"/>
      <c r="J84" s="1829"/>
      <c r="K84" s="1829"/>
      <c r="L84" s="1829"/>
      <c r="M84" s="1829"/>
      <c r="N84" s="1829"/>
      <c r="O84" s="838"/>
      <c r="P84" s="925"/>
      <c r="Q84" s="925"/>
      <c r="R84" s="925"/>
      <c r="S84" s="925"/>
      <c r="T84" s="925"/>
      <c r="U84" s="925"/>
      <c r="V84" s="926"/>
    </row>
    <row r="85" spans="2:22">
      <c r="B85" s="1829"/>
      <c r="C85" s="1829"/>
      <c r="D85" s="1829"/>
      <c r="E85" s="1829"/>
      <c r="F85" s="1829"/>
      <c r="G85" s="1829"/>
      <c r="H85" s="1829"/>
      <c r="I85" s="1829"/>
      <c r="J85" s="1829"/>
      <c r="K85" s="1829"/>
      <c r="L85" s="1829"/>
      <c r="M85" s="1829"/>
      <c r="N85" s="1829"/>
      <c r="O85" s="925"/>
      <c r="P85" s="925"/>
      <c r="Q85" s="925"/>
      <c r="R85" s="925"/>
      <c r="S85" s="925"/>
      <c r="T85" s="925"/>
      <c r="U85" s="925"/>
      <c r="V85" s="926"/>
    </row>
    <row r="86" spans="2:22" ht="17.25">
      <c r="B86" s="1829" t="s">
        <v>677</v>
      </c>
      <c r="C86" s="1829"/>
      <c r="D86" s="1829"/>
      <c r="E86" s="1829"/>
      <c r="F86" s="1829"/>
      <c r="G86" s="1829"/>
      <c r="H86" s="1829"/>
      <c r="I86" s="1829"/>
      <c r="J86" s="1829"/>
      <c r="K86" s="1829"/>
      <c r="L86" s="1829"/>
      <c r="M86" s="1829"/>
      <c r="N86" s="1829"/>
      <c r="O86" s="838"/>
      <c r="P86" s="925"/>
      <c r="Q86" s="925"/>
      <c r="R86" s="925"/>
      <c r="S86" s="925"/>
      <c r="T86" s="925"/>
      <c r="U86" s="925"/>
      <c r="V86" s="926"/>
    </row>
    <row r="87" spans="2:22" ht="17.25">
      <c r="B87" s="1830" t="s">
        <v>678</v>
      </c>
      <c r="C87" s="1830"/>
      <c r="D87" s="1830"/>
      <c r="E87" s="1830"/>
      <c r="F87" s="1830"/>
      <c r="G87" s="1830"/>
      <c r="H87" s="1830"/>
      <c r="I87" s="1830"/>
      <c r="J87" s="1830"/>
      <c r="K87" s="1830"/>
      <c r="L87" s="1830"/>
      <c r="M87" s="1830"/>
      <c r="N87" s="1830"/>
      <c r="O87" s="838"/>
      <c r="P87" s="925"/>
      <c r="Q87" s="925"/>
      <c r="R87" s="925"/>
      <c r="S87" s="925"/>
      <c r="T87" s="925"/>
      <c r="U87" s="925"/>
    </row>
    <row r="88" spans="2:22" ht="18">
      <c r="B88" s="1831" t="s">
        <v>679</v>
      </c>
      <c r="C88" s="1831"/>
      <c r="D88" s="1831"/>
      <c r="E88" s="1831"/>
      <c r="F88" s="1831"/>
      <c r="G88" s="1831"/>
      <c r="H88" s="1831"/>
      <c r="I88" s="1831"/>
      <c r="J88" s="927"/>
      <c r="K88" s="927"/>
      <c r="L88" s="927"/>
      <c r="M88" s="927"/>
      <c r="N88" s="927"/>
      <c r="O88" s="925"/>
      <c r="P88" s="925"/>
      <c r="Q88" s="925"/>
      <c r="R88" s="925"/>
      <c r="S88" s="925"/>
      <c r="T88" s="925"/>
      <c r="U88" s="925"/>
    </row>
    <row r="89" spans="2:22">
      <c r="D89" s="929"/>
      <c r="E89" s="929"/>
      <c r="F89" s="929"/>
      <c r="G89" s="929"/>
      <c r="H89" s="929"/>
      <c r="I89" s="929"/>
      <c r="J89" s="929"/>
      <c r="K89" s="929"/>
      <c r="L89" s="929"/>
    </row>
  </sheetData>
  <sheetProtection password="C8A2" sheet="1" objects="1" scenarios="1"/>
  <mergeCells count="15">
    <mergeCell ref="B86:N86"/>
    <mergeCell ref="B87:N87"/>
    <mergeCell ref="B88:I88"/>
    <mergeCell ref="B69:M69"/>
    <mergeCell ref="B70:M70"/>
    <mergeCell ref="B72:M72"/>
    <mergeCell ref="B81:N81"/>
    <mergeCell ref="B82:N83"/>
    <mergeCell ref="B84:N85"/>
    <mergeCell ref="B4:B6"/>
    <mergeCell ref="C4:C6"/>
    <mergeCell ref="M4:M6"/>
    <mergeCell ref="N4:N6"/>
    <mergeCell ref="B20:B21"/>
    <mergeCell ref="C20:C21"/>
  </mergeCells>
  <pageMargins left="0.7" right="0.7" top="0.75" bottom="0.75" header="0.3" footer="0.3"/>
  <pageSetup paperSize="9" scale="50" fitToHeight="100" orientation="landscape" r:id="rId1"/>
  <headerFooter>
    <oddHeader>&amp;CTacoma LNG Facility DSEIS Life Cycle Analsis GHG Emission Calculations Scenario A</oddHeader>
    <oddFooter>Page &amp;P of &amp;N</oddFooter>
  </headerFooter>
  <rowBreaks count="2" manualBreakCount="2">
    <brk id="30" min="1" max="13" man="1"/>
    <brk id="67" min="1" max="1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22"/>
  </sheetPr>
  <dimension ref="B1:M83"/>
  <sheetViews>
    <sheetView showGridLines="0" workbookViewId="0"/>
  </sheetViews>
  <sheetFormatPr defaultColWidth="11.42578125" defaultRowHeight="14.25"/>
  <cols>
    <col min="1" max="1" width="11.42578125" style="172" customWidth="1"/>
    <col min="2" max="2" width="38" style="172" customWidth="1"/>
    <col min="3" max="3" width="23.7109375" style="172" customWidth="1"/>
    <col min="4" max="4" width="17" style="172" customWidth="1"/>
    <col min="5" max="5" width="14" style="172" customWidth="1"/>
    <col min="6" max="6" width="11.28515625" style="172" customWidth="1"/>
    <col min="7" max="8" width="11.42578125" style="172"/>
    <col min="9" max="9" width="14" style="172" customWidth="1"/>
    <col min="10" max="16384" width="11.42578125" style="172"/>
  </cols>
  <sheetData>
    <row r="1" spans="2:13" ht="15">
      <c r="B1" s="458" t="s">
        <v>110</v>
      </c>
      <c r="C1" s="458"/>
      <c r="D1" s="448"/>
      <c r="E1" s="449"/>
      <c r="F1" s="449"/>
      <c r="G1" s="450"/>
    </row>
    <row r="2" spans="2:13" ht="15">
      <c r="B2" s="458"/>
      <c r="C2" s="458"/>
      <c r="D2" s="448"/>
      <c r="E2" s="449"/>
      <c r="F2" s="449"/>
      <c r="G2" s="450"/>
    </row>
    <row r="3" spans="2:13" ht="18.75">
      <c r="B3" s="451" t="s">
        <v>111</v>
      </c>
      <c r="C3" s="459"/>
      <c r="D3" s="452"/>
      <c r="E3" s="452"/>
      <c r="F3" s="1546">
        <f>Results!E53</f>
        <v>-5.4838536659401527E-2</v>
      </c>
      <c r="G3" s="450"/>
    </row>
    <row r="4" spans="2:13" ht="15">
      <c r="B4" s="449"/>
      <c r="C4" s="449"/>
      <c r="D4" s="449"/>
      <c r="E4" s="449"/>
      <c r="F4" s="449"/>
      <c r="G4" s="450"/>
    </row>
    <row r="5" spans="2:13" ht="15">
      <c r="B5" s="449"/>
      <c r="C5" s="449"/>
      <c r="D5" s="449"/>
      <c r="E5" s="449"/>
      <c r="F5" s="449"/>
      <c r="G5" s="450"/>
    </row>
    <row r="6" spans="2:13" ht="18.75">
      <c r="B6" s="499" t="s">
        <v>112</v>
      </c>
      <c r="C6" s="453"/>
      <c r="D6" s="454"/>
      <c r="E6" s="454" t="s">
        <v>113</v>
      </c>
      <c r="F6" s="454"/>
      <c r="G6" s="450"/>
      <c r="I6" s="194" t="s">
        <v>214</v>
      </c>
      <c r="J6" s="1836" t="s">
        <v>216</v>
      </c>
      <c r="K6" s="1836"/>
      <c r="L6" s="1836" t="s">
        <v>217</v>
      </c>
      <c r="M6" s="1836"/>
    </row>
    <row r="7" spans="2:13" ht="15.75" thickBot="1">
      <c r="B7" s="460" t="s">
        <v>114</v>
      </c>
      <c r="C7" s="461" t="s">
        <v>115</v>
      </c>
      <c r="D7" s="461" t="s">
        <v>116</v>
      </c>
      <c r="E7" s="461" t="s">
        <v>115</v>
      </c>
      <c r="F7" s="461" t="s">
        <v>117</v>
      </c>
      <c r="G7" s="450"/>
      <c r="I7" s="173" t="s">
        <v>215</v>
      </c>
      <c r="J7" s="195">
        <v>100</v>
      </c>
      <c r="K7" s="195">
        <v>20</v>
      </c>
      <c r="L7" s="195">
        <v>100</v>
      </c>
      <c r="M7" s="195">
        <v>20</v>
      </c>
    </row>
    <row r="8" spans="2:13" ht="15.75" thickTop="1">
      <c r="B8" s="462" t="s">
        <v>118</v>
      </c>
      <c r="C8" s="501">
        <v>1</v>
      </c>
      <c r="D8" s="463">
        <f>C_MW+2*O_MW</f>
        <v>43.998699999999999</v>
      </c>
      <c r="E8" s="464" t="s">
        <v>119</v>
      </c>
      <c r="F8" s="464" t="s">
        <v>120</v>
      </c>
      <c r="G8" s="450"/>
      <c r="I8" s="196" t="s">
        <v>218</v>
      </c>
      <c r="J8" s="502">
        <v>1</v>
      </c>
      <c r="K8" s="502">
        <v>1</v>
      </c>
      <c r="L8" s="502">
        <v>1</v>
      </c>
      <c r="M8" s="502">
        <v>1</v>
      </c>
    </row>
    <row r="9" spans="2:13" ht="15">
      <c r="B9" s="462" t="s">
        <v>121</v>
      </c>
      <c r="C9" s="501">
        <v>25</v>
      </c>
      <c r="D9" s="463">
        <f>C_MW+4*H_MW</f>
        <v>16.042000000000002</v>
      </c>
      <c r="E9" s="464" t="s">
        <v>122</v>
      </c>
      <c r="F9" s="464" t="s">
        <v>123</v>
      </c>
      <c r="G9" s="450"/>
      <c r="I9" s="196" t="s">
        <v>219</v>
      </c>
      <c r="J9" s="502">
        <v>30</v>
      </c>
      <c r="K9" s="502">
        <v>85</v>
      </c>
      <c r="L9" s="502">
        <v>25</v>
      </c>
      <c r="M9" s="502">
        <v>72</v>
      </c>
    </row>
    <row r="10" spans="2:13" ht="15">
      <c r="B10" s="462" t="s">
        <v>124</v>
      </c>
      <c r="C10" s="501">
        <v>298</v>
      </c>
      <c r="D10" s="463">
        <f>N_MW*2+O_MW</f>
        <v>44.007400000000004</v>
      </c>
      <c r="E10" s="464" t="s">
        <v>125</v>
      </c>
      <c r="F10" s="464" t="s">
        <v>126</v>
      </c>
      <c r="G10" s="450"/>
      <c r="I10" s="197" t="s">
        <v>220</v>
      </c>
      <c r="J10" s="503">
        <v>265</v>
      </c>
      <c r="K10" s="503">
        <v>264</v>
      </c>
      <c r="L10" s="503">
        <v>298</v>
      </c>
      <c r="M10" s="503">
        <v>289</v>
      </c>
    </row>
    <row r="11" spans="2:13" ht="15">
      <c r="B11" s="462" t="s">
        <v>127</v>
      </c>
      <c r="C11" s="501">
        <v>3.1166666666666667</v>
      </c>
      <c r="D11" s="463">
        <v>10.209095</v>
      </c>
      <c r="E11" s="464" t="s">
        <v>128</v>
      </c>
      <c r="F11" s="464" t="s">
        <v>129</v>
      </c>
      <c r="G11" s="450"/>
    </row>
    <row r="12" spans="2:13" ht="15">
      <c r="B12" s="462" t="s">
        <v>130</v>
      </c>
      <c r="C12" s="501">
        <v>1.5714285714285714</v>
      </c>
      <c r="D12" s="463">
        <f>C_MW+O_MW</f>
        <v>28.0047</v>
      </c>
      <c r="E12" s="464" t="s">
        <v>131</v>
      </c>
      <c r="F12" s="464" t="s">
        <v>132</v>
      </c>
      <c r="G12" s="450"/>
    </row>
    <row r="13" spans="2:13" ht="15">
      <c r="B13" s="462" t="s">
        <v>133</v>
      </c>
      <c r="C13" s="501">
        <v>0</v>
      </c>
      <c r="D13" s="463">
        <f>N_MW+2*O_MW</f>
        <v>45.994700000000002</v>
      </c>
      <c r="E13" s="464" t="s">
        <v>134</v>
      </c>
      <c r="F13" s="464" t="s">
        <v>135</v>
      </c>
      <c r="G13" s="450"/>
    </row>
    <row r="14" spans="2:13" ht="15">
      <c r="B14" s="462" t="s">
        <v>136</v>
      </c>
      <c r="C14" s="463"/>
      <c r="D14" s="465">
        <v>12.0107</v>
      </c>
      <c r="E14" s="464"/>
      <c r="F14" s="464" t="s">
        <v>137</v>
      </c>
      <c r="G14" s="450"/>
    </row>
    <row r="15" spans="2:13" ht="15">
      <c r="B15" s="462" t="s">
        <v>138</v>
      </c>
      <c r="C15" s="463"/>
      <c r="D15" s="465">
        <v>1.007825</v>
      </c>
      <c r="E15" s="464"/>
      <c r="F15" s="464" t="s">
        <v>139</v>
      </c>
      <c r="G15" s="450"/>
    </row>
    <row r="16" spans="2:13" ht="15">
      <c r="B16" s="462" t="s">
        <v>140</v>
      </c>
      <c r="C16" s="463"/>
      <c r="D16" s="465">
        <v>15.994</v>
      </c>
      <c r="E16" s="464"/>
      <c r="F16" s="464" t="s">
        <v>141</v>
      </c>
      <c r="G16" s="450"/>
    </row>
    <row r="17" spans="2:7" ht="15">
      <c r="B17" s="462" t="s">
        <v>142</v>
      </c>
      <c r="C17" s="463"/>
      <c r="D17" s="465">
        <v>14.0067</v>
      </c>
      <c r="E17" s="464"/>
      <c r="F17" s="464" t="s">
        <v>143</v>
      </c>
      <c r="G17" s="450"/>
    </row>
    <row r="18" spans="2:7" ht="15">
      <c r="B18" s="462" t="s">
        <v>144</v>
      </c>
      <c r="C18" s="463"/>
      <c r="D18" s="465">
        <v>40.078000000000003</v>
      </c>
      <c r="E18" s="464"/>
      <c r="F18" s="464" t="s">
        <v>145</v>
      </c>
      <c r="G18" s="450"/>
    </row>
    <row r="19" spans="2:7" ht="15">
      <c r="B19" s="462" t="s">
        <v>146</v>
      </c>
      <c r="C19" s="463"/>
      <c r="D19" s="465">
        <v>35.453000000000003</v>
      </c>
      <c r="E19" s="464"/>
      <c r="F19" s="464" t="s">
        <v>147</v>
      </c>
      <c r="G19" s="450"/>
    </row>
    <row r="20" spans="2:7" ht="15">
      <c r="B20" s="462" t="s">
        <v>148</v>
      </c>
      <c r="C20" s="463"/>
      <c r="D20" s="465">
        <v>22.98977</v>
      </c>
      <c r="E20" s="464"/>
      <c r="F20" s="464" t="s">
        <v>149</v>
      </c>
      <c r="G20" s="450"/>
    </row>
    <row r="21" spans="2:7" ht="15">
      <c r="B21" s="462" t="s">
        <v>150</v>
      </c>
      <c r="C21" s="463"/>
      <c r="D21" s="465">
        <v>32.064999999999998</v>
      </c>
      <c r="E21" s="464"/>
      <c r="F21" s="464" t="s">
        <v>151</v>
      </c>
      <c r="G21" s="450"/>
    </row>
    <row r="22" spans="2:7" ht="15">
      <c r="B22" s="462" t="s">
        <v>152</v>
      </c>
      <c r="C22" s="463"/>
      <c r="D22" s="465">
        <v>30.973762000000001</v>
      </c>
      <c r="E22" s="464"/>
      <c r="F22" s="464" t="s">
        <v>153</v>
      </c>
      <c r="G22" s="450"/>
    </row>
    <row r="23" spans="2:7" ht="15">
      <c r="B23" s="466" t="s">
        <v>154</v>
      </c>
      <c r="C23" s="467"/>
      <c r="D23" s="468">
        <v>39.098300000000002</v>
      </c>
      <c r="E23" s="469"/>
      <c r="F23" s="469" t="s">
        <v>155</v>
      </c>
      <c r="G23" s="450"/>
    </row>
    <row r="24" spans="2:7" ht="15">
      <c r="B24" s="470"/>
      <c r="C24" s="470"/>
      <c r="D24" s="450"/>
      <c r="E24" s="450"/>
      <c r="F24" s="450"/>
      <c r="G24" s="450"/>
    </row>
    <row r="25" spans="2:7" ht="18.75">
      <c r="B25" s="499" t="s">
        <v>156</v>
      </c>
      <c r="C25" s="453"/>
      <c r="D25" s="454"/>
      <c r="E25" s="454" t="s">
        <v>113</v>
      </c>
      <c r="F25" s="454"/>
      <c r="G25" s="450"/>
    </row>
    <row r="26" spans="2:7" ht="18.75" thickBot="1">
      <c r="B26" s="471"/>
      <c r="C26" s="461" t="s">
        <v>157</v>
      </c>
      <c r="D26" s="471"/>
      <c r="E26" s="471"/>
      <c r="F26" s="472" t="s">
        <v>532</v>
      </c>
      <c r="G26" s="450"/>
    </row>
    <row r="27" spans="2:7" ht="15.75" thickTop="1">
      <c r="B27" s="473" t="s">
        <v>158</v>
      </c>
      <c r="C27" s="474">
        <v>0.85</v>
      </c>
      <c r="D27" s="475"/>
      <c r="E27" s="464" t="s">
        <v>159</v>
      </c>
      <c r="F27" s="476">
        <f>C27/C30</f>
        <v>3.1137981133489303</v>
      </c>
      <c r="G27" s="450"/>
    </row>
    <row r="28" spans="2:7" ht="15">
      <c r="B28" s="473" t="s">
        <v>160</v>
      </c>
      <c r="C28" s="477">
        <f>C_MW/CO_MW</f>
        <v>0.42888158059182924</v>
      </c>
      <c r="D28" s="475"/>
      <c r="E28" s="464" t="s">
        <v>161</v>
      </c>
      <c r="F28" s="476">
        <f>C28/C30</f>
        <v>1.5711184194081707</v>
      </c>
      <c r="G28" s="450"/>
    </row>
    <row r="29" spans="2:7" ht="15">
      <c r="B29" s="478" t="s">
        <v>162</v>
      </c>
      <c r="C29" s="479">
        <f>C_MW/CH4_MW</f>
        <v>0.74870340356564014</v>
      </c>
      <c r="D29" s="475"/>
      <c r="E29" s="464" t="s">
        <v>163</v>
      </c>
      <c r="F29" s="476">
        <f>C29/C30</f>
        <v>2.7427191123301329</v>
      </c>
      <c r="G29" s="450"/>
    </row>
    <row r="30" spans="2:7" ht="15">
      <c r="B30" s="478" t="s">
        <v>164</v>
      </c>
      <c r="C30" s="474">
        <f>C_MW/CO2_MW</f>
        <v>0.27297851981990379</v>
      </c>
      <c r="D30" s="475"/>
      <c r="E30" s="464" t="s">
        <v>165</v>
      </c>
      <c r="F30" s="476">
        <v>1</v>
      </c>
      <c r="G30" s="450"/>
    </row>
    <row r="31" spans="2:7" ht="15">
      <c r="B31" s="478" t="s">
        <v>166</v>
      </c>
      <c r="C31" s="474">
        <v>0.5</v>
      </c>
      <c r="D31" s="475"/>
      <c r="E31" s="464" t="s">
        <v>167</v>
      </c>
      <c r="F31" s="476"/>
      <c r="G31" s="450"/>
    </row>
    <row r="32" spans="2:7" ht="15">
      <c r="B32" s="450"/>
      <c r="C32" s="450"/>
      <c r="D32" s="450"/>
      <c r="E32" s="450"/>
      <c r="F32" s="450"/>
      <c r="G32" s="450"/>
    </row>
    <row r="33" spans="2:12" ht="18.75">
      <c r="B33" s="499" t="s">
        <v>168</v>
      </c>
      <c r="C33" s="455"/>
      <c r="D33" s="456"/>
      <c r="E33" s="456" t="s">
        <v>113</v>
      </c>
      <c r="F33" s="456"/>
      <c r="G33" s="450"/>
    </row>
    <row r="34" spans="2:12" ht="15">
      <c r="B34" s="480" t="s">
        <v>169</v>
      </c>
      <c r="C34" s="481"/>
      <c r="D34" s="481"/>
      <c r="E34" s="481"/>
      <c r="F34" s="481"/>
      <c r="G34" s="450"/>
    </row>
    <row r="35" spans="2:12" ht="15">
      <c r="B35" s="462" t="s">
        <v>170</v>
      </c>
      <c r="C35" s="482">
        <v>1055.05585</v>
      </c>
      <c r="D35" s="475"/>
      <c r="E35" s="464" t="s">
        <v>171</v>
      </c>
      <c r="F35" s="475"/>
      <c r="G35" s="450"/>
      <c r="I35" s="176"/>
    </row>
    <row r="36" spans="2:12" ht="15">
      <c r="B36" s="462" t="s">
        <v>172</v>
      </c>
      <c r="C36" s="483">
        <f>1000000/JperBtu</f>
        <v>947.81712266701334</v>
      </c>
      <c r="D36" s="484"/>
      <c r="E36" s="485" t="s">
        <v>173</v>
      </c>
      <c r="F36" s="484"/>
      <c r="G36" s="450"/>
      <c r="I36" s="176"/>
    </row>
    <row r="37" spans="2:12" ht="15">
      <c r="B37" s="466" t="s">
        <v>174</v>
      </c>
      <c r="C37" s="486">
        <f>3600/JperBtu*1000</f>
        <v>3412.141641601248</v>
      </c>
      <c r="D37" s="487"/>
      <c r="E37" s="469" t="s">
        <v>175</v>
      </c>
      <c r="F37" s="487"/>
      <c r="G37" s="450"/>
      <c r="H37" s="176"/>
      <c r="I37" s="176"/>
    </row>
    <row r="38" spans="2:12" ht="15">
      <c r="B38" s="488" t="s">
        <v>176</v>
      </c>
      <c r="C38" s="489"/>
      <c r="D38" s="475"/>
      <c r="E38" s="464"/>
      <c r="F38" s="475"/>
      <c r="G38" s="450"/>
      <c r="H38" s="176"/>
      <c r="I38" s="176"/>
    </row>
    <row r="39" spans="2:12" ht="15">
      <c r="B39" s="462" t="s">
        <v>177</v>
      </c>
      <c r="C39" s="482">
        <v>453.59702440351998</v>
      </c>
      <c r="D39" s="475"/>
      <c r="E39" s="464" t="s">
        <v>178</v>
      </c>
      <c r="F39" s="475"/>
      <c r="G39" s="450"/>
      <c r="H39" s="176"/>
      <c r="I39" s="176"/>
    </row>
    <row r="40" spans="2:12" ht="15">
      <c r="B40" s="462" t="s">
        <v>179</v>
      </c>
      <c r="C40" s="490">
        <f>2/lbperkg</f>
        <v>0.90719404880703991</v>
      </c>
      <c r="D40" s="475"/>
      <c r="E40" s="491" t="s">
        <v>180</v>
      </c>
      <c r="F40" s="492"/>
      <c r="G40" s="457">
        <f>tonneperton*1000000</f>
        <v>907194.04880703986</v>
      </c>
      <c r="H40" s="176"/>
      <c r="I40" s="176"/>
      <c r="J40" s="176"/>
      <c r="K40" s="176"/>
      <c r="L40" s="176"/>
    </row>
    <row r="41" spans="2:12" ht="15">
      <c r="B41" s="462" t="s">
        <v>682</v>
      </c>
      <c r="C41" s="574">
        <v>1.1023099999999999</v>
      </c>
      <c r="D41" s="475"/>
      <c r="E41" s="491" t="s">
        <v>681</v>
      </c>
      <c r="F41" s="492"/>
      <c r="G41" s="457"/>
      <c r="H41" s="176"/>
      <c r="I41" s="176"/>
      <c r="J41" s="176"/>
      <c r="K41" s="176"/>
      <c r="L41" s="176"/>
    </row>
    <row r="42" spans="2:12" ht="15">
      <c r="B42" s="466" t="s">
        <v>181</v>
      </c>
      <c r="C42" s="493">
        <f>1000/gperlb</f>
        <v>2.2045999999999997</v>
      </c>
      <c r="D42" s="487"/>
      <c r="E42" s="469" t="s">
        <v>182</v>
      </c>
      <c r="F42" s="487"/>
      <c r="G42" s="450"/>
      <c r="H42" s="176"/>
      <c r="I42" s="176"/>
    </row>
    <row r="43" spans="2:12" ht="15">
      <c r="B43" s="488" t="s">
        <v>183</v>
      </c>
      <c r="C43" s="494"/>
      <c r="D43" s="475"/>
      <c r="E43" s="464"/>
      <c r="F43" s="475"/>
      <c r="G43" s="450"/>
      <c r="H43" s="176"/>
      <c r="I43" s="176"/>
    </row>
    <row r="44" spans="2:12" ht="15">
      <c r="B44" s="462" t="s">
        <v>455</v>
      </c>
      <c r="C44" s="494">
        <v>35.299999999999997</v>
      </c>
      <c r="D44" s="475"/>
      <c r="E44" s="464" t="s">
        <v>456</v>
      </c>
      <c r="F44" s="475"/>
      <c r="G44" s="450"/>
      <c r="H44" s="176"/>
      <c r="I44" s="176"/>
    </row>
    <row r="45" spans="2:12" ht="15">
      <c r="B45" s="466" t="s">
        <v>184</v>
      </c>
      <c r="C45" s="468">
        <v>3.78541178</v>
      </c>
      <c r="D45" s="487"/>
      <c r="E45" s="469" t="s">
        <v>185</v>
      </c>
      <c r="F45" s="487"/>
      <c r="G45" s="450"/>
      <c r="H45" s="176"/>
      <c r="I45" s="176"/>
    </row>
    <row r="46" spans="2:12" ht="15">
      <c r="B46" s="488" t="s">
        <v>186</v>
      </c>
      <c r="C46" s="495"/>
      <c r="D46" s="475"/>
      <c r="E46" s="464"/>
      <c r="F46" s="475"/>
      <c r="G46" s="450"/>
      <c r="H46" s="176"/>
      <c r="I46" s="176"/>
    </row>
    <row r="47" spans="2:12" ht="15">
      <c r="B47" s="466" t="s">
        <v>187</v>
      </c>
      <c r="C47" s="468">
        <v>2.4710538099999999</v>
      </c>
      <c r="D47" s="487"/>
      <c r="E47" s="469" t="s">
        <v>188</v>
      </c>
      <c r="F47" s="487"/>
      <c r="G47" s="450"/>
    </row>
    <row r="48" spans="2:12" ht="15">
      <c r="B48" s="488" t="s">
        <v>189</v>
      </c>
      <c r="C48" s="495"/>
      <c r="D48" s="475"/>
      <c r="E48" s="464"/>
      <c r="F48" s="475"/>
      <c r="G48" s="450"/>
    </row>
    <row r="49" spans="2:7" ht="15">
      <c r="B49" s="462" t="s">
        <v>190</v>
      </c>
      <c r="C49" s="496">
        <v>2.54</v>
      </c>
      <c r="D49" s="450"/>
      <c r="E49" s="464" t="s">
        <v>191</v>
      </c>
      <c r="F49" s="450"/>
      <c r="G49" s="450"/>
    </row>
    <row r="50" spans="2:7" ht="15">
      <c r="B50" s="462" t="s">
        <v>192</v>
      </c>
      <c r="C50" s="465">
        <f>1852*100/C49/12/5280</f>
        <v>1.1507794480235425</v>
      </c>
      <c r="D50" s="450"/>
      <c r="E50" s="464" t="s">
        <v>193</v>
      </c>
      <c r="F50" s="450"/>
      <c r="G50" s="450"/>
    </row>
    <row r="51" spans="2:7" ht="15">
      <c r="B51" s="462" t="s">
        <v>199</v>
      </c>
      <c r="C51" s="497">
        <v>5280</v>
      </c>
      <c r="D51" s="450"/>
      <c r="E51" s="464"/>
      <c r="F51" s="450"/>
      <c r="G51" s="450"/>
    </row>
    <row r="52" spans="2:7" ht="15">
      <c r="B52" s="462" t="s">
        <v>200</v>
      </c>
      <c r="C52" s="490">
        <f>C51*12*C49/100000</f>
        <v>1.6093439999999999</v>
      </c>
      <c r="D52" s="450"/>
      <c r="E52" s="464" t="s">
        <v>201</v>
      </c>
      <c r="F52" s="450"/>
      <c r="G52" s="450"/>
    </row>
    <row r="53" spans="2:7" ht="15">
      <c r="B53" s="462" t="s">
        <v>208</v>
      </c>
      <c r="C53" s="498">
        <v>379</v>
      </c>
      <c r="D53" s="450"/>
      <c r="E53" s="464" t="s">
        <v>209</v>
      </c>
      <c r="F53" s="450"/>
      <c r="G53" s="450"/>
    </row>
    <row r="54" spans="2:7" ht="15">
      <c r="B54" s="462" t="s">
        <v>238</v>
      </c>
      <c r="C54" s="490">
        <v>22.414000000000001</v>
      </c>
      <c r="D54" s="450"/>
      <c r="E54" s="464" t="s">
        <v>239</v>
      </c>
      <c r="F54" s="450"/>
      <c r="G54" s="450"/>
    </row>
    <row r="55" spans="2:7" ht="15">
      <c r="B55" s="488" t="s">
        <v>207</v>
      </c>
      <c r="C55" s="495"/>
      <c r="D55" s="475"/>
      <c r="E55" s="464"/>
      <c r="F55" s="450"/>
      <c r="G55" s="450"/>
    </row>
    <row r="56" spans="2:7" ht="15">
      <c r="B56" s="466" t="s">
        <v>859</v>
      </c>
      <c r="C56" s="468">
        <v>1.34102208881</v>
      </c>
      <c r="D56" s="487"/>
      <c r="E56" s="469" t="s">
        <v>860</v>
      </c>
      <c r="F56" s="450"/>
      <c r="G56" s="450"/>
    </row>
    <row r="57" spans="2:7" ht="15">
      <c r="B57" s="450"/>
      <c r="C57" s="450"/>
      <c r="D57" s="450"/>
      <c r="E57" s="450"/>
      <c r="F57" s="450"/>
      <c r="G57" s="450"/>
    </row>
    <row r="58" spans="2:7" ht="18.75">
      <c r="B58" s="499" t="s">
        <v>515</v>
      </c>
      <c r="C58" s="174"/>
      <c r="D58" s="175"/>
      <c r="E58" s="175"/>
    </row>
    <row r="59" spans="2:7" ht="15">
      <c r="B59" t="s">
        <v>212</v>
      </c>
      <c r="C59"/>
      <c r="D59"/>
      <c r="E59"/>
      <c r="F59"/>
      <c r="G59"/>
    </row>
    <row r="60" spans="2:7" ht="15">
      <c r="B60"/>
      <c r="C60"/>
      <c r="D60"/>
      <c r="E60"/>
      <c r="F60"/>
      <c r="G60"/>
    </row>
    <row r="61" spans="2:7" ht="18.75" thickBot="1">
      <c r="B61" s="228" t="s">
        <v>305</v>
      </c>
      <c r="C61" s="228" t="s">
        <v>284</v>
      </c>
      <c r="D61" s="238" t="s">
        <v>283</v>
      </c>
      <c r="E61" s="238" t="s">
        <v>278</v>
      </c>
      <c r="F61" s="238" t="s">
        <v>279</v>
      </c>
      <c r="G61" s="238" t="s">
        <v>276</v>
      </c>
    </row>
    <row r="62" spans="2:7" ht="15.75" thickTop="1">
      <c r="B62" s="291" t="s">
        <v>288</v>
      </c>
      <c r="C62" s="291"/>
      <c r="D62" s="291"/>
      <c r="E62" s="291"/>
      <c r="F62" s="291"/>
      <c r="G62" s="291"/>
    </row>
    <row r="63" spans="2:7" ht="15">
      <c r="B63" s="241" t="s">
        <v>233</v>
      </c>
      <c r="C63" s="241" t="s">
        <v>285</v>
      </c>
      <c r="D63" s="243">
        <f>EFs!S16</f>
        <v>78187.235473148816</v>
      </c>
      <c r="E63" s="292">
        <f>EFs!S13</f>
        <v>4.2210000000000001</v>
      </c>
      <c r="F63" s="292">
        <f>EFs!S14</f>
        <v>0.6</v>
      </c>
      <c r="G63" s="243">
        <f t="shared" ref="G63:G80" si="0">D63+E63*CH4_GWP+F63*N2O_GWP</f>
        <v>78471.560473148813</v>
      </c>
    </row>
    <row r="64" spans="2:7" ht="15">
      <c r="B64" s="241" t="s">
        <v>233</v>
      </c>
      <c r="C64" s="241" t="s">
        <v>299</v>
      </c>
      <c r="D64" s="243">
        <f>EFs!AB16</f>
        <v>78185.955459789518</v>
      </c>
      <c r="E64" s="292">
        <f>EFs!AB13</f>
        <v>4.7499816359937208</v>
      </c>
      <c r="F64" s="292">
        <f>EFs!AB14</f>
        <v>0.17522813503592519</v>
      </c>
      <c r="G64" s="243">
        <f t="shared" si="0"/>
        <v>78356.922984930061</v>
      </c>
    </row>
    <row r="65" spans="2:7" ht="15">
      <c r="B65" s="241" t="s">
        <v>233</v>
      </c>
      <c r="C65" t="s">
        <v>257</v>
      </c>
      <c r="D65" s="243">
        <f>EFs!Q16</f>
        <v>78198.499542349702</v>
      </c>
      <c r="E65" s="292">
        <f>EFs!Q13</f>
        <v>0.19800000000000001</v>
      </c>
      <c r="F65" s="292">
        <f>EFs!Q14</f>
        <v>0.91800000000000004</v>
      </c>
      <c r="G65" s="243">
        <f t="shared" si="0"/>
        <v>78477.013542349698</v>
      </c>
    </row>
    <row r="66" spans="2:7" ht="15">
      <c r="B66" s="293" t="s">
        <v>289</v>
      </c>
      <c r="C66" s="241" t="s">
        <v>286</v>
      </c>
      <c r="D66" s="243">
        <f>EFs!V16</f>
        <v>76828.701207834427</v>
      </c>
      <c r="E66" s="292">
        <f>EFs!$V$13</f>
        <v>3</v>
      </c>
      <c r="F66" s="292">
        <f>EFs!$V$14</f>
        <v>0.6</v>
      </c>
      <c r="G66" s="243">
        <f t="shared" si="0"/>
        <v>77082.50120783443</v>
      </c>
    </row>
    <row r="67" spans="2:7" ht="15">
      <c r="B67" s="951" t="s">
        <v>290</v>
      </c>
      <c r="C67" s="952" t="s">
        <v>1064</v>
      </c>
      <c r="D67" s="953">
        <f>EFs!O16</f>
        <v>85516.566245900467</v>
      </c>
      <c r="E67" s="954">
        <f>EFs!$O$13</f>
        <v>1.3069232807093027</v>
      </c>
      <c r="F67" s="954">
        <f>EFs!$O$14</f>
        <v>3.8325425379956144</v>
      </c>
      <c r="G67" s="953">
        <f>D67+E67*CH4_GWP+F67*N2O_GWP</f>
        <v>86691.337004240893</v>
      </c>
    </row>
    <row r="68" spans="2:7" ht="15">
      <c r="B68" s="951" t="s">
        <v>290</v>
      </c>
      <c r="C68" s="952" t="s">
        <v>245</v>
      </c>
      <c r="D68" s="953">
        <f>Fuel_Specs!J17</f>
        <v>85002.922753396211</v>
      </c>
      <c r="E68" s="954">
        <f>EFs!N13</f>
        <v>4.2210000000000001</v>
      </c>
      <c r="F68" s="954"/>
      <c r="G68" s="953"/>
    </row>
    <row r="69" spans="2:7" ht="15">
      <c r="B69" s="249" t="s">
        <v>204</v>
      </c>
      <c r="C69" s="249" t="s">
        <v>295</v>
      </c>
      <c r="D69" s="251">
        <f>EFs!I16</f>
        <v>58333.107375965192</v>
      </c>
      <c r="E69" s="251">
        <f>EFs!$I$13</f>
        <v>392.35399999999998</v>
      </c>
      <c r="F69" s="294">
        <f>EFs!$I$14</f>
        <v>0.111</v>
      </c>
      <c r="G69" s="251">
        <f t="shared" si="0"/>
        <v>68175.035375965192</v>
      </c>
    </row>
    <row r="70" spans="2:7" ht="15">
      <c r="B70" s="245" t="s">
        <v>204</v>
      </c>
      <c r="C70" s="249" t="s">
        <v>296</v>
      </c>
      <c r="D70" s="251">
        <f>EFs!$G$16</f>
        <v>59409.53649183159</v>
      </c>
      <c r="E70" s="294">
        <f>EFs!$G$13</f>
        <v>1.1419999999999999</v>
      </c>
      <c r="F70" s="294">
        <f>EFs!$G$14</f>
        <v>0.11899999999999999</v>
      </c>
      <c r="G70" s="251">
        <f t="shared" si="0"/>
        <v>59473.548491831592</v>
      </c>
    </row>
    <row r="71" spans="2:7" ht="15">
      <c r="B71" s="245" t="s">
        <v>204</v>
      </c>
      <c r="C71" s="249" t="s">
        <v>397</v>
      </c>
      <c r="D71" s="251">
        <f>EFs!$E$16</f>
        <v>59329.894999999997</v>
      </c>
      <c r="E71" s="294">
        <f>EFs!$E$13</f>
        <v>1.06</v>
      </c>
      <c r="F71" s="294">
        <f>EFs!$E$14</f>
        <v>0.35</v>
      </c>
      <c r="G71" s="251">
        <f t="shared" si="0"/>
        <v>59460.695</v>
      </c>
    </row>
    <row r="72" spans="2:7" ht="15">
      <c r="B72" s="245" t="s">
        <v>204</v>
      </c>
      <c r="C72" s="249" t="s">
        <v>396</v>
      </c>
      <c r="D72" s="251">
        <f>EFs!$D$16</f>
        <v>59409.753090572827</v>
      </c>
      <c r="E72" s="294">
        <f>EFs!$D$13</f>
        <v>1.06</v>
      </c>
      <c r="F72" s="294">
        <f>EFs!$D$14</f>
        <v>0.75</v>
      </c>
      <c r="G72" s="251">
        <f t="shared" si="0"/>
        <v>59659.753090572827</v>
      </c>
    </row>
    <row r="73" spans="2:7" s="956" customFormat="1" ht="15">
      <c r="B73" s="951" t="s">
        <v>350</v>
      </c>
      <c r="C73" s="951" t="s">
        <v>1064</v>
      </c>
      <c r="D73" s="512">
        <f>EFs!AJ16</f>
        <v>58674.377501012976</v>
      </c>
      <c r="E73" s="955">
        <f>EFs!AJ13</f>
        <v>693.20748505085953</v>
      </c>
      <c r="F73" s="955">
        <f>EFs!AJ14</f>
        <v>4.0771729127612923</v>
      </c>
      <c r="G73" s="512">
        <f t="shared" si="0"/>
        <v>77219.56215528732</v>
      </c>
    </row>
    <row r="74" spans="2:7" s="956" customFormat="1" ht="15">
      <c r="B74" s="951" t="s">
        <v>347</v>
      </c>
      <c r="C74" s="951" t="s">
        <v>1103</v>
      </c>
      <c r="D74" s="251">
        <f>EFs!AK16</f>
        <v>58059.165008182528</v>
      </c>
      <c r="E74" s="251">
        <f>EFs!AK13</f>
        <v>91.619997024536133</v>
      </c>
      <c r="F74" s="251"/>
      <c r="G74" s="251"/>
    </row>
    <row r="75" spans="2:7" s="956" customFormat="1" ht="15">
      <c r="B75" s="951" t="s">
        <v>350</v>
      </c>
      <c r="C75" s="951" t="s">
        <v>1104</v>
      </c>
      <c r="D75" s="251">
        <f>D74</f>
        <v>58059.165008182528</v>
      </c>
      <c r="E75" s="251"/>
      <c r="F75" s="251"/>
      <c r="G75" s="251"/>
    </row>
    <row r="76" spans="2:7" ht="15">
      <c r="B76" s="245" t="s">
        <v>347</v>
      </c>
      <c r="C76" s="249" t="s">
        <v>348</v>
      </c>
      <c r="D76" s="251">
        <f>EFs!AF16</f>
        <v>57459.341473411587</v>
      </c>
      <c r="E76" s="294">
        <f>EFs!AF13</f>
        <v>309.76673694124082</v>
      </c>
      <c r="F76" s="294">
        <f>EFs!AF14</f>
        <v>3.2506528037593428E-2</v>
      </c>
      <c r="G76" s="251">
        <f t="shared" si="0"/>
        <v>65213.19684229781</v>
      </c>
    </row>
    <row r="77" spans="2:7" ht="15">
      <c r="B77" s="245" t="s">
        <v>347</v>
      </c>
      <c r="C77" s="249" t="s">
        <v>349</v>
      </c>
      <c r="D77" s="251">
        <f>EFs!AI16</f>
        <v>58308.205000000002</v>
      </c>
      <c r="E77" s="294">
        <f>EFs!AI13</f>
        <v>1.06</v>
      </c>
      <c r="F77" s="294">
        <f>EFs!AI14</f>
        <v>0.35</v>
      </c>
      <c r="G77" s="251">
        <f t="shared" si="0"/>
        <v>58439.005000000005</v>
      </c>
    </row>
    <row r="78" spans="2:7" ht="15">
      <c r="B78" s="245" t="s">
        <v>351</v>
      </c>
      <c r="C78" s="249" t="s">
        <v>240</v>
      </c>
      <c r="D78" s="251">
        <f>EFs!AG16</f>
        <v>68058.497560929056</v>
      </c>
      <c r="E78" s="294">
        <f>EFs!AG13</f>
        <v>1.0680000000000001</v>
      </c>
      <c r="F78" s="294">
        <f>EFs!AG13</f>
        <v>1.0680000000000001</v>
      </c>
      <c r="G78" s="251">
        <f t="shared" si="0"/>
        <v>68403.461560929049</v>
      </c>
    </row>
    <row r="79" spans="2:7" ht="15">
      <c r="B79" s="295" t="s">
        <v>352</v>
      </c>
      <c r="C79" s="295" t="s">
        <v>240</v>
      </c>
      <c r="D79" s="276">
        <f>EFs!AH16</f>
        <v>68773.433332339118</v>
      </c>
      <c r="E79" s="296">
        <f>EFs!AH13</f>
        <v>1.0680000000000001</v>
      </c>
      <c r="F79" s="296">
        <f>EFs!AH13</f>
        <v>1.0680000000000001</v>
      </c>
      <c r="G79" s="276">
        <f t="shared" si="0"/>
        <v>69118.397332339111</v>
      </c>
    </row>
    <row r="80" spans="2:7" ht="15">
      <c r="B80" s="295" t="s">
        <v>1268</v>
      </c>
      <c r="C80" s="295" t="s">
        <v>384</v>
      </c>
      <c r="D80" s="276">
        <f>EFs!AH16</f>
        <v>68773.433332339118</v>
      </c>
      <c r="E80" s="296">
        <f>EFs!AH13</f>
        <v>1.0680000000000001</v>
      </c>
      <c r="F80" s="296">
        <f>EFs!$AH$13</f>
        <v>1.0680000000000001</v>
      </c>
      <c r="G80" s="276">
        <f t="shared" si="0"/>
        <v>69118.397332339111</v>
      </c>
    </row>
    <row r="81" spans="2:7" ht="15">
      <c r="B81" s="295" t="s">
        <v>471</v>
      </c>
      <c r="C81" s="295" t="s">
        <v>384</v>
      </c>
      <c r="D81" s="276">
        <f>EFs!AE15</f>
        <v>68662.016739283121</v>
      </c>
      <c r="E81" s="296">
        <f>EFs!AE13</f>
        <v>1.06</v>
      </c>
      <c r="F81" s="296">
        <f>EFs!$AH$13</f>
        <v>1.0680000000000001</v>
      </c>
      <c r="G81" s="276">
        <v>59659.753090572827</v>
      </c>
    </row>
    <row r="82" spans="2:7" ht="15">
      <c r="B82" s="1525" t="s">
        <v>244</v>
      </c>
      <c r="C82" s="1526" t="s">
        <v>240</v>
      </c>
      <c r="D82" s="1527">
        <f>EFs!D16</f>
        <v>59409.753090572827</v>
      </c>
      <c r="E82" s="1528">
        <f>EFs!$D$13</f>
        <v>1.06</v>
      </c>
      <c r="F82" s="1528">
        <f>EFs!AE14</f>
        <v>0.75</v>
      </c>
      <c r="G82" s="1529">
        <f>D82+E82*CH4_GWP+F82*N2O_GWP</f>
        <v>59659.753090572827</v>
      </c>
    </row>
    <row r="83" spans="2:7" ht="15">
      <c r="B83" s="1530" t="s">
        <v>88</v>
      </c>
      <c r="C83" s="1531" t="s">
        <v>240</v>
      </c>
      <c r="D83" s="1532">
        <f>EFs!$Y$16</f>
        <v>100041.22824955724</v>
      </c>
      <c r="E83" s="1533">
        <f>EFs!$Y$13</f>
        <v>1.0580000000000001</v>
      </c>
      <c r="F83" s="1533">
        <f>EFs!$Y$14</f>
        <v>1.5860000000000001</v>
      </c>
      <c r="G83" s="1532">
        <f>D83+E83*CH4_GWP+F83*N2O_GWP</f>
        <v>100540.30624955724</v>
      </c>
    </row>
  </sheetData>
  <sheetProtection password="C8A2" sheet="1" objects="1" scenarios="1"/>
  <mergeCells count="2">
    <mergeCell ref="J6:K6"/>
    <mergeCell ref="L6:M6"/>
  </mergeCells>
  <phoneticPr fontId="24" type="noConversion"/>
  <pageMargins left="0.7" right="0.7" top="0.75" bottom="0.75" header="0.3" footer="0.3"/>
  <pageSetup paperSize="9" scale="50" orientation="landscape" r:id="rId1"/>
  <headerFooter>
    <oddHeader>&amp;CTacoma LNG Facility DSEIS Life Cycle Analsis GHG Emission Calculations Scenario A</oddHead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22"/>
  </sheetPr>
  <dimension ref="A1:AF241"/>
  <sheetViews>
    <sheetView showGridLines="0" workbookViewId="0"/>
  </sheetViews>
  <sheetFormatPr defaultColWidth="11.42578125" defaultRowHeight="12.75" outlineLevelCol="1"/>
  <cols>
    <col min="1" max="1" width="30.85546875" style="171" customWidth="1"/>
    <col min="2" max="2" width="11.28515625" style="171" customWidth="1"/>
    <col min="3" max="3" width="10.42578125" style="171" customWidth="1"/>
    <col min="4" max="4" width="10.7109375" style="171" customWidth="1"/>
    <col min="5" max="5" width="8.42578125" style="171" customWidth="1" outlineLevel="1"/>
    <col min="6" max="6" width="11.28515625" style="171" customWidth="1" outlineLevel="1"/>
    <col min="7" max="7" width="10" style="171" customWidth="1" outlineLevel="1"/>
    <col min="8" max="9" width="11.42578125" style="171" customWidth="1" outlineLevel="1"/>
    <col min="10" max="10" width="13.28515625" style="170" customWidth="1" outlineLevel="1"/>
    <col min="11" max="11" width="12.85546875" style="170" customWidth="1" outlineLevel="1"/>
    <col min="12" max="12" width="11.28515625" style="170" customWidth="1" outlineLevel="1"/>
    <col min="13" max="13" width="9.42578125" style="170" customWidth="1" outlineLevel="1"/>
    <col min="14" max="17" width="10" style="170" customWidth="1" outlineLevel="1"/>
    <col min="18" max="19" width="11.42578125" style="170" customWidth="1" outlineLevel="1"/>
    <col min="20" max="21" width="11.42578125" style="171" customWidth="1" outlineLevel="1"/>
    <col min="22" max="22" width="11.42578125" style="171"/>
    <col min="23" max="23" width="22.5703125" style="171" customWidth="1"/>
    <col min="24" max="16384" width="11.42578125" style="171"/>
  </cols>
  <sheetData>
    <row r="1" spans="1:32" s="3" customFormat="1" ht="15.75">
      <c r="A1" s="1" t="s">
        <v>0</v>
      </c>
      <c r="B1" s="1"/>
      <c r="C1" s="1"/>
      <c r="D1" s="1"/>
      <c r="E1" s="1"/>
      <c r="F1" s="1"/>
      <c r="G1" s="1"/>
      <c r="H1" s="2"/>
      <c r="I1" s="2"/>
      <c r="J1" s="2"/>
      <c r="K1" s="2"/>
      <c r="L1" s="2"/>
      <c r="M1" s="2"/>
      <c r="N1" s="2"/>
      <c r="O1" s="2">
        <f>M14*N14/1000</f>
        <v>3.168747491819794</v>
      </c>
      <c r="P1" s="2"/>
      <c r="Q1" s="2">
        <f>P19/Q19/(P57/Q57)</f>
        <v>0.92578724476717522</v>
      </c>
      <c r="R1" s="2"/>
      <c r="S1" s="2"/>
      <c r="T1" s="2"/>
      <c r="U1" s="2"/>
      <c r="V1" s="2"/>
      <c r="W1" s="2"/>
      <c r="X1" s="2"/>
      <c r="Y1" s="2"/>
      <c r="Z1" s="2"/>
      <c r="AA1" s="2"/>
      <c r="AB1" s="2"/>
    </row>
    <row r="2" spans="1:32" s="3" customFormat="1" ht="16.5" thickBot="1">
      <c r="A2" s="1837" t="s">
        <v>1</v>
      </c>
      <c r="B2" s="1837"/>
      <c r="C2" s="1837"/>
      <c r="D2" s="1837"/>
      <c r="E2" s="1837"/>
      <c r="F2" s="1837"/>
      <c r="G2" s="1837"/>
      <c r="H2" s="4"/>
      <c r="I2" s="2"/>
      <c r="J2" s="5">
        <f>COLUMN()</f>
        <v>10</v>
      </c>
      <c r="K2" s="5">
        <f>COLUMN()</f>
        <v>11</v>
      </c>
      <c r="L2" s="5">
        <f>COLUMN()</f>
        <v>12</v>
      </c>
      <c r="M2" s="5">
        <f>COLUMN()</f>
        <v>13</v>
      </c>
      <c r="N2" s="5">
        <f>COLUMN()</f>
        <v>14</v>
      </c>
      <c r="O2" s="5">
        <f>COLUMN()</f>
        <v>15</v>
      </c>
      <c r="P2" s="5">
        <f>COLUMN()</f>
        <v>16</v>
      </c>
      <c r="Q2" s="5"/>
      <c r="R2" s="5">
        <f>COLUMN()</f>
        <v>18</v>
      </c>
      <c r="S2" s="5">
        <f>COLUMN()</f>
        <v>19</v>
      </c>
      <c r="T2" s="5">
        <f>COLUMN()</f>
        <v>20</v>
      </c>
      <c r="U2" s="5">
        <f>COLUMN()</f>
        <v>21</v>
      </c>
      <c r="V2" s="6"/>
      <c r="W2" s="2"/>
      <c r="X2" s="2"/>
      <c r="Y2" s="2"/>
      <c r="Z2" s="2"/>
      <c r="AA2" s="2"/>
      <c r="AB2" s="2"/>
    </row>
    <row r="3" spans="1:32" s="22" customFormat="1" ht="23.25" customHeight="1">
      <c r="A3" s="7" t="s">
        <v>2</v>
      </c>
      <c r="B3" s="1838" t="s">
        <v>3</v>
      </c>
      <c r="C3" s="1838"/>
      <c r="D3" s="1838"/>
      <c r="E3" s="8" t="s">
        <v>4</v>
      </c>
      <c r="F3" s="8" t="s">
        <v>5</v>
      </c>
      <c r="G3" s="9" t="s">
        <v>6</v>
      </c>
      <c r="H3" s="10" t="s">
        <v>6</v>
      </c>
      <c r="I3" s="11" t="s">
        <v>194</v>
      </c>
      <c r="J3" s="12"/>
      <c r="K3" s="13" t="s">
        <v>7</v>
      </c>
      <c r="L3" s="14"/>
      <c r="M3" s="15"/>
      <c r="N3" s="16"/>
      <c r="O3" s="16"/>
      <c r="P3" s="13" t="s">
        <v>3</v>
      </c>
      <c r="Q3" s="13"/>
      <c r="R3" s="17"/>
      <c r="S3" s="17"/>
      <c r="T3" s="18" t="s">
        <v>8</v>
      </c>
      <c r="U3" s="10"/>
      <c r="V3" s="19"/>
      <c r="W3" s="20"/>
      <c r="X3" s="21"/>
      <c r="Y3" s="21"/>
      <c r="Z3" s="21"/>
      <c r="AA3" s="21"/>
      <c r="AB3" s="21"/>
    </row>
    <row r="4" spans="1:32" s="22" customFormat="1" ht="21" customHeight="1">
      <c r="A4" s="23"/>
      <c r="B4" s="24" t="s">
        <v>9</v>
      </c>
      <c r="C4" s="25" t="s">
        <v>10</v>
      </c>
      <c r="D4" s="25" t="s">
        <v>11</v>
      </c>
      <c r="E4" s="25" t="s">
        <v>4</v>
      </c>
      <c r="F4" s="25" t="s">
        <v>12</v>
      </c>
      <c r="G4" s="26" t="s">
        <v>13</v>
      </c>
      <c r="H4" s="27"/>
      <c r="J4" s="28" t="s">
        <v>14</v>
      </c>
      <c r="K4" s="29" t="s">
        <v>15</v>
      </c>
      <c r="L4" s="29" t="s">
        <v>16</v>
      </c>
      <c r="M4" s="30"/>
      <c r="N4" s="28" t="s">
        <v>3</v>
      </c>
      <c r="O4" s="28" t="s">
        <v>3</v>
      </c>
      <c r="P4" s="29" t="s">
        <v>3</v>
      </c>
      <c r="Q4" s="29" t="s">
        <v>3</v>
      </c>
      <c r="S4" s="760" t="s">
        <v>1050</v>
      </c>
      <c r="T4" s="31"/>
      <c r="U4" s="32"/>
      <c r="V4" s="33"/>
      <c r="W4" s="34"/>
      <c r="X4" s="21"/>
      <c r="Y4" s="21"/>
      <c r="Z4" s="21"/>
      <c r="AA4" s="21"/>
      <c r="AB4" s="21"/>
    </row>
    <row r="5" spans="1:32" s="22" customFormat="1" ht="12.75" customHeight="1" thickBot="1">
      <c r="A5" s="35" t="s">
        <v>17</v>
      </c>
      <c r="B5" s="36">
        <v>1</v>
      </c>
      <c r="C5" s="37" t="s">
        <v>18</v>
      </c>
      <c r="D5" s="38"/>
      <c r="E5" s="38"/>
      <c r="F5" s="39"/>
      <c r="G5" s="40"/>
      <c r="H5" s="40"/>
      <c r="I5" s="41"/>
      <c r="J5" s="42" t="str">
        <f>IF($B$5=1,"LHV","HHV")</f>
        <v>LHV</v>
      </c>
      <c r="K5" s="43" t="str">
        <f>IF($B$5=1,"LHV","HHV")</f>
        <v>LHV</v>
      </c>
      <c r="L5" s="43" t="str">
        <f>IF($B$5=1,"LHV","HHV")</f>
        <v>LHV</v>
      </c>
      <c r="M5" s="40"/>
      <c r="N5" s="42" t="str">
        <f>IF($B$5=1,"LHV","HHV")</f>
        <v>LHV</v>
      </c>
      <c r="O5" s="42" t="s">
        <v>11</v>
      </c>
      <c r="P5" s="43" t="str">
        <f>IF($B$5=1,"LHV","HHV")</f>
        <v>LHV</v>
      </c>
      <c r="Q5" s="43" t="s">
        <v>11</v>
      </c>
      <c r="R5" s="44"/>
      <c r="S5" s="754"/>
      <c r="T5" s="45" t="s">
        <v>19</v>
      </c>
      <c r="U5" s="46"/>
      <c r="V5" s="45" t="s">
        <v>20</v>
      </c>
      <c r="W5" s="40" t="s">
        <v>21</v>
      </c>
      <c r="X5" s="21"/>
      <c r="Y5" s="21"/>
      <c r="Z5" s="21"/>
      <c r="AA5" s="21"/>
      <c r="AB5" s="21"/>
    </row>
    <row r="6" spans="1:32" s="22" customFormat="1" ht="11.25">
      <c r="A6" s="47" t="s">
        <v>22</v>
      </c>
      <c r="B6" s="48" t="s">
        <v>23</v>
      </c>
      <c r="C6" s="48" t="s">
        <v>23</v>
      </c>
      <c r="D6" s="48" t="s">
        <v>23</v>
      </c>
      <c r="E6" s="48" t="s">
        <v>24</v>
      </c>
      <c r="F6" s="49"/>
      <c r="G6" s="50"/>
      <c r="H6" s="51" t="s">
        <v>25</v>
      </c>
      <c r="I6" s="52" t="s">
        <v>308</v>
      </c>
      <c r="J6" s="53" t="s">
        <v>565</v>
      </c>
      <c r="K6" s="54" t="s">
        <v>565</v>
      </c>
      <c r="L6" s="54" t="s">
        <v>565</v>
      </c>
      <c r="M6" s="55" t="s">
        <v>195</v>
      </c>
      <c r="N6" s="53" t="s">
        <v>26</v>
      </c>
      <c r="O6" s="53" t="s">
        <v>26</v>
      </c>
      <c r="P6" s="54" t="s">
        <v>27</v>
      </c>
      <c r="Q6" s="54" t="s">
        <v>27</v>
      </c>
      <c r="R6" s="56" t="s">
        <v>28</v>
      </c>
      <c r="S6" s="56"/>
      <c r="T6" s="53" t="s">
        <v>29</v>
      </c>
      <c r="U6" s="57" t="s">
        <v>30</v>
      </c>
      <c r="V6" s="21"/>
      <c r="W6" s="21"/>
      <c r="X6" s="21"/>
      <c r="Y6" s="21"/>
      <c r="Z6" s="21"/>
      <c r="AA6" s="21"/>
      <c r="AB6" s="21"/>
    </row>
    <row r="7" spans="1:32" s="22" customFormat="1" ht="11.25">
      <c r="A7" s="33" t="s">
        <v>31</v>
      </c>
      <c r="B7" s="58">
        <f t="shared" ref="B7:B28" si="0">IF($B$5=1,C7,D7)</f>
        <v>129670</v>
      </c>
      <c r="C7" s="59">
        <v>129670</v>
      </c>
      <c r="D7" s="59">
        <v>138350</v>
      </c>
      <c r="E7" s="59">
        <v>3205</v>
      </c>
      <c r="F7" s="60">
        <v>0.85299999999999998</v>
      </c>
      <c r="G7" s="61">
        <v>16000</v>
      </c>
      <c r="H7" s="62">
        <v>1.6E-2</v>
      </c>
      <c r="I7" s="63">
        <f t="shared" ref="I7:I12" si="1">E7*H7/B7*1000000</f>
        <v>395.46541220020055</v>
      </c>
      <c r="J7" s="64">
        <f t="shared" ref="J7:J12" si="2">E7*F7/CO2_C_Ratio/B7*1000000</f>
        <v>77234.098132822895</v>
      </c>
      <c r="K7" s="58">
        <f t="shared" ref="K7:K12" si="3">E7*F7/CO2_C_Ratio/B7*1000000</f>
        <v>77234.098132822895</v>
      </c>
      <c r="L7" s="58">
        <f t="shared" ref="L7:L12" si="4">J7-K7</f>
        <v>0</v>
      </c>
      <c r="M7" s="65">
        <f t="shared" ref="M7:M45" si="5">J7/JperBtu</f>
        <v>73.203800664033949</v>
      </c>
      <c r="N7" s="66">
        <f t="shared" ref="N7:N28" si="6">C7*JperBtu/1000/E7</f>
        <v>42.686144171450863</v>
      </c>
      <c r="O7" s="66">
        <f t="shared" ref="O7:O43" si="7">D7*JperBtu/1000/E7</f>
        <v>45.543518517160685</v>
      </c>
      <c r="P7" s="67">
        <f>Fuel_Specs!B7/Fuel_Specs!E7*gperlb</f>
        <v>18351.927037255675</v>
      </c>
      <c r="Q7" s="67">
        <f>Fuel_Specs!D7/Fuel_Specs!E7*gperlb</f>
        <v>19580.389493362556</v>
      </c>
      <c r="R7" s="65">
        <f t="shared" ref="R7:R12" si="8">N7*E7/1000</f>
        <v>136.8090920695</v>
      </c>
      <c r="S7" s="756">
        <f>P7/Q7</f>
        <v>0.93726057101554028</v>
      </c>
      <c r="T7" s="68">
        <f t="shared" ref="T7:T12" si="9">E7/gperlb</f>
        <v>7.0657429999999986</v>
      </c>
      <c r="U7" s="69">
        <f t="shared" ref="U7:U12" si="10">T7*gperlb/Lpergal/1000</f>
        <v>0.84667142870253342</v>
      </c>
      <c r="V7" s="21" t="s">
        <v>32</v>
      </c>
      <c r="W7" s="21"/>
      <c r="X7" s="21"/>
      <c r="Y7" s="21"/>
      <c r="Z7" s="21"/>
      <c r="AA7" s="21"/>
      <c r="AB7" s="21"/>
      <c r="AC7" s="21"/>
      <c r="AD7" s="21"/>
      <c r="AE7" s="21"/>
      <c r="AF7" s="21"/>
    </row>
    <row r="8" spans="1:32" s="22" customFormat="1" ht="11.25">
      <c r="A8" s="33" t="s">
        <v>33</v>
      </c>
      <c r="B8" s="58">
        <f t="shared" si="0"/>
        <v>116090</v>
      </c>
      <c r="C8" s="59">
        <v>116090</v>
      </c>
      <c r="D8" s="59">
        <v>124340</v>
      </c>
      <c r="E8" s="59">
        <v>2819</v>
      </c>
      <c r="F8" s="60">
        <v>0.86299999999999999</v>
      </c>
      <c r="G8" s="71">
        <v>25.5</v>
      </c>
      <c r="H8" s="72">
        <v>2.55E-5</v>
      </c>
      <c r="I8" s="63">
        <f t="shared" si="1"/>
        <v>0.61921354121802052</v>
      </c>
      <c r="J8" s="64">
        <f t="shared" si="2"/>
        <v>76768.417087765964</v>
      </c>
      <c r="K8" s="58">
        <f t="shared" si="3"/>
        <v>76768.417087765964</v>
      </c>
      <c r="L8" s="58">
        <f t="shared" si="4"/>
        <v>0</v>
      </c>
      <c r="M8" s="65">
        <f t="shared" si="5"/>
        <v>72.762420195827517</v>
      </c>
      <c r="N8" s="66">
        <f t="shared" si="6"/>
        <v>43.448539775274924</v>
      </c>
      <c r="O8" s="66">
        <f t="shared" si="7"/>
        <v>46.536234263568637</v>
      </c>
      <c r="P8" s="67">
        <f>Fuel_Specs!B8/Fuel_Specs!E8*gperlb</f>
        <v>18679.701512240026</v>
      </c>
      <c r="Q8" s="67">
        <f>Fuel_Specs!D8/Fuel_Specs!E8*gperlb</f>
        <v>20007.184822395771</v>
      </c>
      <c r="R8" s="65">
        <f t="shared" si="8"/>
        <v>122.48143362650002</v>
      </c>
      <c r="S8" s="756">
        <f t="shared" ref="S8:S67" si="11">P8/Q8</f>
        <v>0.93364967025896728</v>
      </c>
      <c r="T8" s="68">
        <f t="shared" si="9"/>
        <v>6.2147673999999995</v>
      </c>
      <c r="U8" s="69">
        <f t="shared" si="10"/>
        <v>0.74470101638453723</v>
      </c>
      <c r="V8" s="21" t="s">
        <v>34</v>
      </c>
      <c r="W8" s="21" t="s">
        <v>35</v>
      </c>
      <c r="X8" s="21"/>
      <c r="Y8" s="21"/>
      <c r="Z8" s="21"/>
      <c r="AA8" s="21"/>
      <c r="AB8" s="21"/>
      <c r="AC8" s="21"/>
      <c r="AD8" s="21"/>
      <c r="AE8" s="21"/>
      <c r="AF8" s="21"/>
    </row>
    <row r="9" spans="1:32" s="22" customFormat="1" ht="11.25">
      <c r="A9" s="73" t="s">
        <v>36</v>
      </c>
      <c r="B9" s="58">
        <f t="shared" si="0"/>
        <v>113601.50975397152</v>
      </c>
      <c r="C9" s="74">
        <v>113601.50975397152</v>
      </c>
      <c r="D9" s="74">
        <v>121848.38036482914</v>
      </c>
      <c r="E9" s="74">
        <v>2829.5773353012783</v>
      </c>
      <c r="F9" s="75">
        <f>86.3%</f>
        <v>0.86299999999999999</v>
      </c>
      <c r="G9" s="61">
        <v>25.5</v>
      </c>
      <c r="H9" s="72">
        <v>2.55E-5</v>
      </c>
      <c r="I9" s="63">
        <f t="shared" si="1"/>
        <v>0.63515196414597008</v>
      </c>
      <c r="J9" s="64">
        <f t="shared" si="2"/>
        <v>78744.419577387293</v>
      </c>
      <c r="K9" s="58">
        <f t="shared" si="3"/>
        <v>78744.419577387293</v>
      </c>
      <c r="L9" s="58">
        <f t="shared" si="4"/>
        <v>0</v>
      </c>
      <c r="M9" s="65">
        <f t="shared" si="5"/>
        <v>74.635309189923262</v>
      </c>
      <c r="N9" s="66">
        <f t="shared" si="6"/>
        <v>42.358247622165834</v>
      </c>
      <c r="O9" s="66">
        <f t="shared" si="7"/>
        <v>45.433233053250362</v>
      </c>
      <c r="P9" s="67">
        <f>Fuel_Specs!B9/Fuel_Specs!E9*gperlb</f>
        <v>18210.955448815246</v>
      </c>
      <c r="Q9" s="67">
        <f>Fuel_Specs!D9/Fuel_Specs!E9*gperlb</f>
        <v>19532.974791795157</v>
      </c>
      <c r="R9" s="65">
        <f t="shared" si="8"/>
        <v>119.85593743475971</v>
      </c>
      <c r="S9" s="756">
        <f t="shared" si="11"/>
        <v>0.93231858654037547</v>
      </c>
      <c r="T9" s="68">
        <f t="shared" si="9"/>
        <v>6.2380861934051968</v>
      </c>
      <c r="U9" s="69">
        <f t="shared" si="10"/>
        <v>0.74749525276250883</v>
      </c>
      <c r="V9" s="21" t="s">
        <v>37</v>
      </c>
      <c r="W9" s="21"/>
      <c r="X9" s="21"/>
      <c r="Y9" s="21"/>
      <c r="Z9" s="21"/>
      <c r="AA9" s="21"/>
      <c r="AB9" s="21"/>
      <c r="AC9" s="21"/>
      <c r="AD9" s="21"/>
      <c r="AE9" s="21"/>
      <c r="AF9" s="21"/>
    </row>
    <row r="10" spans="1:32" s="22" customFormat="1" ht="11.25">
      <c r="A10" s="33" t="s">
        <v>38</v>
      </c>
      <c r="B10" s="58">
        <f t="shared" si="0"/>
        <v>113300</v>
      </c>
      <c r="C10" s="76">
        <v>113300</v>
      </c>
      <c r="D10" s="76">
        <v>124340</v>
      </c>
      <c r="E10" s="76">
        <v>2767</v>
      </c>
      <c r="F10" s="77">
        <v>0.85899999999999999</v>
      </c>
      <c r="G10" s="78">
        <v>15</v>
      </c>
      <c r="H10" s="72"/>
      <c r="I10" s="63">
        <f t="shared" si="1"/>
        <v>0</v>
      </c>
      <c r="J10" s="64">
        <f t="shared" si="2"/>
        <v>76850.011807359377</v>
      </c>
      <c r="K10" s="58">
        <f t="shared" si="3"/>
        <v>76850.011807359377</v>
      </c>
      <c r="L10" s="58">
        <f t="shared" si="4"/>
        <v>0</v>
      </c>
      <c r="M10" s="65">
        <f t="shared" si="5"/>
        <v>72.839757068177363</v>
      </c>
      <c r="N10" s="66">
        <f>C10*JperBtu/1000/E10</f>
        <v>43.20123881640766</v>
      </c>
      <c r="O10" s="66">
        <f t="shared" si="7"/>
        <v>47.410785829056735</v>
      </c>
      <c r="P10" s="67">
        <f>Fuel_Specs!B10/Fuel_Specs!E10*gperlb</f>
        <v>18573.380146338568</v>
      </c>
      <c r="Q10" s="67">
        <f>Fuel_Specs!D10/Fuel_Specs!E10*gperlb</f>
        <v>20383.178176484886</v>
      </c>
      <c r="R10" s="65">
        <f t="shared" si="8"/>
        <v>119.53782780499999</v>
      </c>
      <c r="S10" s="756">
        <f t="shared" si="11"/>
        <v>0.91121119511018178</v>
      </c>
      <c r="T10" s="68">
        <f t="shared" si="9"/>
        <v>6.1001281999999994</v>
      </c>
      <c r="U10" s="69">
        <f t="shared" si="10"/>
        <v>0.7309640696473978</v>
      </c>
      <c r="V10" s="79" t="s">
        <v>32</v>
      </c>
      <c r="W10" s="21" t="s">
        <v>39</v>
      </c>
      <c r="X10" s="21"/>
      <c r="Y10" s="21"/>
      <c r="Z10" s="21"/>
      <c r="AA10" s="21"/>
      <c r="AB10" s="21"/>
      <c r="AC10" s="21"/>
      <c r="AD10" s="21"/>
      <c r="AE10" s="21"/>
      <c r="AF10" s="21"/>
    </row>
    <row r="11" spans="1:32" s="22" customFormat="1" ht="11.25">
      <c r="A11" s="33" t="s">
        <v>40</v>
      </c>
      <c r="B11" s="58">
        <f t="shared" si="0"/>
        <v>109772</v>
      </c>
      <c r="C11" s="58">
        <f>109772</f>
        <v>109772</v>
      </c>
      <c r="D11" s="58">
        <f>120541</f>
        <v>120541</v>
      </c>
      <c r="E11" s="58">
        <f>2788</f>
        <v>2788</v>
      </c>
      <c r="F11" s="80">
        <f>82.9%</f>
        <v>0.82900000000000007</v>
      </c>
      <c r="G11" s="61">
        <v>11</v>
      </c>
      <c r="H11" s="72">
        <v>1.1E-5</v>
      </c>
      <c r="I11" s="63">
        <f t="shared" si="1"/>
        <v>0.27937907663156364</v>
      </c>
      <c r="J11" s="64">
        <f t="shared" si="2"/>
        <v>77130.695678035787</v>
      </c>
      <c r="K11" s="58">
        <f t="shared" si="3"/>
        <v>77130.695678035787</v>
      </c>
      <c r="L11" s="58">
        <f t="shared" si="4"/>
        <v>0</v>
      </c>
      <c r="M11" s="65">
        <f t="shared" si="5"/>
        <v>73.105794046860922</v>
      </c>
      <c r="N11" s="66">
        <f t="shared" si="6"/>
        <v>41.54074274253945</v>
      </c>
      <c r="O11" s="66">
        <f t="shared" si="7"/>
        <v>45.616028412786946</v>
      </c>
      <c r="P11" s="67">
        <f>Fuel_Specs!B11/Fuel_Specs!E11*gperlb</f>
        <v>17859.488006751504</v>
      </c>
      <c r="Q11" s="67">
        <f>Fuel_Specs!D11/Fuel_Specs!E11*gperlb</f>
        <v>19611.563457182459</v>
      </c>
      <c r="R11" s="65">
        <f t="shared" si="8"/>
        <v>115.81559076619997</v>
      </c>
      <c r="S11" s="756">
        <f t="shared" si="11"/>
        <v>0.91066110286126722</v>
      </c>
      <c r="T11" s="68">
        <f t="shared" si="9"/>
        <v>6.1464247999999992</v>
      </c>
      <c r="U11" s="69">
        <f t="shared" si="10"/>
        <v>0.73651168275278101</v>
      </c>
      <c r="V11" s="21" t="s">
        <v>32</v>
      </c>
      <c r="W11" s="21"/>
      <c r="X11" s="21"/>
      <c r="Y11" s="21"/>
      <c r="Z11" s="21"/>
      <c r="AA11" s="21"/>
      <c r="AB11" s="21"/>
    </row>
    <row r="12" spans="1:32" s="22" customFormat="1" ht="10.5" customHeight="1">
      <c r="A12" s="277" t="s">
        <v>196</v>
      </c>
      <c r="B12" s="58">
        <f t="shared" si="0"/>
        <v>128450</v>
      </c>
      <c r="C12" s="59">
        <v>128450</v>
      </c>
      <c r="D12" s="59">
        <v>137380</v>
      </c>
      <c r="E12" s="59">
        <v>3167</v>
      </c>
      <c r="F12" s="60">
        <v>0.86499999999999999</v>
      </c>
      <c r="G12" s="71">
        <v>200</v>
      </c>
      <c r="H12" s="72">
        <v>2.0000000000000001E-4</v>
      </c>
      <c r="I12" s="63">
        <f t="shared" si="1"/>
        <v>4.9311015959517333</v>
      </c>
      <c r="J12" s="64">
        <f t="shared" si="2"/>
        <v>78127.079070403168</v>
      </c>
      <c r="K12" s="58">
        <f t="shared" si="3"/>
        <v>78127.079070403168</v>
      </c>
      <c r="L12" s="58">
        <f t="shared" si="4"/>
        <v>0</v>
      </c>
      <c r="M12" s="65">
        <f t="shared" si="5"/>
        <v>74.050183286887773</v>
      </c>
      <c r="N12" s="66">
        <f t="shared" si="6"/>
        <v>42.791892621566156</v>
      </c>
      <c r="O12" s="66">
        <f t="shared" si="7"/>
        <v>45.766836966529844</v>
      </c>
      <c r="P12" s="67">
        <f>Fuel_Specs!B12/Fuel_Specs!E12*gperlb</f>
        <v>18397.391153972891</v>
      </c>
      <c r="Q12" s="67">
        <f>Fuel_Specs!D12/Fuel_Specs!E12*gperlb</f>
        <v>19676.400130266993</v>
      </c>
      <c r="R12" s="65">
        <f t="shared" si="8"/>
        <v>135.52192393250002</v>
      </c>
      <c r="S12" s="756">
        <f t="shared" si="11"/>
        <v>0.93499781627602285</v>
      </c>
      <c r="T12" s="68">
        <f t="shared" si="9"/>
        <v>6.981968199999999</v>
      </c>
      <c r="U12" s="69">
        <f t="shared" si="10"/>
        <v>0.83663289070231606</v>
      </c>
      <c r="V12" s="21" t="s">
        <v>32</v>
      </c>
      <c r="W12" s="21"/>
      <c r="X12" s="21"/>
      <c r="Y12" s="21"/>
      <c r="Z12" s="21"/>
      <c r="AA12" s="21"/>
      <c r="AB12" s="21"/>
    </row>
    <row r="13" spans="1:32" s="22" customFormat="1" ht="11.25">
      <c r="A13" s="33" t="s">
        <v>41</v>
      </c>
      <c r="B13" s="58">
        <f t="shared" si="0"/>
        <v>128450</v>
      </c>
      <c r="C13" s="58">
        <v>128450</v>
      </c>
      <c r="D13" s="59">
        <v>137380</v>
      </c>
      <c r="E13" s="59">
        <v>3167</v>
      </c>
      <c r="F13" s="84">
        <v>0.86499999999999999</v>
      </c>
      <c r="G13" s="71">
        <v>163</v>
      </c>
      <c r="H13" s="72">
        <v>1.63E-4</v>
      </c>
      <c r="I13" s="63">
        <f t="shared" ref="I13:I28" si="12">E13*H13/B13*1000000</f>
        <v>4.0188478007006623</v>
      </c>
      <c r="J13" s="64">
        <f t="shared" ref="J13:J27" si="13">E13*F13/CO2_C_Ratio/B13*1000000</f>
        <v>78127.079070403168</v>
      </c>
      <c r="K13" s="58">
        <f t="shared" ref="K13:K19" si="14">E13*F13/CO2_C_Ratio/B13*1000000</f>
        <v>78127.079070403168</v>
      </c>
      <c r="L13" s="58">
        <f t="shared" ref="L13:L28" si="15">J13-K13</f>
        <v>0</v>
      </c>
      <c r="M13" s="65">
        <f t="shared" si="5"/>
        <v>74.050183286887773</v>
      </c>
      <c r="N13" s="66">
        <f t="shared" si="6"/>
        <v>42.791892621566156</v>
      </c>
      <c r="O13" s="66">
        <f t="shared" si="7"/>
        <v>45.766836966529844</v>
      </c>
      <c r="P13" s="67">
        <f>Fuel_Specs!B13/Fuel_Specs!E13*gperlb</f>
        <v>18397.391153972891</v>
      </c>
      <c r="Q13" s="67">
        <f>Fuel_Specs!D13/Fuel_Specs!E13*gperlb</f>
        <v>19676.400130266993</v>
      </c>
      <c r="R13" s="65">
        <f t="shared" ref="R13:R28" si="16">N13*E13/1000</f>
        <v>135.52192393250002</v>
      </c>
      <c r="S13" s="756">
        <f t="shared" si="11"/>
        <v>0.93499781627602285</v>
      </c>
      <c r="T13" s="68">
        <f t="shared" ref="T13:T43" si="17">E13/gperlb</f>
        <v>6.981968199999999</v>
      </c>
      <c r="U13" s="69">
        <f t="shared" ref="U13:U45" si="18">T13*gperlb/Lpergal/1000</f>
        <v>0.83663289070231606</v>
      </c>
      <c r="V13" s="21" t="s">
        <v>32</v>
      </c>
      <c r="W13" s="21"/>
      <c r="X13" s="21"/>
      <c r="Y13" s="21"/>
      <c r="Z13" s="21"/>
      <c r="AA13" s="21"/>
      <c r="AB13" s="21"/>
    </row>
    <row r="14" spans="1:32" s="775" customFormat="1" ht="11.25">
      <c r="A14" s="761" t="s">
        <v>42</v>
      </c>
      <c r="B14" s="762">
        <f t="shared" si="0"/>
        <v>127463.51938029277</v>
      </c>
      <c r="C14" s="762">
        <v>127463.51938029277</v>
      </c>
      <c r="D14" s="763">
        <v>133075.1387920352</v>
      </c>
      <c r="E14" s="763">
        <v>3141.8675346178593</v>
      </c>
      <c r="F14" s="764">
        <f>100%-13.5%</f>
        <v>0.86499999999999999</v>
      </c>
      <c r="G14" s="765">
        <v>11</v>
      </c>
      <c r="H14" s="766">
        <v>1.1E-5</v>
      </c>
      <c r="I14" s="767">
        <f t="shared" si="12"/>
        <v>0.27114066086378502</v>
      </c>
      <c r="J14" s="768">
        <f t="shared" si="13"/>
        <v>78106.935367498198</v>
      </c>
      <c r="K14" s="762">
        <f t="shared" si="14"/>
        <v>78106.935367498198</v>
      </c>
      <c r="L14" s="762">
        <f t="shared" si="15"/>
        <v>0</v>
      </c>
      <c r="M14" s="769">
        <f t="shared" si="5"/>
        <v>74.031090740360526</v>
      </c>
      <c r="N14" s="770">
        <f t="shared" si="6"/>
        <v>42.802928609185621</v>
      </c>
      <c r="O14" s="770">
        <f t="shared" si="7"/>
        <v>44.687340292077437</v>
      </c>
      <c r="P14" s="771">
        <f>Fuel_Specs!B14/Fuel_Specs!E14*gperlb</f>
        <v>18402.135823314846</v>
      </c>
      <c r="Q14" s="771">
        <f>Fuel_Specs!D14/Fuel_Specs!E14*gperlb</f>
        <v>19212.295334880946</v>
      </c>
      <c r="R14" s="769">
        <f t="shared" si="16"/>
        <v>134.48113178376627</v>
      </c>
      <c r="S14" s="772">
        <f t="shared" si="11"/>
        <v>0.95783119624987167</v>
      </c>
      <c r="T14" s="773">
        <f t="shared" si="17"/>
        <v>6.9265611668185318</v>
      </c>
      <c r="U14" s="774">
        <f t="shared" si="18"/>
        <v>0.82999359573448017</v>
      </c>
      <c r="V14" s="775" t="s">
        <v>32</v>
      </c>
    </row>
    <row r="15" spans="1:32" s="22" customFormat="1" ht="11.25">
      <c r="A15" s="33" t="s">
        <v>43</v>
      </c>
      <c r="B15" s="58">
        <f t="shared" si="0"/>
        <v>116920</v>
      </c>
      <c r="C15" s="59">
        <v>116920</v>
      </c>
      <c r="D15" s="59">
        <v>125080</v>
      </c>
      <c r="E15" s="59">
        <v>2745</v>
      </c>
      <c r="F15" s="60">
        <v>0.85</v>
      </c>
      <c r="G15" s="61">
        <v>1</v>
      </c>
      <c r="H15" s="72">
        <v>9.9999999999999995E-7</v>
      </c>
      <c r="I15" s="63">
        <f t="shared" si="12"/>
        <v>2.34775915155662E-2</v>
      </c>
      <c r="J15" s="64">
        <f t="shared" si="13"/>
        <v>73104.480167146889</v>
      </c>
      <c r="K15" s="58">
        <f t="shared" si="14"/>
        <v>73104.480167146889</v>
      </c>
      <c r="L15" s="58">
        <f t="shared" si="15"/>
        <v>0</v>
      </c>
      <c r="M15" s="65">
        <f t="shared" si="5"/>
        <v>69.289678046092902</v>
      </c>
      <c r="N15" s="66">
        <f t="shared" si="6"/>
        <v>44.938845166484519</v>
      </c>
      <c r="O15" s="66">
        <f t="shared" si="7"/>
        <v>48.075186053916212</v>
      </c>
      <c r="P15" s="67">
        <f>Fuel_Specs!B15/Fuel_Specs!E15*gperlb</f>
        <v>19320.424077690182</v>
      </c>
      <c r="Q15" s="67">
        <f>Fuel_Specs!D15/Fuel_Specs!E15*gperlb</f>
        <v>20668.821789578244</v>
      </c>
      <c r="R15" s="65">
        <f t="shared" si="16"/>
        <v>123.357129982</v>
      </c>
      <c r="S15" s="756">
        <f t="shared" si="11"/>
        <v>0.93476175247841375</v>
      </c>
      <c r="T15" s="68">
        <f t="shared" si="17"/>
        <v>6.051626999999999</v>
      </c>
      <c r="U15" s="69">
        <f t="shared" si="18"/>
        <v>0.7251522844893773</v>
      </c>
      <c r="V15" s="21" t="s">
        <v>32</v>
      </c>
      <c r="W15" s="21"/>
      <c r="X15" s="21"/>
      <c r="Y15" s="21"/>
      <c r="Z15" s="21"/>
      <c r="AA15" s="21"/>
      <c r="AB15" s="21"/>
    </row>
    <row r="16" spans="1:32" s="22" customFormat="1" ht="11.25">
      <c r="A16" s="33" t="s">
        <v>44</v>
      </c>
      <c r="B16" s="58">
        <f t="shared" si="0"/>
        <v>111520</v>
      </c>
      <c r="C16" s="59">
        <v>111520</v>
      </c>
      <c r="D16" s="59">
        <v>119740</v>
      </c>
      <c r="E16" s="59">
        <v>2651</v>
      </c>
      <c r="F16" s="60">
        <v>0.84199999999999997</v>
      </c>
      <c r="G16" s="61">
        <v>0</v>
      </c>
      <c r="H16" s="72">
        <v>0</v>
      </c>
      <c r="I16" s="63">
        <f t="shared" si="12"/>
        <v>0</v>
      </c>
      <c r="J16" s="64">
        <f t="shared" si="13"/>
        <v>73323.0604726866</v>
      </c>
      <c r="K16" s="58">
        <f t="shared" si="14"/>
        <v>73323.0604726866</v>
      </c>
      <c r="L16" s="58">
        <f t="shared" si="15"/>
        <v>0</v>
      </c>
      <c r="M16" s="65">
        <f t="shared" si="5"/>
        <v>69.496852202361239</v>
      </c>
      <c r="N16" s="66">
        <f t="shared" si="6"/>
        <v>44.383186869860431</v>
      </c>
      <c r="O16" s="66">
        <f t="shared" si="7"/>
        <v>47.654616174651075</v>
      </c>
      <c r="P16" s="67">
        <f>Fuel_Specs!B16/Fuel_Specs!E16*gperlb</f>
        <v>19081.531558461167</v>
      </c>
      <c r="Q16" s="67">
        <f>Fuel_Specs!D16/Fuel_Specs!E16*gperlb</f>
        <v>20488.007431941714</v>
      </c>
      <c r="R16" s="65">
        <f t="shared" si="16"/>
        <v>117.65982839199999</v>
      </c>
      <c r="S16" s="756">
        <f t="shared" si="11"/>
        <v>0.93135126106564226</v>
      </c>
      <c r="T16" s="68">
        <f t="shared" si="17"/>
        <v>5.8443945999999993</v>
      </c>
      <c r="U16" s="69">
        <f t="shared" si="18"/>
        <v>0.70032011154147145</v>
      </c>
      <c r="V16" s="21" t="s">
        <v>32</v>
      </c>
      <c r="W16" s="21"/>
      <c r="X16" s="21"/>
      <c r="Y16" s="21"/>
      <c r="Z16" s="21"/>
      <c r="AA16" s="21"/>
      <c r="AB16" s="21"/>
    </row>
    <row r="17" spans="1:28" s="22" customFormat="1" ht="11.25">
      <c r="A17" s="33" t="s">
        <v>45</v>
      </c>
      <c r="B17" s="58">
        <f t="shared" si="0"/>
        <v>140352.52220119376</v>
      </c>
      <c r="C17" s="86">
        <v>140352.52220119376</v>
      </c>
      <c r="D17" s="59">
        <v>150110</v>
      </c>
      <c r="E17" s="59">
        <v>3752</v>
      </c>
      <c r="F17" s="60">
        <v>0.86799999999999999</v>
      </c>
      <c r="G17" s="61">
        <v>5000</v>
      </c>
      <c r="H17" s="72">
        <v>5.0000000000000001E-3</v>
      </c>
      <c r="I17" s="63">
        <f t="shared" si="12"/>
        <v>133.6634333732012</v>
      </c>
      <c r="J17" s="64">
        <f t="shared" si="13"/>
        <v>85002.922753396211</v>
      </c>
      <c r="K17" s="58">
        <f t="shared" si="14"/>
        <v>85002.922753396211</v>
      </c>
      <c r="L17" s="58">
        <f t="shared" si="15"/>
        <v>0</v>
      </c>
      <c r="M17" s="65">
        <f t="shared" si="5"/>
        <v>80.567225662410394</v>
      </c>
      <c r="N17" s="66">
        <f t="shared" si="6"/>
        <v>39.466884224580049</v>
      </c>
      <c r="O17" s="66">
        <f t="shared" si="7"/>
        <v>42.210669947627935</v>
      </c>
      <c r="P17" s="67">
        <f>Fuel_Specs!B17/Fuel_Specs!E17*gperlb</f>
        <v>16967.880180701086</v>
      </c>
      <c r="Q17" s="67">
        <f>Fuel_Specs!D17/Fuel_Specs!E17*gperlb</f>
        <v>18147.50781802036</v>
      </c>
      <c r="R17" s="65">
        <f t="shared" si="16"/>
        <v>148.07974961062433</v>
      </c>
      <c r="S17" s="756">
        <f t="shared" si="11"/>
        <v>0.93499781627602274</v>
      </c>
      <c r="T17" s="68">
        <f t="shared" si="17"/>
        <v>8.2716591999999984</v>
      </c>
      <c r="U17" s="69">
        <f t="shared" si="18"/>
        <v>0.99117354149513426</v>
      </c>
      <c r="V17" s="21" t="s">
        <v>32</v>
      </c>
      <c r="W17" s="21"/>
      <c r="X17" s="21"/>
      <c r="Y17" s="21"/>
      <c r="Z17" s="21"/>
      <c r="AA17" s="21"/>
      <c r="AB17" s="21"/>
    </row>
    <row r="18" spans="1:28" s="775" customFormat="1" ht="11.25">
      <c r="A18" s="761" t="s">
        <v>46</v>
      </c>
      <c r="B18" s="762">
        <f t="shared" si="0"/>
        <v>140352.52220119376</v>
      </c>
      <c r="C18" s="776">
        <v>140352.52220119376</v>
      </c>
      <c r="D18" s="776">
        <v>150110</v>
      </c>
      <c r="E18" s="776">
        <v>3752</v>
      </c>
      <c r="F18" s="777">
        <v>0.86799999999999999</v>
      </c>
      <c r="G18" s="765">
        <v>28000</v>
      </c>
      <c r="H18" s="766">
        <v>2.8000000000000001E-2</v>
      </c>
      <c r="I18" s="778">
        <f t="shared" si="12"/>
        <v>748.51522688992645</v>
      </c>
      <c r="J18" s="768">
        <f>E18*F18/CO2_C_Ratio/B18*1000000</f>
        <v>85002.922753396211</v>
      </c>
      <c r="K18" s="762">
        <f t="shared" si="14"/>
        <v>85002.922753396211</v>
      </c>
      <c r="L18" s="762">
        <f t="shared" si="15"/>
        <v>0</v>
      </c>
      <c r="M18" s="769">
        <f t="shared" si="5"/>
        <v>80.567225662410394</v>
      </c>
      <c r="N18" s="770">
        <f t="shared" si="6"/>
        <v>39.466884224580049</v>
      </c>
      <c r="O18" s="770">
        <f t="shared" si="7"/>
        <v>42.210669947627935</v>
      </c>
      <c r="P18" s="771">
        <f>Fuel_Specs!B18/Fuel_Specs!E18*gperlb</f>
        <v>16967.880180701086</v>
      </c>
      <c r="Q18" s="771">
        <f>Fuel_Specs!D18/Fuel_Specs!E18*gperlb</f>
        <v>18147.50781802036</v>
      </c>
      <c r="R18" s="769">
        <f t="shared" si="16"/>
        <v>148.07974961062433</v>
      </c>
      <c r="S18" s="772">
        <f t="shared" si="11"/>
        <v>0.93499781627602274</v>
      </c>
      <c r="T18" s="773">
        <f t="shared" si="17"/>
        <v>8.2716591999999984</v>
      </c>
      <c r="U18" s="774">
        <f t="shared" si="18"/>
        <v>0.99117354149513426</v>
      </c>
      <c r="V18" s="775" t="s">
        <v>32</v>
      </c>
    </row>
    <row r="19" spans="1:28" s="22" customFormat="1" ht="11.25">
      <c r="A19" s="33" t="s">
        <v>47</v>
      </c>
      <c r="B19" s="58">
        <f t="shared" si="0"/>
        <v>57250</v>
      </c>
      <c r="C19" s="59">
        <v>57250</v>
      </c>
      <c r="D19" s="59">
        <v>65200</v>
      </c>
      <c r="E19" s="59">
        <v>3006</v>
      </c>
      <c r="F19" s="87">
        <v>0.375</v>
      </c>
      <c r="G19" s="61">
        <v>0</v>
      </c>
      <c r="H19" s="72">
        <v>0</v>
      </c>
      <c r="I19" s="63">
        <f t="shared" si="12"/>
        <v>0</v>
      </c>
      <c r="J19" s="64">
        <f t="shared" si="13"/>
        <v>72130.057503674936</v>
      </c>
      <c r="K19" s="58">
        <f t="shared" si="14"/>
        <v>72130.057503674936</v>
      </c>
      <c r="L19" s="58">
        <f t="shared" si="15"/>
        <v>0</v>
      </c>
      <c r="M19" s="65">
        <f t="shared" si="5"/>
        <v>68.366103560939393</v>
      </c>
      <c r="N19" s="66">
        <f t="shared" si="6"/>
        <v>20.09379488107119</v>
      </c>
      <c r="O19" s="66">
        <f t="shared" si="7"/>
        <v>22.884112248835663</v>
      </c>
      <c r="P19" s="67">
        <f>Fuel_Specs!B19/Fuel_Specs!E19*gperlb</f>
        <v>8638.8654847310445</v>
      </c>
      <c r="Q19" s="67">
        <f>Fuel_Specs!D19/Fuel_Specs!E19*gperlb</f>
        <v>9838.4983337024296</v>
      </c>
      <c r="R19" s="65">
        <f t="shared" si="16"/>
        <v>60.4019474125</v>
      </c>
      <c r="S19" s="756">
        <f t="shared" si="11"/>
        <v>0.87806748466257667</v>
      </c>
      <c r="T19" s="68">
        <f t="shared" si="17"/>
        <v>6.627027599999999</v>
      </c>
      <c r="U19" s="69">
        <f t="shared" si="18"/>
        <v>0.79410119022771153</v>
      </c>
      <c r="V19" s="21" t="s">
        <v>32</v>
      </c>
      <c r="W19" s="225"/>
      <c r="X19" s="21"/>
      <c r="Y19" s="21"/>
      <c r="Z19" s="21"/>
      <c r="AA19" s="21"/>
      <c r="AB19" s="21"/>
    </row>
    <row r="20" spans="1:28" s="22" customFormat="1" ht="11.25">
      <c r="A20" s="33" t="s">
        <v>48</v>
      </c>
      <c r="B20" s="58">
        <f t="shared" si="0"/>
        <v>76330</v>
      </c>
      <c r="C20" s="59">
        <v>76330</v>
      </c>
      <c r="D20" s="59">
        <v>84530</v>
      </c>
      <c r="E20" s="59">
        <v>2988</v>
      </c>
      <c r="F20" s="87">
        <v>0.52200000000000002</v>
      </c>
      <c r="G20" s="82">
        <f>1</f>
        <v>1</v>
      </c>
      <c r="H20" s="83">
        <f>G20/1000000</f>
        <v>9.9999999999999995E-7</v>
      </c>
      <c r="I20" s="63">
        <f t="shared" si="12"/>
        <v>3.914581422769553E-2</v>
      </c>
      <c r="J20" s="64">
        <f t="shared" si="13"/>
        <v>74856.128021861849</v>
      </c>
      <c r="K20" s="58">
        <v>0</v>
      </c>
      <c r="L20" s="58">
        <f t="shared" si="15"/>
        <v>74856.128021861849</v>
      </c>
      <c r="M20" s="65">
        <f t="shared" si="5"/>
        <v>70.949919875674681</v>
      </c>
      <c r="N20" s="177">
        <f t="shared" si="6"/>
        <v>26.951945458668007</v>
      </c>
      <c r="O20" s="66">
        <f t="shared" si="7"/>
        <v>29.8473463857095</v>
      </c>
      <c r="P20" s="67">
        <f>Fuel_Specs!B20/Fuel_Specs!E20*gperlb</f>
        <v>11587.369769986841</v>
      </c>
      <c r="Q20" s="67">
        <f>Fuel_Specs!D20/Fuel_Specs!E20*gperlb</f>
        <v>12832.180881134385</v>
      </c>
      <c r="R20" s="65">
        <f t="shared" si="16"/>
        <v>80.532413030499995</v>
      </c>
      <c r="S20" s="756">
        <f t="shared" si="11"/>
        <v>0.90299302022950434</v>
      </c>
      <c r="T20" s="68">
        <f t="shared" si="17"/>
        <v>6.5873447999999994</v>
      </c>
      <c r="U20" s="69">
        <f t="shared" si="18"/>
        <v>0.78934609328024019</v>
      </c>
      <c r="V20" s="21" t="s">
        <v>32</v>
      </c>
      <c r="W20" s="21"/>
      <c r="X20" s="21"/>
      <c r="Y20" s="21"/>
      <c r="Z20" s="21"/>
      <c r="AA20" s="21"/>
      <c r="AB20" s="21"/>
    </row>
    <row r="21" spans="1:28" s="22" customFormat="1" ht="11.25">
      <c r="A21" s="33" t="s">
        <v>49</v>
      </c>
      <c r="B21" s="58">
        <f t="shared" si="0"/>
        <v>99837</v>
      </c>
      <c r="C21" s="88">
        <v>99837</v>
      </c>
      <c r="D21" s="89">
        <v>108458</v>
      </c>
      <c r="E21" s="88">
        <v>3065</v>
      </c>
      <c r="F21" s="90">
        <v>0.64859999999999995</v>
      </c>
      <c r="G21" s="34">
        <v>0</v>
      </c>
      <c r="H21" s="72">
        <v>0</v>
      </c>
      <c r="I21" s="63">
        <f t="shared" si="12"/>
        <v>0</v>
      </c>
      <c r="J21" s="64">
        <f t="shared" si="13"/>
        <v>72943.639115464393</v>
      </c>
      <c r="K21" s="58">
        <v>0</v>
      </c>
      <c r="L21" s="58">
        <f t="shared" si="15"/>
        <v>72943.639115464393</v>
      </c>
      <c r="M21" s="65">
        <f t="shared" si="5"/>
        <v>69.137230143280462</v>
      </c>
      <c r="N21" s="66">
        <f t="shared" si="6"/>
        <v>34.366594093458403</v>
      </c>
      <c r="O21" s="66">
        <f t="shared" si="7"/>
        <v>37.334175327667211</v>
      </c>
      <c r="P21" s="67">
        <f>Fuel_Specs!B21/Fuel_Specs!E21*gperlb</f>
        <v>14775.127610236288</v>
      </c>
      <c r="Q21" s="67">
        <f>Fuel_Specs!D21/Fuel_Specs!E21*gperlb</f>
        <v>16050.970986217608</v>
      </c>
      <c r="R21" s="65">
        <f t="shared" si="16"/>
        <v>105.33361089645</v>
      </c>
      <c r="S21" s="756">
        <f t="shared" si="11"/>
        <v>0.92051300964428628</v>
      </c>
      <c r="T21" s="68">
        <f>E21/gperlb</f>
        <v>6.7570989999999993</v>
      </c>
      <c r="U21" s="69">
        <f t="shared" si="18"/>
        <v>0.80968734133331188</v>
      </c>
      <c r="V21" s="21" t="s">
        <v>32</v>
      </c>
      <c r="W21" s="21"/>
      <c r="X21" s="21"/>
      <c r="Y21" s="21"/>
      <c r="Z21" s="21"/>
      <c r="AA21" s="21"/>
      <c r="AB21" s="21"/>
    </row>
    <row r="22" spans="1:28" s="22" customFormat="1" ht="11.25">
      <c r="A22" s="33" t="s">
        <v>50</v>
      </c>
      <c r="B22" s="58">
        <f t="shared" si="0"/>
        <v>83127</v>
      </c>
      <c r="C22" s="88">
        <v>83127</v>
      </c>
      <c r="D22" s="89">
        <v>89511</v>
      </c>
      <c r="E22" s="88">
        <v>2964</v>
      </c>
      <c r="F22" s="90">
        <v>0.61980000000000002</v>
      </c>
      <c r="G22" s="34">
        <v>0</v>
      </c>
      <c r="H22" s="72">
        <v>0</v>
      </c>
      <c r="I22" s="63">
        <f t="shared" si="12"/>
        <v>0</v>
      </c>
      <c r="J22" s="64">
        <f t="shared" si="13"/>
        <v>80957.891609047088</v>
      </c>
      <c r="K22" s="58">
        <v>0</v>
      </c>
      <c r="L22" s="58">
        <f t="shared" si="15"/>
        <v>80957.891609047088</v>
      </c>
      <c r="M22" s="65">
        <f t="shared" si="5"/>
        <v>76.733275882074949</v>
      </c>
      <c r="N22" s="66">
        <f t="shared" si="6"/>
        <v>29.5896179632085</v>
      </c>
      <c r="O22" s="66">
        <f t="shared" si="7"/>
        <v>31.862045947823884</v>
      </c>
      <c r="P22" s="67">
        <f>Fuel_Specs!B22/Fuel_Specs!E22*gperlb</f>
        <v>12721.37646679872</v>
      </c>
      <c r="Q22" s="67">
        <f>Fuel_Specs!D22/Fuel_Specs!E22*gperlb</f>
        <v>13698.354673206302</v>
      </c>
      <c r="R22" s="65">
        <f t="shared" si="16"/>
        <v>87.703627642949996</v>
      </c>
      <c r="S22" s="756">
        <f t="shared" si="11"/>
        <v>0.92867915675168411</v>
      </c>
      <c r="T22" s="68">
        <f t="shared" si="17"/>
        <v>6.5344343999999994</v>
      </c>
      <c r="U22" s="69">
        <f t="shared" si="18"/>
        <v>0.78300596401694511</v>
      </c>
      <c r="V22" s="21" t="s">
        <v>32</v>
      </c>
      <c r="W22" s="21"/>
      <c r="X22" s="21"/>
      <c r="Y22" s="21"/>
      <c r="Z22" s="21"/>
      <c r="AA22" s="21"/>
      <c r="AB22" s="21"/>
    </row>
    <row r="23" spans="1:28" s="22" customFormat="1" ht="11.25">
      <c r="A23" s="33" t="s">
        <v>51</v>
      </c>
      <c r="B23" s="58">
        <f t="shared" si="0"/>
        <v>116090</v>
      </c>
      <c r="C23" s="59">
        <v>116090</v>
      </c>
      <c r="D23" s="59">
        <v>124340</v>
      </c>
      <c r="E23" s="58">
        <v>2819</v>
      </c>
      <c r="F23" s="91">
        <v>0.86299999999999999</v>
      </c>
      <c r="G23" s="82">
        <v>25.5</v>
      </c>
      <c r="H23" s="72">
        <v>2.55E-5</v>
      </c>
      <c r="I23" s="63">
        <f t="shared" si="12"/>
        <v>0.61921354121802052</v>
      </c>
      <c r="J23" s="64">
        <f t="shared" si="13"/>
        <v>76768.417087765964</v>
      </c>
      <c r="K23" s="58">
        <f t="shared" ref="K23:K28" si="19">E23*F23/CO2_C_Ratio/B23*1000000</f>
        <v>76768.417087765964</v>
      </c>
      <c r="L23" s="58">
        <f t="shared" si="15"/>
        <v>0</v>
      </c>
      <c r="M23" s="65">
        <f t="shared" si="5"/>
        <v>72.762420195827517</v>
      </c>
      <c r="N23" s="66">
        <f t="shared" si="6"/>
        <v>43.448539775274924</v>
      </c>
      <c r="O23" s="66">
        <f t="shared" si="7"/>
        <v>46.536234263568637</v>
      </c>
      <c r="P23" s="67">
        <f>Fuel_Specs!B23/Fuel_Specs!E23*gperlb</f>
        <v>18679.701512240026</v>
      </c>
      <c r="Q23" s="67">
        <f>Fuel_Specs!D23/Fuel_Specs!E23*gperlb</f>
        <v>20007.184822395771</v>
      </c>
      <c r="R23" s="65">
        <f t="shared" si="16"/>
        <v>122.48143362650002</v>
      </c>
      <c r="S23" s="756">
        <f t="shared" si="11"/>
        <v>0.93364967025896728</v>
      </c>
      <c r="T23" s="68">
        <f t="shared" si="17"/>
        <v>6.2147673999999995</v>
      </c>
      <c r="U23" s="69">
        <f t="shared" si="18"/>
        <v>0.74470101638453723</v>
      </c>
      <c r="V23" s="21" t="s">
        <v>32</v>
      </c>
      <c r="W23" s="21"/>
      <c r="X23" s="21"/>
      <c r="Y23" s="21"/>
      <c r="Z23" s="21"/>
      <c r="AA23" s="21"/>
      <c r="AB23" s="21"/>
    </row>
    <row r="24" spans="1:28" s="775" customFormat="1" ht="11.25">
      <c r="A24" s="761" t="s">
        <v>52</v>
      </c>
      <c r="B24" s="762">
        <f t="shared" si="0"/>
        <v>75574.238562015569</v>
      </c>
      <c r="C24" s="779">
        <f>Input!J82</f>
        <v>75574.238562015569</v>
      </c>
      <c r="D24" s="779">
        <f>C24*Input!$I$90</f>
        <v>83698.469207432237</v>
      </c>
      <c r="E24" s="776">
        <v>1923</v>
      </c>
      <c r="F24" s="780">
        <f>Input!G86</f>
        <v>0.81805570775272685</v>
      </c>
      <c r="G24" s="1544"/>
      <c r="H24" s="766">
        <v>0</v>
      </c>
      <c r="I24" s="778">
        <f t="shared" si="12"/>
        <v>0</v>
      </c>
      <c r="J24" s="768">
        <f t="shared" si="13"/>
        <v>76253.522168684562</v>
      </c>
      <c r="K24" s="762">
        <f t="shared" si="19"/>
        <v>76253.522168684562</v>
      </c>
      <c r="L24" s="762">
        <f t="shared" si="15"/>
        <v>0</v>
      </c>
      <c r="M24" s="769">
        <f t="shared" si="5"/>
        <v>72.274393975147916</v>
      </c>
      <c r="N24" s="770">
        <f t="shared" si="6"/>
        <v>41.463880657384351</v>
      </c>
      <c r="O24" s="770">
        <f t="shared" si="7"/>
        <v>45.921247828053168</v>
      </c>
      <c r="P24" s="771">
        <f>Fuel_Specs!B24/Fuel_Specs!E24*gperlb</f>
        <v>17826.44291902861</v>
      </c>
      <c r="Q24" s="771">
        <f>Fuel_Specs!D24/Fuel_Specs!E24*gperlb</f>
        <v>19742.785532824186</v>
      </c>
      <c r="R24" s="769">
        <f t="shared" si="16"/>
        <v>79.735042504150101</v>
      </c>
      <c r="S24" s="772">
        <f t="shared" si="11"/>
        <v>0.90293453724604966</v>
      </c>
      <c r="T24" s="773">
        <f t="shared" si="17"/>
        <v>4.2394457999999995</v>
      </c>
      <c r="U24" s="774">
        <f t="shared" si="18"/>
        <v>0.50800285722152005</v>
      </c>
      <c r="V24" s="775" t="s">
        <v>32</v>
      </c>
    </row>
    <row r="25" spans="1:28" s="775" customFormat="1" ht="11.25">
      <c r="A25" s="761" t="s">
        <v>53</v>
      </c>
      <c r="B25" s="762">
        <f>IF($B$5=1,C25,D25)</f>
        <v>77155.575502954132</v>
      </c>
      <c r="C25" s="779">
        <f>Input!K82</f>
        <v>77155.575502954132</v>
      </c>
      <c r="D25" s="779">
        <f>C25*1.093</f>
        <v>84331.044024728864</v>
      </c>
      <c r="E25" s="779">
        <f>Input!G57</f>
        <v>1646</v>
      </c>
      <c r="F25" s="780">
        <f>Input!H86</f>
        <v>0.75098055475241432</v>
      </c>
      <c r="G25" s="765">
        <v>0</v>
      </c>
      <c r="H25" s="766">
        <v>0</v>
      </c>
      <c r="I25" s="778">
        <f t="shared" si="12"/>
        <v>0</v>
      </c>
      <c r="J25" s="768">
        <f t="shared" si="13"/>
        <v>58689.814009718146</v>
      </c>
      <c r="K25" s="762">
        <f t="shared" si="19"/>
        <v>58689.814009718146</v>
      </c>
      <c r="L25" s="762">
        <f t="shared" si="15"/>
        <v>0</v>
      </c>
      <c r="M25" s="769">
        <f t="shared" si="5"/>
        <v>55.627210644553223</v>
      </c>
      <c r="N25" s="770">
        <f>C25*JperBtu/1000/E25</f>
        <v>49.455310628498452</v>
      </c>
      <c r="O25" s="770">
        <f t="shared" si="7"/>
        <v>54.054654516948801</v>
      </c>
      <c r="P25" s="771">
        <f>Fuel_Specs!B25/Fuel_Specs!E25*gperlb</f>
        <v>21262.174644156203</v>
      </c>
      <c r="Q25" s="771">
        <f>Fuel_Specs!D25/Fuel_Specs!E25*gperlb</f>
        <v>23239.556886062732</v>
      </c>
      <c r="R25" s="769">
        <f t="shared" si="16"/>
        <v>81.403441294508454</v>
      </c>
      <c r="S25" s="772">
        <f t="shared" si="11"/>
        <v>0.91491308325709053</v>
      </c>
      <c r="T25" s="773">
        <f>E25/gperlb</f>
        <v>3.6287715999999994</v>
      </c>
      <c r="U25" s="774">
        <f>T25*gperlb/Lpergal/1000</f>
        <v>0.43482719864098907</v>
      </c>
      <c r="V25" s="775" t="s">
        <v>32</v>
      </c>
    </row>
    <row r="26" spans="1:28" s="22" customFormat="1" ht="11.25">
      <c r="A26" s="33" t="s">
        <v>54</v>
      </c>
      <c r="B26" s="58">
        <f t="shared" si="0"/>
        <v>68930</v>
      </c>
      <c r="C26" s="59">
        <v>68930</v>
      </c>
      <c r="D26" s="59">
        <v>75610</v>
      </c>
      <c r="E26" s="59">
        <v>2518</v>
      </c>
      <c r="F26" s="87">
        <v>0.52200000000000002</v>
      </c>
      <c r="G26" s="61">
        <v>0</v>
      </c>
      <c r="H26" s="72">
        <v>0</v>
      </c>
      <c r="I26" s="63">
        <f t="shared" si="12"/>
        <v>0</v>
      </c>
      <c r="J26" s="64">
        <f t="shared" si="13"/>
        <v>69853.709816324845</v>
      </c>
      <c r="K26" s="58">
        <f t="shared" si="19"/>
        <v>69853.709816324845</v>
      </c>
      <c r="L26" s="58">
        <f t="shared" si="15"/>
        <v>0</v>
      </c>
      <c r="M26" s="65">
        <f t="shared" si="5"/>
        <v>66.208542245725525</v>
      </c>
      <c r="N26" s="66">
        <f t="shared" si="6"/>
        <v>28.882049142374903</v>
      </c>
      <c r="O26" s="66">
        <f t="shared" si="7"/>
        <v>31.681005885027801</v>
      </c>
      <c r="P26" s="67">
        <f>Fuel_Specs!B26/Fuel_Specs!E26*gperlb</f>
        <v>12417.17350759914</v>
      </c>
      <c r="Q26" s="67">
        <f>Fuel_Specs!D26/Fuel_Specs!E26*gperlb</f>
        <v>13620.520657327301</v>
      </c>
      <c r="R26" s="65">
        <f t="shared" si="16"/>
        <v>72.72499974050001</v>
      </c>
      <c r="S26" s="756">
        <f t="shared" si="11"/>
        <v>0.91165189789710366</v>
      </c>
      <c r="T26" s="68">
        <f t="shared" si="17"/>
        <v>5.5511827999999994</v>
      </c>
      <c r="U26" s="69">
        <f t="shared" si="18"/>
        <v>0.66518522854071116</v>
      </c>
      <c r="V26" s="21" t="s">
        <v>32</v>
      </c>
      <c r="W26" s="21"/>
      <c r="X26" s="21"/>
      <c r="Y26" s="21"/>
      <c r="Z26" s="21"/>
      <c r="AA26" s="21"/>
      <c r="AB26" s="21"/>
    </row>
    <row r="27" spans="1:28" s="22" customFormat="1" ht="11.25">
      <c r="A27" s="33" t="s">
        <v>55</v>
      </c>
      <c r="B27" s="58">
        <f t="shared" si="0"/>
        <v>72200</v>
      </c>
      <c r="C27" s="59">
        <v>72200</v>
      </c>
      <c r="D27" s="59">
        <v>79196.89540113158</v>
      </c>
      <c r="E27" s="59">
        <v>3255</v>
      </c>
      <c r="F27" s="87">
        <v>0.47399999999999998</v>
      </c>
      <c r="G27" s="61">
        <v>0</v>
      </c>
      <c r="H27" s="72">
        <v>0</v>
      </c>
      <c r="I27" s="63">
        <f t="shared" si="12"/>
        <v>0</v>
      </c>
      <c r="J27" s="64">
        <f t="shared" si="13"/>
        <v>78282.315384433168</v>
      </c>
      <c r="K27" s="58">
        <f t="shared" si="19"/>
        <v>78282.315384433168</v>
      </c>
      <c r="L27" s="58">
        <f t="shared" si="15"/>
        <v>0</v>
      </c>
      <c r="M27" s="65">
        <f t="shared" si="5"/>
        <v>74.197318923385112</v>
      </c>
      <c r="N27" s="66">
        <f t="shared" si="6"/>
        <v>23.40246770199693</v>
      </c>
      <c r="O27" s="66">
        <f t="shared" si="7"/>
        <v>25.67039870808048</v>
      </c>
      <c r="P27" s="67">
        <f>Fuel_Specs!B27/Fuel_Specs!E27*gperlb</f>
        <v>10061.35335236072</v>
      </c>
      <c r="Q27" s="67">
        <f>Fuel_Specs!D27/Fuel_Specs!E27*gperlb</f>
        <v>11036.398186159784</v>
      </c>
      <c r="R27" s="65">
        <f t="shared" si="16"/>
        <v>76.175032369999997</v>
      </c>
      <c r="S27" s="756">
        <f t="shared" si="11"/>
        <v>0.91165189789710377</v>
      </c>
      <c r="T27" s="68">
        <f t="shared" si="17"/>
        <v>7.175972999999999</v>
      </c>
      <c r="U27" s="69">
        <f t="shared" si="18"/>
        <v>0.85988003133439816</v>
      </c>
      <c r="V27" s="21" t="s">
        <v>32</v>
      </c>
      <c r="W27" s="21"/>
      <c r="X27" s="21"/>
      <c r="Y27" s="21"/>
      <c r="Z27" s="21"/>
      <c r="AA27" s="21"/>
      <c r="AB27" s="21"/>
    </row>
    <row r="28" spans="1:28" s="22" customFormat="1" ht="10.5" customHeight="1">
      <c r="A28" s="33" t="s">
        <v>56</v>
      </c>
      <c r="B28" s="58">
        <f t="shared" si="0"/>
        <v>124315.98950500038</v>
      </c>
      <c r="C28" s="59">
        <f>36092.7285278791/1000*E28</f>
        <v>124315.98950500038</v>
      </c>
      <c r="D28" s="59">
        <f>C28/0.9</f>
        <v>138128.8772277782</v>
      </c>
      <c r="E28" s="59">
        <v>3444.35</v>
      </c>
      <c r="F28" s="93"/>
      <c r="G28" s="61">
        <v>0</v>
      </c>
      <c r="H28" s="72">
        <v>0</v>
      </c>
      <c r="I28" s="63">
        <f t="shared" si="12"/>
        <v>0</v>
      </c>
      <c r="J28" s="64"/>
      <c r="K28" s="58">
        <f t="shared" si="19"/>
        <v>0</v>
      </c>
      <c r="L28" s="58">
        <f t="shared" si="15"/>
        <v>0</v>
      </c>
      <c r="M28" s="65">
        <f t="shared" si="5"/>
        <v>0</v>
      </c>
      <c r="N28" s="66">
        <f t="shared" si="6"/>
        <v>38.079844375800732</v>
      </c>
      <c r="O28" s="66">
        <f t="shared" si="7"/>
        <v>42.310938195334153</v>
      </c>
      <c r="P28" s="67">
        <f>Fuel_Specs!B28/Fuel_Specs!E28*gperlb</f>
        <v>16371.554262849999</v>
      </c>
      <c r="Q28" s="67">
        <f>Fuel_Specs!D28/Fuel_Specs!E28*gperlb</f>
        <v>18190.615847611109</v>
      </c>
      <c r="R28" s="65">
        <f t="shared" si="16"/>
        <v>131.16031197578926</v>
      </c>
      <c r="S28" s="756">
        <f t="shared" si="11"/>
        <v>0.9</v>
      </c>
      <c r="T28" s="68">
        <f t="shared" si="17"/>
        <v>7.5934140099999983</v>
      </c>
      <c r="U28" s="69">
        <f t="shared" si="18"/>
        <v>0.90990100950127006</v>
      </c>
      <c r="V28" s="21" t="s">
        <v>32</v>
      </c>
      <c r="W28" s="21"/>
      <c r="X28" s="21"/>
      <c r="Y28" s="21"/>
      <c r="Z28" s="21"/>
      <c r="AA28" s="21"/>
      <c r="AB28" s="21"/>
    </row>
    <row r="29" spans="1:28" s="22" customFormat="1" ht="11.25">
      <c r="A29" s="33" t="s">
        <v>57</v>
      </c>
      <c r="B29" s="58"/>
      <c r="C29" s="94"/>
      <c r="D29" s="59"/>
      <c r="E29" s="59">
        <v>3400</v>
      </c>
      <c r="F29" s="87"/>
      <c r="G29" s="61"/>
      <c r="H29" s="72"/>
      <c r="I29" s="63"/>
      <c r="J29" s="64"/>
      <c r="K29" s="58"/>
      <c r="L29" s="58"/>
      <c r="M29" s="65">
        <f t="shared" si="5"/>
        <v>0</v>
      </c>
      <c r="N29" s="95">
        <v>37.5</v>
      </c>
      <c r="O29" s="66">
        <f t="shared" si="7"/>
        <v>0</v>
      </c>
      <c r="P29" s="96"/>
      <c r="Q29" s="67">
        <f>Fuel_Specs!D29/Fuel_Specs!E29*gperlb</f>
        <v>0</v>
      </c>
      <c r="R29" s="65"/>
      <c r="S29" s="756"/>
      <c r="T29" s="68">
        <f t="shared" si="17"/>
        <v>7.495639999999999</v>
      </c>
      <c r="U29" s="69">
        <f t="shared" si="18"/>
        <v>0.89818497896680605</v>
      </c>
      <c r="V29" s="70" t="s">
        <v>58</v>
      </c>
      <c r="W29" s="70"/>
      <c r="X29" s="21"/>
      <c r="Y29" s="21"/>
      <c r="Z29" s="21"/>
      <c r="AA29" s="21"/>
      <c r="AB29" s="21"/>
    </row>
    <row r="30" spans="1:28" s="22" customFormat="1" ht="11.25">
      <c r="A30" s="33" t="s">
        <v>59</v>
      </c>
      <c r="B30" s="58">
        <f t="shared" ref="B30:B45" si="20">IF($B$5=1,C30,D30)</f>
        <v>119550</v>
      </c>
      <c r="C30" s="59">
        <v>119550</v>
      </c>
      <c r="D30" s="59">
        <v>127960</v>
      </c>
      <c r="E30" s="59">
        <v>3361</v>
      </c>
      <c r="F30" s="60">
        <v>0.77600000000000002</v>
      </c>
      <c r="G30" s="61">
        <v>0</v>
      </c>
      <c r="H30" s="72">
        <v>0</v>
      </c>
      <c r="I30" s="63">
        <f>E30*H30/B30*1000000</f>
        <v>0</v>
      </c>
      <c r="J30" s="64">
        <f t="shared" ref="J30:J35" si="21">E30*F30/CO2_C_Ratio/B30*1000000</f>
        <v>79919.393373753788</v>
      </c>
      <c r="K30" s="58">
        <f>3873</f>
        <v>3873</v>
      </c>
      <c r="L30" s="58">
        <f>J30-K30</f>
        <v>76046.393373753788</v>
      </c>
      <c r="M30" s="65">
        <f t="shared" si="5"/>
        <v>75.74896947280449</v>
      </c>
      <c r="N30" s="66">
        <f t="shared" ref="N30:N43" si="22">C30*JperBtu/1000/E30</f>
        <v>37.52809487280571</v>
      </c>
      <c r="O30" s="66">
        <f t="shared" si="7"/>
        <v>40.168088832490326</v>
      </c>
      <c r="P30" s="67">
        <f>Fuel_Specs!B30/Fuel_Specs!E30*gperlb</f>
        <v>16134.342239643207</v>
      </c>
      <c r="Q30" s="67">
        <f>Fuel_Specs!D30/Fuel_Specs!E30*gperlb</f>
        <v>17269.346992762396</v>
      </c>
      <c r="R30" s="65">
        <f>N30*E30/1000</f>
        <v>126.13192686749998</v>
      </c>
      <c r="S30" s="756">
        <f t="shared" si="11"/>
        <v>0.93427633635511109</v>
      </c>
      <c r="T30" s="68">
        <f t="shared" si="17"/>
        <v>7.4096605999999987</v>
      </c>
      <c r="U30" s="69">
        <f t="shared" si="18"/>
        <v>0.8878822689139515</v>
      </c>
      <c r="V30" s="21" t="s">
        <v>32</v>
      </c>
      <c r="W30" s="21"/>
      <c r="X30" s="21"/>
      <c r="Y30" s="21"/>
      <c r="Z30" s="21"/>
      <c r="AA30" s="21"/>
      <c r="AB30" s="21"/>
    </row>
    <row r="31" spans="1:28" s="22" customFormat="1" ht="11.25">
      <c r="A31" s="33" t="s">
        <v>60</v>
      </c>
      <c r="B31" s="58">
        <f t="shared" si="20"/>
        <v>119550</v>
      </c>
      <c r="C31" s="59">
        <v>119550</v>
      </c>
      <c r="D31" s="59">
        <v>127960</v>
      </c>
      <c r="E31" s="59">
        <v>3500</v>
      </c>
      <c r="F31" s="60">
        <v>0.77600000000000002</v>
      </c>
      <c r="G31" s="61">
        <v>0</v>
      </c>
      <c r="H31" s="72"/>
      <c r="I31" s="63"/>
      <c r="J31" s="64">
        <f t="shared" si="21"/>
        <v>83224.598871805487</v>
      </c>
      <c r="K31" s="58">
        <v>0</v>
      </c>
      <c r="L31" s="58"/>
      <c r="M31" s="65">
        <f t="shared" si="5"/>
        <v>78.881699837791047</v>
      </c>
      <c r="N31" s="66">
        <f t="shared" si="22"/>
        <v>36.037693390714281</v>
      </c>
      <c r="O31" s="66">
        <f t="shared" si="7"/>
        <v>38.572841875999998</v>
      </c>
      <c r="P31" s="97">
        <f>P30*1.05</f>
        <v>16941.059351625368</v>
      </c>
      <c r="Q31" s="67">
        <f>Fuel_Specs!D31/Fuel_Specs!E31*gperlb</f>
        <v>16583.507212192693</v>
      </c>
      <c r="R31" s="65"/>
      <c r="S31" s="756">
        <f t="shared" si="11"/>
        <v>1.0215607069637109</v>
      </c>
      <c r="T31" s="68">
        <f t="shared" si="17"/>
        <v>7.7160999999999991</v>
      </c>
      <c r="U31" s="69">
        <f t="shared" si="18"/>
        <v>0.92460218423053575</v>
      </c>
      <c r="V31" s="21" t="s">
        <v>32</v>
      </c>
      <c r="W31" s="21"/>
      <c r="X31" s="21"/>
      <c r="Y31" s="21"/>
      <c r="Z31" s="21"/>
      <c r="AA31" s="21"/>
      <c r="AB31" s="21"/>
    </row>
    <row r="32" spans="1:28" s="22" customFormat="1" ht="11.25">
      <c r="A32" s="33" t="s">
        <v>61</v>
      </c>
      <c r="B32" s="58">
        <f t="shared" si="20"/>
        <v>122800</v>
      </c>
      <c r="C32" s="76">
        <v>122800</v>
      </c>
      <c r="D32" s="92">
        <v>132100</v>
      </c>
      <c r="E32" s="92">
        <v>2953</v>
      </c>
      <c r="F32" s="98">
        <v>0.84799999999999998</v>
      </c>
      <c r="G32" s="61">
        <v>0</v>
      </c>
      <c r="H32" s="72">
        <v>0</v>
      </c>
      <c r="I32" s="63">
        <f t="shared" ref="I32:I44" si="23">E31*H31/B31*1000000</f>
        <v>0</v>
      </c>
      <c r="J32" s="64">
        <f t="shared" si="21"/>
        <v>74702.039305940241</v>
      </c>
      <c r="K32" s="58">
        <v>0</v>
      </c>
      <c r="L32" s="58">
        <f t="shared" ref="L32:L43" si="24">J32-K32</f>
        <v>74702.039305940241</v>
      </c>
      <c r="M32" s="65">
        <f t="shared" si="5"/>
        <v>70.80387195231441</v>
      </c>
      <c r="N32" s="66">
        <f t="shared" si="22"/>
        <v>43.874317094480183</v>
      </c>
      <c r="O32" s="66">
        <f t="shared" si="7"/>
        <v>47.197046320690816</v>
      </c>
      <c r="P32" s="67">
        <f>Fuel_Specs!B32/Fuel_Specs!E32*gperlb</f>
        <v>18862.7546890458</v>
      </c>
      <c r="Q32" s="67">
        <f>Fuel_Specs!D32/Fuel_Specs!E32*gperlb</f>
        <v>20291.285785203181</v>
      </c>
      <c r="R32" s="65">
        <f t="shared" ref="R32:R43" si="25">N32*E32/1000</f>
        <v>129.56085837999998</v>
      </c>
      <c r="S32" s="756">
        <f t="shared" si="11"/>
        <v>0.92959878879636615</v>
      </c>
      <c r="T32" s="68">
        <f t="shared" si="17"/>
        <v>6.5101837999999992</v>
      </c>
      <c r="U32" s="69">
        <f t="shared" si="18"/>
        <v>0.78010007143793481</v>
      </c>
      <c r="V32" s="79" t="s">
        <v>32</v>
      </c>
      <c r="W32" s="21"/>
      <c r="X32" s="21"/>
      <c r="Y32" s="21"/>
      <c r="Z32" s="21"/>
      <c r="AA32" s="21"/>
      <c r="AB32" s="21"/>
    </row>
    <row r="33" spans="1:28" s="22" customFormat="1" ht="11.25">
      <c r="A33" s="33" t="s">
        <v>62</v>
      </c>
      <c r="B33" s="58">
        <f t="shared" si="20"/>
        <v>117059</v>
      </c>
      <c r="C33" s="89">
        <v>117059</v>
      </c>
      <c r="D33" s="89">
        <v>125293.76528649101</v>
      </c>
      <c r="E33" s="89">
        <v>2835</v>
      </c>
      <c r="F33" s="87">
        <v>0.871</v>
      </c>
      <c r="G33" s="82">
        <v>0</v>
      </c>
      <c r="H33" s="72">
        <v>0</v>
      </c>
      <c r="I33" s="63">
        <f t="shared" si="23"/>
        <v>0</v>
      </c>
      <c r="J33" s="64">
        <f t="shared" si="21"/>
        <v>77274.807870348071</v>
      </c>
      <c r="K33" s="58">
        <v>0</v>
      </c>
      <c r="L33" s="58">
        <f t="shared" si="24"/>
        <v>77274.807870348071</v>
      </c>
      <c r="M33" s="65">
        <f t="shared" si="5"/>
        <v>73.242386050319581</v>
      </c>
      <c r="N33" s="66">
        <f t="shared" si="22"/>
        <v>43.563944530917112</v>
      </c>
      <c r="O33" s="66">
        <f t="shared" si="7"/>
        <v>46.628543221883341</v>
      </c>
      <c r="P33" s="67">
        <f>Fuel_Specs!B33/Fuel_Specs!E33*gperlb</f>
        <v>18729.317135679594</v>
      </c>
      <c r="Q33" s="67">
        <f>Fuel_Specs!D33/Fuel_Specs!E33*gperlb</f>
        <v>20046.870938365209</v>
      </c>
      <c r="R33" s="65">
        <f t="shared" si="25"/>
        <v>123.50378274515002</v>
      </c>
      <c r="S33" s="756">
        <f t="shared" si="11"/>
        <v>0.93427633635511098</v>
      </c>
      <c r="T33" s="68">
        <f t="shared" si="17"/>
        <v>6.2500409999999986</v>
      </c>
      <c r="U33" s="69">
        <f t="shared" si="18"/>
        <v>0.74892776922673387</v>
      </c>
      <c r="V33" s="21" t="s">
        <v>32</v>
      </c>
      <c r="W33" s="21"/>
      <c r="X33" s="21"/>
      <c r="Y33" s="21"/>
      <c r="Z33" s="21"/>
      <c r="AA33" s="21"/>
      <c r="AB33" s="21"/>
    </row>
    <row r="34" spans="1:28" s="22" customFormat="1" ht="11.25">
      <c r="A34" s="33" t="s">
        <v>63</v>
      </c>
      <c r="B34" s="58">
        <f t="shared" si="20"/>
        <v>122887</v>
      </c>
      <c r="C34" s="89">
        <v>122887</v>
      </c>
      <c r="D34" s="89">
        <v>130817</v>
      </c>
      <c r="E34" s="89">
        <v>2948</v>
      </c>
      <c r="F34" s="87">
        <v>0.871</v>
      </c>
      <c r="G34" s="82">
        <v>0</v>
      </c>
      <c r="H34" s="72">
        <v>0</v>
      </c>
      <c r="I34" s="63">
        <f t="shared" si="23"/>
        <v>0</v>
      </c>
      <c r="J34" s="64">
        <f t="shared" si="21"/>
        <v>76544.011270334493</v>
      </c>
      <c r="K34" s="58">
        <v>0</v>
      </c>
      <c r="L34" s="58">
        <f t="shared" si="24"/>
        <v>76544.011270334493</v>
      </c>
      <c r="M34" s="65">
        <f t="shared" si="5"/>
        <v>72.549724519639881</v>
      </c>
      <c r="N34" s="66">
        <f t="shared" si="22"/>
        <v>43.979867109548849</v>
      </c>
      <c r="O34" s="66">
        <f t="shared" si="7"/>
        <v>46.81792439940638</v>
      </c>
      <c r="P34" s="67">
        <f>Fuel_Specs!B34/Fuel_Specs!E34*gperlb</f>
        <v>18908.13349317346</v>
      </c>
      <c r="Q34" s="67">
        <f>Fuel_Specs!D34/Fuel_Specs!E34*gperlb</f>
        <v>20128.291024896633</v>
      </c>
      <c r="R34" s="65">
        <f t="shared" si="25"/>
        <v>129.65264823895001</v>
      </c>
      <c r="S34" s="756">
        <f t="shared" si="11"/>
        <v>0.93938096730547249</v>
      </c>
      <c r="T34" s="68">
        <f t="shared" si="17"/>
        <v>6.4991607999999994</v>
      </c>
      <c r="U34" s="69">
        <f t="shared" si="18"/>
        <v>0.77877921117474824</v>
      </c>
      <c r="V34" s="21" t="s">
        <v>32</v>
      </c>
      <c r="W34" s="21"/>
      <c r="X34" s="21"/>
      <c r="Y34" s="21"/>
      <c r="Z34" s="21"/>
      <c r="AA34" s="21"/>
      <c r="AB34" s="21"/>
    </row>
    <row r="35" spans="1:28" s="22" customFormat="1" ht="11.25">
      <c r="A35" s="33" t="s">
        <v>64</v>
      </c>
      <c r="B35" s="58">
        <f t="shared" si="20"/>
        <v>115983</v>
      </c>
      <c r="C35" s="89">
        <v>115983</v>
      </c>
      <c r="D35" s="89">
        <v>124230</v>
      </c>
      <c r="E35" s="89">
        <v>2830</v>
      </c>
      <c r="F35" s="87">
        <v>0.84</v>
      </c>
      <c r="G35" s="82">
        <v>0</v>
      </c>
      <c r="H35" s="72">
        <v>0</v>
      </c>
      <c r="I35" s="63">
        <f t="shared" si="23"/>
        <v>0</v>
      </c>
      <c r="J35" s="64">
        <f t="shared" si="21"/>
        <v>75083.223403968193</v>
      </c>
      <c r="K35" s="58">
        <v>0</v>
      </c>
      <c r="L35" s="58">
        <f t="shared" si="24"/>
        <v>75083.223403968193</v>
      </c>
      <c r="M35" s="65">
        <f t="shared" si="5"/>
        <v>71.165164767313684</v>
      </c>
      <c r="N35" s="66">
        <f t="shared" si="22"/>
        <v>43.239767721042398</v>
      </c>
      <c r="O35" s="66">
        <f t="shared" si="7"/>
        <v>46.314342136219082</v>
      </c>
      <c r="P35" s="67">
        <f>Fuel_Specs!B35/Fuel_Specs!E35*gperlb</f>
        <v>18589.944763743271</v>
      </c>
      <c r="Q35" s="67">
        <f>Fuel_Specs!D35/Fuel_Specs!E35*gperlb</f>
        <v>19911.787399876073</v>
      </c>
      <c r="R35" s="65">
        <f t="shared" si="25"/>
        <v>122.36854265055</v>
      </c>
      <c r="S35" s="756">
        <f t="shared" si="11"/>
        <v>0.93361506882395551</v>
      </c>
      <c r="T35" s="68">
        <f t="shared" si="17"/>
        <v>6.2390179999999988</v>
      </c>
      <c r="U35" s="69">
        <f t="shared" si="18"/>
        <v>0.74760690896354742</v>
      </c>
      <c r="V35" s="21" t="s">
        <v>32</v>
      </c>
      <c r="W35" s="21"/>
      <c r="X35" s="21"/>
      <c r="Y35" s="21"/>
      <c r="Z35" s="21"/>
      <c r="AA35" s="21"/>
      <c r="AB35" s="21"/>
    </row>
    <row r="36" spans="1:28" s="22" customFormat="1" ht="11.25">
      <c r="A36" s="33" t="s">
        <v>65</v>
      </c>
      <c r="B36" s="58">
        <f t="shared" si="20"/>
        <v>30500</v>
      </c>
      <c r="C36" s="59">
        <v>30500</v>
      </c>
      <c r="D36" s="59">
        <v>36020</v>
      </c>
      <c r="E36" s="59">
        <v>268</v>
      </c>
      <c r="F36" s="87">
        <v>0</v>
      </c>
      <c r="G36" s="61">
        <v>0</v>
      </c>
      <c r="H36" s="72">
        <v>0</v>
      </c>
      <c r="I36" s="63">
        <f t="shared" si="23"/>
        <v>0</v>
      </c>
      <c r="J36" s="64"/>
      <c r="K36" s="58">
        <v>0</v>
      </c>
      <c r="L36" s="58">
        <f t="shared" si="24"/>
        <v>0</v>
      </c>
      <c r="M36" s="65">
        <f t="shared" si="5"/>
        <v>0</v>
      </c>
      <c r="N36" s="66">
        <f t="shared" si="22"/>
        <v>120.07165457089552</v>
      </c>
      <c r="O36" s="66">
        <f t="shared" si="7"/>
        <v>141.80265566044775</v>
      </c>
      <c r="P36" s="67">
        <f>Fuel_Specs!B36/Fuel_Specs!E36*gperlb</f>
        <v>51622.049419057308</v>
      </c>
      <c r="Q36" s="67">
        <f>Fuel_Specs!D36/Fuel_Specs!E36*gperlb</f>
        <v>60964.794100801446</v>
      </c>
      <c r="R36" s="65">
        <f t="shared" si="25"/>
        <v>32.179203424999997</v>
      </c>
      <c r="S36" s="756">
        <f t="shared" si="11"/>
        <v>0.84675180455302612</v>
      </c>
      <c r="T36" s="68">
        <f t="shared" si="17"/>
        <v>0.59083279999999994</v>
      </c>
      <c r="U36" s="69">
        <f t="shared" si="18"/>
        <v>7.0798110106795306E-2</v>
      </c>
      <c r="V36" s="21" t="s">
        <v>32</v>
      </c>
      <c r="W36" s="21"/>
      <c r="X36" s="21"/>
      <c r="Y36" s="21"/>
      <c r="Z36" s="21"/>
      <c r="AA36" s="21"/>
      <c r="AB36" s="21"/>
    </row>
    <row r="37" spans="1:28" s="22" customFormat="1" ht="11.25">
      <c r="A37" s="33" t="s">
        <v>66</v>
      </c>
      <c r="B37" s="58">
        <f t="shared" si="20"/>
        <v>93540</v>
      </c>
      <c r="C37" s="59">
        <v>93540</v>
      </c>
      <c r="D37" s="59">
        <v>101130</v>
      </c>
      <c r="E37" s="59">
        <v>2811</v>
      </c>
      <c r="F37" s="87">
        <v>0.68100000000000005</v>
      </c>
      <c r="G37" s="61">
        <v>0</v>
      </c>
      <c r="H37" s="72">
        <v>0</v>
      </c>
      <c r="I37" s="63">
        <f t="shared" si="23"/>
        <v>0</v>
      </c>
      <c r="J37" s="64">
        <f t="shared" ref="J37:J43" si="26">E37*F37/CO2_C_Ratio/B37*1000000</f>
        <v>74969.068963272555</v>
      </c>
      <c r="K37" s="58">
        <f t="shared" ref="K37:K43" si="27">E37*F37/CO2_C_Ratio/B37*1000000</f>
        <v>74969.068963272555</v>
      </c>
      <c r="L37" s="58">
        <f t="shared" si="24"/>
        <v>0</v>
      </c>
      <c r="M37" s="65">
        <f t="shared" si="5"/>
        <v>71.056967233793884</v>
      </c>
      <c r="N37" s="66">
        <f t="shared" si="22"/>
        <v>35.108475350053361</v>
      </c>
      <c r="O37" s="66">
        <f t="shared" si="7"/>
        <v>37.95723874439701</v>
      </c>
      <c r="P37" s="67">
        <f>Fuel_Specs!B37/Fuel_Specs!E37*gperlb</f>
        <v>15094.082412915424</v>
      </c>
      <c r="Q37" s="67">
        <f>Fuel_Specs!D37/Fuel_Specs!E37*gperlb</f>
        <v>16318.842788305934</v>
      </c>
      <c r="R37" s="65">
        <f t="shared" si="25"/>
        <v>98.689924208999997</v>
      </c>
      <c r="S37" s="756">
        <f t="shared" si="11"/>
        <v>0.92494808662118055</v>
      </c>
      <c r="T37" s="68">
        <f t="shared" si="17"/>
        <v>6.1971305999999995</v>
      </c>
      <c r="U37" s="69">
        <f t="shared" si="18"/>
        <v>0.74258763996343879</v>
      </c>
      <c r="V37" s="21" t="s">
        <v>32</v>
      </c>
      <c r="W37" s="21"/>
      <c r="X37" s="21"/>
      <c r="Y37" s="21"/>
      <c r="Z37" s="21"/>
      <c r="AA37" s="21"/>
      <c r="AB37" s="21"/>
    </row>
    <row r="38" spans="1:28" s="22" customFormat="1" ht="11.25">
      <c r="A38" s="33" t="s">
        <v>67</v>
      </c>
      <c r="B38" s="58">
        <f t="shared" si="20"/>
        <v>96720</v>
      </c>
      <c r="C38" s="59">
        <v>96720</v>
      </c>
      <c r="D38" s="59">
        <v>104530</v>
      </c>
      <c r="E38" s="59">
        <v>2810</v>
      </c>
      <c r="F38" s="87">
        <v>0.70599999999999996</v>
      </c>
      <c r="G38" s="61">
        <v>0</v>
      </c>
      <c r="H38" s="72">
        <v>0</v>
      </c>
      <c r="I38" s="63">
        <f t="shared" si="23"/>
        <v>0</v>
      </c>
      <c r="J38" s="64">
        <f t="shared" si="26"/>
        <v>75139.146659227466</v>
      </c>
      <c r="K38" s="58">
        <f t="shared" si="27"/>
        <v>75139.146659227466</v>
      </c>
      <c r="L38" s="58">
        <f t="shared" si="24"/>
        <v>0</v>
      </c>
      <c r="M38" s="65">
        <f t="shared" si="5"/>
        <v>71.218169786203703</v>
      </c>
      <c r="N38" s="66">
        <f t="shared" si="22"/>
        <v>36.314947264056933</v>
      </c>
      <c r="O38" s="66">
        <f t="shared" si="7"/>
        <v>39.247326690569388</v>
      </c>
      <c r="P38" s="67">
        <f>Fuel_Specs!B38/Fuel_Specs!E38*gperlb</f>
        <v>15612.777295483435</v>
      </c>
      <c r="Q38" s="67">
        <f>Fuel_Specs!D38/Fuel_Specs!E38*gperlb</f>
        <v>16873.486462953719</v>
      </c>
      <c r="R38" s="65">
        <f t="shared" si="25"/>
        <v>102.04500181199998</v>
      </c>
      <c r="S38" s="756">
        <f t="shared" si="11"/>
        <v>0.92528460728977313</v>
      </c>
      <c r="T38" s="68">
        <f t="shared" si="17"/>
        <v>6.1949259999999988</v>
      </c>
      <c r="U38" s="69">
        <f t="shared" si="18"/>
        <v>0.7423234679108015</v>
      </c>
      <c r="V38" s="21" t="s">
        <v>32</v>
      </c>
      <c r="W38" s="21"/>
      <c r="X38" s="21"/>
      <c r="Y38" s="21"/>
      <c r="Z38" s="21"/>
      <c r="AA38" s="21"/>
      <c r="AB38" s="21"/>
    </row>
    <row r="39" spans="1:28" s="22" customFormat="1" ht="11.25">
      <c r="A39" s="33" t="s">
        <v>68</v>
      </c>
      <c r="B39" s="58">
        <f t="shared" si="20"/>
        <v>100480</v>
      </c>
      <c r="C39" s="59">
        <v>100480</v>
      </c>
      <c r="D39" s="59">
        <v>108570</v>
      </c>
      <c r="E39" s="59">
        <v>2913</v>
      </c>
      <c r="F39" s="87">
        <v>0.70599999999999996</v>
      </c>
      <c r="G39" s="61">
        <v>0</v>
      </c>
      <c r="H39" s="72">
        <v>0</v>
      </c>
      <c r="I39" s="63">
        <f t="shared" si="23"/>
        <v>0</v>
      </c>
      <c r="J39" s="64">
        <f t="shared" si="26"/>
        <v>74978.558172008678</v>
      </c>
      <c r="K39" s="58">
        <f t="shared" si="27"/>
        <v>74978.558172008678</v>
      </c>
      <c r="L39" s="58">
        <f t="shared" si="24"/>
        <v>0</v>
      </c>
      <c r="M39" s="65">
        <f t="shared" si="5"/>
        <v>71.065961268314538</v>
      </c>
      <c r="N39" s="66">
        <f t="shared" si="22"/>
        <v>36.392726332990044</v>
      </c>
      <c r="O39" s="66">
        <f t="shared" si="7"/>
        <v>39.322833379505667</v>
      </c>
      <c r="P39" s="67">
        <f>Fuel_Specs!B39/Fuel_Specs!E39*gperlb</f>
        <v>15646.216619315377</v>
      </c>
      <c r="Q39" s="67">
        <f>Fuel_Specs!D39/Fuel_Specs!E39*gperlb</f>
        <v>16905.948829210491</v>
      </c>
      <c r="R39" s="65">
        <f t="shared" si="25"/>
        <v>106.012011808</v>
      </c>
      <c r="S39" s="756">
        <f t="shared" si="11"/>
        <v>0.9254858616560746</v>
      </c>
      <c r="T39" s="68">
        <f t="shared" si="17"/>
        <v>6.4219997999999991</v>
      </c>
      <c r="U39" s="69">
        <f t="shared" si="18"/>
        <v>0.76953318933244297</v>
      </c>
      <c r="V39" s="21" t="s">
        <v>32</v>
      </c>
      <c r="W39" s="21"/>
      <c r="X39" s="21"/>
      <c r="Y39" s="21"/>
      <c r="Z39" s="21"/>
      <c r="AA39" s="21"/>
      <c r="AB39" s="21"/>
    </row>
    <row r="40" spans="1:28" s="22" customFormat="1" ht="11.25">
      <c r="A40" s="33" t="s">
        <v>69</v>
      </c>
      <c r="B40" s="58">
        <f t="shared" si="20"/>
        <v>94970</v>
      </c>
      <c r="C40" s="59">
        <v>94970</v>
      </c>
      <c r="D40" s="59">
        <v>103220</v>
      </c>
      <c r="E40" s="59">
        <v>2213</v>
      </c>
      <c r="F40" s="87">
        <v>0.82799999999999996</v>
      </c>
      <c r="G40" s="61">
        <v>0</v>
      </c>
      <c r="H40" s="72">
        <v>0</v>
      </c>
      <c r="I40" s="63">
        <f t="shared" si="23"/>
        <v>0</v>
      </c>
      <c r="J40" s="64">
        <f t="shared" si="26"/>
        <v>70680.048388884388</v>
      </c>
      <c r="K40" s="58">
        <f t="shared" si="27"/>
        <v>70680.048388884388</v>
      </c>
      <c r="L40" s="58">
        <f t="shared" si="24"/>
        <v>0</v>
      </c>
      <c r="M40" s="65">
        <f t="shared" si="5"/>
        <v>66.991760093917676</v>
      </c>
      <c r="N40" s="66">
        <f t="shared" si="22"/>
        <v>45.277295108224131</v>
      </c>
      <c r="O40" s="66">
        <f t="shared" si="7"/>
        <v>49.210512804789879</v>
      </c>
      <c r="P40" s="67">
        <f>Fuel_Specs!B40/Fuel_Specs!E40*gperlb</f>
        <v>19465.932854768318</v>
      </c>
      <c r="Q40" s="67">
        <f>Fuel_Specs!D40/Fuel_Specs!E40*gperlb</f>
        <v>21156.929443710498</v>
      </c>
      <c r="R40" s="65">
        <f t="shared" si="25"/>
        <v>100.1986540745</v>
      </c>
      <c r="S40" s="756">
        <f t="shared" si="11"/>
        <v>0.92007362914163915</v>
      </c>
      <c r="T40" s="68">
        <f t="shared" si="17"/>
        <v>4.8787797999999993</v>
      </c>
      <c r="U40" s="69">
        <f t="shared" si="18"/>
        <v>0.58461275248633582</v>
      </c>
      <c r="V40" s="21" t="s">
        <v>32</v>
      </c>
      <c r="W40" s="21"/>
      <c r="X40" s="21"/>
      <c r="Y40" s="21"/>
      <c r="Z40" s="21"/>
      <c r="AA40" s="21"/>
      <c r="AB40" s="21"/>
    </row>
    <row r="41" spans="1:28" s="22" customFormat="1" ht="11.25">
      <c r="A41" s="33" t="s">
        <v>70</v>
      </c>
      <c r="B41" s="58">
        <f t="shared" si="20"/>
        <v>90060</v>
      </c>
      <c r="C41" s="59">
        <v>90060</v>
      </c>
      <c r="D41" s="59">
        <v>98560</v>
      </c>
      <c r="E41" s="59">
        <v>2118</v>
      </c>
      <c r="F41" s="87">
        <v>0.82799999999999996</v>
      </c>
      <c r="G41" s="61">
        <v>0</v>
      </c>
      <c r="H41" s="72">
        <v>0</v>
      </c>
      <c r="I41" s="63">
        <f t="shared" si="23"/>
        <v>0</v>
      </c>
      <c r="J41" s="64">
        <f t="shared" si="26"/>
        <v>71333.884685666722</v>
      </c>
      <c r="K41" s="58">
        <f t="shared" si="27"/>
        <v>71333.884685666722</v>
      </c>
      <c r="L41" s="58">
        <f t="shared" si="24"/>
        <v>0</v>
      </c>
      <c r="M41" s="65">
        <f t="shared" si="5"/>
        <v>67.611477331429157</v>
      </c>
      <c r="N41" s="66">
        <f t="shared" si="22"/>
        <v>44.862289825779037</v>
      </c>
      <c r="O41" s="66">
        <f t="shared" si="7"/>
        <v>49.096461084041543</v>
      </c>
      <c r="P41" s="67">
        <f>Fuel_Specs!B41/Fuel_Specs!E41*gperlb</f>
        <v>19287.510867696416</v>
      </c>
      <c r="Q41" s="67">
        <f>Fuel_Specs!D41/Fuel_Specs!E41*gperlb</f>
        <v>21107.895526539625</v>
      </c>
      <c r="R41" s="65">
        <f t="shared" si="25"/>
        <v>95.018329851000004</v>
      </c>
      <c r="S41" s="756">
        <f t="shared" si="11"/>
        <v>0.91375811688311692</v>
      </c>
      <c r="T41" s="68">
        <f t="shared" si="17"/>
        <v>4.669342799999999</v>
      </c>
      <c r="U41" s="69">
        <f t="shared" si="18"/>
        <v>0.55951640748579268</v>
      </c>
      <c r="V41" s="21" t="s">
        <v>32</v>
      </c>
      <c r="W41" s="21"/>
      <c r="X41" s="21"/>
      <c r="Y41" s="21"/>
      <c r="Z41" s="21"/>
      <c r="AA41" s="21"/>
      <c r="AB41" s="21"/>
    </row>
    <row r="42" spans="1:28" s="22" customFormat="1" ht="11.25">
      <c r="A42" s="33" t="s">
        <v>71</v>
      </c>
      <c r="B42" s="58">
        <f t="shared" si="20"/>
        <v>95720</v>
      </c>
      <c r="C42" s="59">
        <v>95720</v>
      </c>
      <c r="D42" s="59">
        <v>103010</v>
      </c>
      <c r="E42" s="59">
        <v>2253</v>
      </c>
      <c r="F42" s="87">
        <v>0.85699999999999998</v>
      </c>
      <c r="G42" s="61">
        <v>0</v>
      </c>
      <c r="H42" s="72">
        <v>0</v>
      </c>
      <c r="I42" s="63">
        <f t="shared" si="23"/>
        <v>0</v>
      </c>
      <c r="J42" s="64">
        <f t="shared" si="26"/>
        <v>73894.284641656981</v>
      </c>
      <c r="K42" s="58">
        <f t="shared" si="27"/>
        <v>73894.284641656981</v>
      </c>
      <c r="L42" s="58">
        <f t="shared" si="24"/>
        <v>0</v>
      </c>
      <c r="M42" s="65">
        <f t="shared" si="5"/>
        <v>70.038268250592594</v>
      </c>
      <c r="N42" s="66">
        <f t="shared" si="22"/>
        <v>44.824654221926316</v>
      </c>
      <c r="O42" s="66">
        <f t="shared" si="7"/>
        <v>48.238483403683972</v>
      </c>
      <c r="P42" s="67">
        <f>Fuel_Specs!B42/Fuel_Specs!E42*gperlb</f>
        <v>19271.330304440715</v>
      </c>
      <c r="Q42" s="67">
        <f>Fuel_Specs!D42/Fuel_Specs!E42*gperlb</f>
        <v>20739.027733602572</v>
      </c>
      <c r="R42" s="65">
        <f t="shared" si="25"/>
        <v>100.98994596199998</v>
      </c>
      <c r="S42" s="756">
        <f t="shared" si="11"/>
        <v>0.92923017182797785</v>
      </c>
      <c r="T42" s="68">
        <f t="shared" si="17"/>
        <v>4.9669637999999994</v>
      </c>
      <c r="U42" s="69">
        <f t="shared" si="18"/>
        <v>0.59517963459182777</v>
      </c>
      <c r="V42" s="21" t="s">
        <v>32</v>
      </c>
      <c r="W42" s="21"/>
      <c r="X42" s="21"/>
      <c r="Y42" s="21"/>
      <c r="Z42" s="21"/>
      <c r="AA42" s="21"/>
      <c r="AB42" s="21"/>
    </row>
    <row r="43" spans="1:28" s="22" customFormat="1" ht="11.25">
      <c r="A43" s="33" t="s">
        <v>72</v>
      </c>
      <c r="B43" s="58">
        <f t="shared" si="20"/>
        <v>84250</v>
      </c>
      <c r="C43" s="59">
        <v>84250</v>
      </c>
      <c r="D43" s="59">
        <v>91420</v>
      </c>
      <c r="E43" s="59">
        <v>1920</v>
      </c>
      <c r="F43" s="87">
        <v>0.81799999999999995</v>
      </c>
      <c r="G43" s="61">
        <v>0</v>
      </c>
      <c r="H43" s="72">
        <v>0</v>
      </c>
      <c r="I43" s="63">
        <f t="shared" si="23"/>
        <v>0</v>
      </c>
      <c r="J43" s="64">
        <f t="shared" si="26"/>
        <v>68289.848349119144</v>
      </c>
      <c r="K43" s="58">
        <f t="shared" si="27"/>
        <v>68289.848349119144</v>
      </c>
      <c r="L43" s="58">
        <f t="shared" si="24"/>
        <v>0</v>
      </c>
      <c r="M43" s="65">
        <f t="shared" si="5"/>
        <v>64.726287569628795</v>
      </c>
      <c r="N43" s="66">
        <f t="shared" si="22"/>
        <v>46.296070501302083</v>
      </c>
      <c r="O43" s="66">
        <f t="shared" si="7"/>
        <v>50.236044691145828</v>
      </c>
      <c r="P43" s="67">
        <f>Fuel_Specs!B43/Fuel_Specs!E43*gperlb</f>
        <v>19903.931930206541</v>
      </c>
      <c r="Q43" s="67">
        <f>Fuel_Specs!D43/Fuel_Specs!E43*gperlb</f>
        <v>21597.833318213437</v>
      </c>
      <c r="R43" s="65">
        <f t="shared" si="25"/>
        <v>88.888455362499997</v>
      </c>
      <c r="S43" s="756">
        <f t="shared" si="11"/>
        <v>0.92157077225989936</v>
      </c>
      <c r="T43" s="68">
        <f t="shared" si="17"/>
        <v>4.2328319999999993</v>
      </c>
      <c r="U43" s="69">
        <f t="shared" si="18"/>
        <v>0.50721034106360818</v>
      </c>
      <c r="V43" s="21" t="s">
        <v>32</v>
      </c>
      <c r="W43" s="21"/>
      <c r="X43" s="21"/>
      <c r="Y43" s="21"/>
      <c r="Z43" s="21"/>
      <c r="AA43" s="21"/>
      <c r="AB43" s="21"/>
    </row>
    <row r="44" spans="1:28" s="22" customFormat="1" ht="11.25">
      <c r="A44" s="33" t="s">
        <v>73</v>
      </c>
      <c r="B44" s="58">
        <f t="shared" si="20"/>
        <v>83686.11202275462</v>
      </c>
      <c r="C44" s="86">
        <v>83686.11202275462</v>
      </c>
      <c r="D44" s="59">
        <v>90050</v>
      </c>
      <c r="E44" s="81"/>
      <c r="F44" s="93"/>
      <c r="G44" s="61">
        <v>0</v>
      </c>
      <c r="H44" s="72">
        <v>0</v>
      </c>
      <c r="I44" s="63">
        <f t="shared" si="23"/>
        <v>0</v>
      </c>
      <c r="J44" s="64"/>
      <c r="K44" s="58"/>
      <c r="L44" s="99"/>
      <c r="M44" s="65">
        <f t="shared" si="5"/>
        <v>0</v>
      </c>
      <c r="N44" s="66"/>
      <c r="O44" s="66"/>
      <c r="P44" s="100"/>
      <c r="Q44" s="67"/>
      <c r="R44" s="65"/>
      <c r="S44" s="756"/>
      <c r="T44" s="68"/>
      <c r="U44" s="69">
        <f t="shared" si="18"/>
        <v>0</v>
      </c>
      <c r="V44" s="21" t="s">
        <v>32</v>
      </c>
      <c r="W44" s="21"/>
      <c r="X44" s="21"/>
      <c r="Y44" s="21"/>
      <c r="Z44" s="21"/>
      <c r="AA44" s="21"/>
      <c r="AB44" s="21"/>
    </row>
    <row r="45" spans="1:28" s="22" customFormat="1" ht="12" thickBot="1">
      <c r="A45" s="101" t="s">
        <v>74</v>
      </c>
      <c r="B45" s="102">
        <f t="shared" si="20"/>
        <v>128590</v>
      </c>
      <c r="C45" s="103">
        <v>128590</v>
      </c>
      <c r="D45" s="103">
        <v>142860</v>
      </c>
      <c r="E45" s="102"/>
      <c r="F45" s="104"/>
      <c r="G45" s="105">
        <v>0</v>
      </c>
      <c r="H45" s="106">
        <v>0</v>
      </c>
      <c r="I45" s="107"/>
      <c r="J45" s="108"/>
      <c r="K45" s="102">
        <f>E45*F45/CO2_C_Ratio/B45*1000000</f>
        <v>0</v>
      </c>
      <c r="L45" s="109"/>
      <c r="M45" s="110">
        <f t="shared" si="5"/>
        <v>0</v>
      </c>
      <c r="N45" s="66"/>
      <c r="O45" s="66"/>
      <c r="P45" s="100"/>
      <c r="Q45" s="67"/>
      <c r="R45" s="65"/>
      <c r="S45" s="756"/>
      <c r="T45" s="113"/>
      <c r="U45" s="69">
        <f t="shared" si="18"/>
        <v>0</v>
      </c>
      <c r="V45" s="21" t="s">
        <v>32</v>
      </c>
      <c r="W45" s="21"/>
      <c r="X45" s="21"/>
      <c r="Y45" s="21"/>
      <c r="Z45" s="21"/>
      <c r="AA45" s="21"/>
      <c r="AB45" s="21"/>
    </row>
    <row r="46" spans="1:28" s="121" customFormat="1" ht="11.25">
      <c r="A46" s="47" t="s">
        <v>75</v>
      </c>
      <c r="B46" s="114" t="s">
        <v>76</v>
      </c>
      <c r="C46" s="114" t="s">
        <v>76</v>
      </c>
      <c r="D46" s="114" t="s">
        <v>76</v>
      </c>
      <c r="E46" s="114" t="s">
        <v>77</v>
      </c>
      <c r="F46" s="115"/>
      <c r="G46" s="116"/>
      <c r="H46" s="117" t="s">
        <v>25</v>
      </c>
      <c r="I46" s="52" t="s">
        <v>308</v>
      </c>
      <c r="J46" s="53" t="s">
        <v>565</v>
      </c>
      <c r="K46" s="54" t="s">
        <v>565</v>
      </c>
      <c r="L46" s="118"/>
      <c r="M46" s="119" t="s">
        <v>195</v>
      </c>
      <c r="N46" s="156" t="s">
        <v>26</v>
      </c>
      <c r="O46" s="156" t="s">
        <v>26</v>
      </c>
      <c r="P46" s="146" t="s">
        <v>27</v>
      </c>
      <c r="Q46" s="146" t="s">
        <v>27</v>
      </c>
      <c r="R46" s="56" t="s">
        <v>28</v>
      </c>
      <c r="S46" s="757"/>
      <c r="T46" s="54" t="s">
        <v>197</v>
      </c>
      <c r="U46" s="69"/>
      <c r="V46" s="21" t="s">
        <v>32</v>
      </c>
      <c r="W46" s="120"/>
      <c r="X46" s="120"/>
      <c r="Y46" s="120"/>
      <c r="Z46" s="120"/>
      <c r="AA46" s="120"/>
      <c r="AB46" s="120"/>
    </row>
    <row r="47" spans="1:28" s="22" customFormat="1" ht="11.25">
      <c r="A47" s="33" t="s">
        <v>78</v>
      </c>
      <c r="B47" s="58">
        <f>IF($B$5=1,C47,D47)</f>
        <v>983.9004983183695</v>
      </c>
      <c r="C47" s="331">
        <f>Input!C89</f>
        <v>983.9004983183695</v>
      </c>
      <c r="D47" s="328">
        <f>Input!C90</f>
        <v>1089.6698018875941</v>
      </c>
      <c r="E47" s="332">
        <f>Input!C93</f>
        <v>21.177818855908775</v>
      </c>
      <c r="F47" s="329">
        <f>Input!C86</f>
        <v>0.75224402517009359</v>
      </c>
      <c r="G47" s="123">
        <v>13.741321621636045</v>
      </c>
      <c r="H47" s="83">
        <f>G47/1000000</f>
        <v>1.3741321621636044E-5</v>
      </c>
      <c r="I47" s="63">
        <f>E47*H47/B47*1000000</f>
        <v>0.29577301835009912</v>
      </c>
      <c r="J47" s="64">
        <f>E47*F47/CO2_C_Ratio/B47*1000000</f>
        <v>59314.42451937154</v>
      </c>
      <c r="K47" s="58">
        <f>E47*F47/CO2_C_Ratio/B47*1000000</f>
        <v>59314.42451937154</v>
      </c>
      <c r="L47" s="58">
        <f>J47-K47</f>
        <v>0</v>
      </c>
      <c r="M47" s="65">
        <f>J47/JperBtu</f>
        <v>56.219227180600477</v>
      </c>
      <c r="N47" s="66">
        <f>C47*JperBtu/1000/E47</f>
        <v>49.01685030132748</v>
      </c>
      <c r="O47" s="66">
        <f>D47*JperBtu/1000/E47</f>
        <v>54.286161708720179</v>
      </c>
      <c r="P47" s="67">
        <f>Fuel_Specs!B47/Fuel_Specs!E47*gperlb</f>
        <v>21073.668699448401</v>
      </c>
      <c r="Q47" s="67">
        <f>Fuel_Specs!D47/Fuel_Specs!E47*gperlb</f>
        <v>23339.088084639101</v>
      </c>
      <c r="R47" s="65">
        <f>N47*(E47/1000)</f>
        <v>1.0380699765687109</v>
      </c>
      <c r="S47" s="756">
        <f t="shared" si="11"/>
        <v>0.90293453724604977</v>
      </c>
      <c r="T47" s="68">
        <f>E47/gperlb</f>
        <v>4.6688619449736478E-2</v>
      </c>
      <c r="U47" s="69"/>
      <c r="V47" s="79" t="s">
        <v>32</v>
      </c>
      <c r="W47" s="21"/>
      <c r="X47" s="21">
        <f>M47/CO2_MW*C_MW</f>
        <v>15.346641421179219</v>
      </c>
      <c r="Y47" s="21"/>
      <c r="Z47" s="21"/>
      <c r="AA47" s="21"/>
      <c r="AB47" s="21"/>
    </row>
    <row r="48" spans="1:28" s="22" customFormat="1" ht="11.25">
      <c r="A48" s="33" t="s">
        <v>79</v>
      </c>
      <c r="B48" s="58">
        <f>IF($B$5=1,C48,D48)</f>
        <v>282</v>
      </c>
      <c r="C48" s="76">
        <v>282</v>
      </c>
      <c r="D48" s="92">
        <v>331</v>
      </c>
      <c r="E48" s="122">
        <v>2.48</v>
      </c>
      <c r="F48" s="87">
        <v>0</v>
      </c>
      <c r="G48" s="61">
        <v>0</v>
      </c>
      <c r="H48" s="72">
        <v>0</v>
      </c>
      <c r="I48" s="63">
        <f>E47*H47/B47*1000000</f>
        <v>0.29577301835009912</v>
      </c>
      <c r="J48" s="64">
        <f>E48*F48/CO2_C_Ratio/B48*1000000</f>
        <v>0</v>
      </c>
      <c r="K48" s="58"/>
      <c r="L48" s="58"/>
      <c r="M48" s="65">
        <f>J48/JperBtu</f>
        <v>0</v>
      </c>
      <c r="N48" s="66">
        <f>C48*JperBtu/1000/E48</f>
        <v>119.97006036290323</v>
      </c>
      <c r="O48" s="66">
        <f>D48*JperBtu/1000/E48</f>
        <v>140.81592191532258</v>
      </c>
      <c r="P48" s="67">
        <f>Fuel_Specs!B48/Fuel_Specs!E48*gperlb</f>
        <v>51578.37132330348</v>
      </c>
      <c r="Q48" s="67">
        <f>Fuel_Specs!D48/Fuel_Specs!E48*gperlb</f>
        <v>60540.570595792386</v>
      </c>
      <c r="R48" s="65">
        <f>N48*(E48/1000)</f>
        <v>0.29752574970000001</v>
      </c>
      <c r="S48" s="756">
        <f t="shared" si="11"/>
        <v>0.85196374622356486</v>
      </c>
      <c r="T48" s="68">
        <f>E48/gperlb</f>
        <v>5.4674079999999991E-3</v>
      </c>
      <c r="U48" s="69"/>
      <c r="V48" s="79" t="s">
        <v>32</v>
      </c>
      <c r="W48" s="21"/>
      <c r="X48" s="21"/>
      <c r="Y48" s="21"/>
      <c r="Z48" s="21"/>
      <c r="AA48" s="21"/>
      <c r="AB48" s="21"/>
    </row>
    <row r="49" spans="1:28" s="22" customFormat="1" ht="11.25">
      <c r="A49" s="33" t="s">
        <v>80</v>
      </c>
      <c r="B49" s="58"/>
      <c r="C49" s="58"/>
      <c r="D49" s="58"/>
      <c r="E49" s="124">
        <v>55.977829999999997</v>
      </c>
      <c r="F49" s="87">
        <v>0.27272727272727271</v>
      </c>
      <c r="G49" s="61">
        <v>0</v>
      </c>
      <c r="H49" s="72">
        <v>0</v>
      </c>
      <c r="I49" s="63"/>
      <c r="J49" s="64"/>
      <c r="K49" s="99"/>
      <c r="L49" s="99"/>
      <c r="M49" s="65"/>
      <c r="N49" s="66"/>
      <c r="O49" s="66"/>
      <c r="P49" s="67"/>
      <c r="Q49" s="67"/>
      <c r="R49" s="65"/>
      <c r="S49" s="756"/>
      <c r="T49" s="68">
        <f>E49/gperlb</f>
        <v>0.12340872401799997</v>
      </c>
      <c r="U49" s="69"/>
      <c r="V49" s="21" t="s">
        <v>32</v>
      </c>
      <c r="W49" s="21"/>
      <c r="X49" s="21"/>
      <c r="Y49" s="21"/>
      <c r="Z49" s="21"/>
      <c r="AA49" s="21"/>
      <c r="AB49" s="21"/>
    </row>
    <row r="50" spans="1:28" s="22" customFormat="1" ht="11.25">
      <c r="A50" s="33" t="s">
        <v>74</v>
      </c>
      <c r="B50" s="58">
        <f>IF($B$5=1,C50,D50)</f>
        <v>1458</v>
      </c>
      <c r="C50" s="59">
        <v>1458</v>
      </c>
      <c r="D50" s="59">
        <v>1584</v>
      </c>
      <c r="E50" s="125">
        <v>32.799999999999997</v>
      </c>
      <c r="F50" s="126">
        <v>0.37930000000000003</v>
      </c>
      <c r="G50" s="82"/>
      <c r="H50" s="72"/>
      <c r="I50" s="63"/>
      <c r="J50" s="64">
        <f>E50*F50/CO2_C_Ratio/B50*1000000</f>
        <v>31258.683837729826</v>
      </c>
      <c r="K50" s="58"/>
      <c r="L50" s="58"/>
      <c r="M50" s="65">
        <f>J50/JperBtu</f>
        <v>29.627515773434958</v>
      </c>
      <c r="N50" s="66">
        <f>C50*JperBtu/1000/E50</f>
        <v>46.898519185975609</v>
      </c>
      <c r="O50" s="66">
        <f>D50*JperBtu/1000/E50</f>
        <v>50.95147763414635</v>
      </c>
      <c r="P50" s="67">
        <f>Fuel_Specs!B50/Fuel_Specs!E50*gperlb</f>
        <v>20162.940901839396</v>
      </c>
      <c r="Q50" s="67">
        <f>Fuel_Specs!D50/Fuel_Specs!E50*gperlb</f>
        <v>21905.417276072429</v>
      </c>
      <c r="R50" s="65">
        <f>N50*E49/1000</f>
        <v>2.6252773342442812</v>
      </c>
      <c r="S50" s="756">
        <f t="shared" si="11"/>
        <v>0.92045454545454553</v>
      </c>
      <c r="T50" s="68">
        <f>E50/gperlb</f>
        <v>7.231087999999998E-2</v>
      </c>
      <c r="U50" s="69"/>
      <c r="V50" s="21" t="s">
        <v>32</v>
      </c>
      <c r="W50" s="21"/>
      <c r="X50" s="21"/>
      <c r="Y50" s="21"/>
      <c r="Z50" s="21"/>
      <c r="AA50" s="21"/>
      <c r="AB50" s="21"/>
    </row>
    <row r="51" spans="1:28" s="22" customFormat="1" ht="11.25">
      <c r="A51" s="33" t="s">
        <v>81</v>
      </c>
      <c r="B51" s="58">
        <f>IF($B$5=1,C51,D51)</f>
        <v>446</v>
      </c>
      <c r="C51" s="127">
        <v>446</v>
      </c>
      <c r="D51" s="85">
        <v>496</v>
      </c>
      <c r="E51" s="128">
        <v>34.54</v>
      </c>
      <c r="F51" s="126">
        <v>0.20449999999999999</v>
      </c>
      <c r="G51" s="129"/>
      <c r="H51" s="83"/>
      <c r="I51" s="63"/>
      <c r="J51" s="64">
        <f>E51*F51/CO2_C_Ratio/B51*1000000</f>
        <v>58016.605137885075</v>
      </c>
      <c r="K51" s="81"/>
      <c r="L51" s="81"/>
      <c r="M51" s="130">
        <f>J51/JperBtu</f>
        <v>54.989131748698497</v>
      </c>
      <c r="N51" s="66">
        <f>C51*JperBtu/1000/E51</f>
        <v>13.623477391430226</v>
      </c>
      <c r="O51" s="66">
        <f>D51*JperBtu/1000/E51</f>
        <v>15.150773063115228</v>
      </c>
      <c r="P51" s="67">
        <f>Fuel_Specs!B51/Fuel_Specs!E51*gperlb</f>
        <v>5857.1011257663549</v>
      </c>
      <c r="Q51" s="67">
        <f>Fuel_Specs!D51/Fuel_Specs!E51*gperlb</f>
        <v>6513.7268125114624</v>
      </c>
      <c r="R51" s="65"/>
      <c r="S51" s="756">
        <f t="shared" si="11"/>
        <v>0.89919354838709675</v>
      </c>
      <c r="T51" s="68">
        <f>E51/gperlb</f>
        <v>7.6146883999999984E-2</v>
      </c>
      <c r="U51" s="69"/>
      <c r="V51" s="21" t="s">
        <v>32</v>
      </c>
      <c r="W51" s="21"/>
      <c r="X51" s="21"/>
      <c r="Y51" s="21"/>
      <c r="Z51" s="21"/>
      <c r="AA51" s="21"/>
      <c r="AB51" s="21"/>
    </row>
    <row r="52" spans="1:28" s="22" customFormat="1" ht="11.25">
      <c r="A52" s="33" t="s">
        <v>82</v>
      </c>
      <c r="B52" s="58"/>
      <c r="C52" s="127"/>
      <c r="D52" s="127"/>
      <c r="E52" s="131"/>
      <c r="F52" s="132"/>
      <c r="G52" s="71"/>
      <c r="H52" s="83"/>
      <c r="I52" s="63"/>
      <c r="J52" s="64"/>
      <c r="K52" s="81"/>
      <c r="L52" s="81"/>
      <c r="M52" s="130"/>
      <c r="N52" s="66"/>
      <c r="O52" s="66"/>
      <c r="P52" s="67"/>
      <c r="Q52" s="67"/>
      <c r="R52" s="65"/>
      <c r="S52" s="756"/>
      <c r="T52" s="68"/>
      <c r="U52" s="69"/>
      <c r="V52" s="21" t="s">
        <v>32</v>
      </c>
      <c r="W52" s="21"/>
      <c r="X52" s="21"/>
      <c r="Y52" s="21"/>
      <c r="Z52" s="21"/>
      <c r="AA52" s="21"/>
      <c r="AB52" s="21"/>
    </row>
    <row r="53" spans="1:28" s="22" customFormat="1" ht="11.25">
      <c r="A53" s="33" t="s">
        <v>83</v>
      </c>
      <c r="B53" s="58">
        <f>IF($B$5=1,C53,D53)</f>
        <v>930</v>
      </c>
      <c r="C53" s="76">
        <v>930</v>
      </c>
      <c r="D53" s="92">
        <v>1030</v>
      </c>
      <c r="E53" s="122">
        <v>20.399999999999999</v>
      </c>
      <c r="F53" s="60">
        <v>0.72399999999999998</v>
      </c>
      <c r="G53" s="123">
        <v>13.741321621636045</v>
      </c>
      <c r="H53" s="83">
        <f>G53/1000000</f>
        <v>1.3741321621636044E-5</v>
      </c>
      <c r="I53" s="63">
        <f>E53*H53/B53*1000000</f>
        <v>0.30142253879717773</v>
      </c>
      <c r="J53" s="64">
        <f>E53*F53/CO2_C_Ratio/B53*1000000</f>
        <v>58177.80216940969</v>
      </c>
      <c r="K53" s="58">
        <f>E53*F53/CO2_C_Ratio/B53*1000000</f>
        <v>58177.80216940969</v>
      </c>
      <c r="L53" s="58">
        <f>J53-K53</f>
        <v>0</v>
      </c>
      <c r="M53" s="65">
        <f>J53/JperBtu</f>
        <v>55.141917055300617</v>
      </c>
      <c r="N53" s="66">
        <f>C53*JperBtu/1000/E53</f>
        <v>48.09813433823529</v>
      </c>
      <c r="O53" s="66">
        <f>D53*JperBtu/1000/E53</f>
        <v>53.269976740196078</v>
      </c>
      <c r="P53" s="67">
        <f>Fuel_Specs!B53/Fuel_Specs!E53*gperlb</f>
        <v>20678.687877219294</v>
      </c>
      <c r="Q53" s="67">
        <f>Fuel_Specs!D53/Fuel_Specs!E53*gperlb</f>
        <v>22902.202702726743</v>
      </c>
      <c r="R53" s="65">
        <f>N53*(E53/1000)</f>
        <v>0.98120194049999987</v>
      </c>
      <c r="S53" s="756">
        <f t="shared" si="11"/>
        <v>0.90291262135922334</v>
      </c>
      <c r="T53" s="68">
        <f>E53/gperlb</f>
        <v>4.4973839999999987E-2</v>
      </c>
      <c r="U53" s="69"/>
      <c r="V53" s="79" t="s">
        <v>32</v>
      </c>
      <c r="W53" s="21"/>
      <c r="X53" s="21"/>
      <c r="Y53" s="21"/>
      <c r="Z53" s="21"/>
      <c r="AA53" s="21"/>
      <c r="AB53" s="21"/>
    </row>
    <row r="54" spans="1:28" s="22" customFormat="1" ht="11.25">
      <c r="A54" s="33" t="s">
        <v>84</v>
      </c>
      <c r="B54" s="58">
        <f>IF($B$5=1,C54,D54)</f>
        <v>930</v>
      </c>
      <c r="C54" s="76">
        <v>930</v>
      </c>
      <c r="D54" s="92">
        <v>1030</v>
      </c>
      <c r="E54" s="122">
        <v>20.399999999999999</v>
      </c>
      <c r="F54" s="60">
        <v>0.72399999999999998</v>
      </c>
      <c r="G54" s="123">
        <v>13.741321621636045</v>
      </c>
      <c r="H54" s="83">
        <f>G54/1000000</f>
        <v>1.3741321621636044E-5</v>
      </c>
      <c r="I54" s="63">
        <f>E54*H54/B54*1000000</f>
        <v>0.30142253879717773</v>
      </c>
      <c r="J54" s="64">
        <f>E54*F54/CO2_C_Ratio/B54*1000000</f>
        <v>58177.80216940969</v>
      </c>
      <c r="K54" s="58">
        <f>E54*F54/CO2_C_Ratio/B54*1000000</f>
        <v>58177.80216940969</v>
      </c>
      <c r="L54" s="58">
        <f>J54-K54</f>
        <v>0</v>
      </c>
      <c r="M54" s="65">
        <f>J54/JperBtu</f>
        <v>55.141917055300617</v>
      </c>
      <c r="N54" s="66">
        <f>C54*JperBtu/1000/E54</f>
        <v>48.09813433823529</v>
      </c>
      <c r="O54" s="66">
        <f>D54*JperBtu/1000/E54</f>
        <v>53.269976740196078</v>
      </c>
      <c r="P54" s="67">
        <f>Fuel_Specs!B54/Fuel_Specs!E54*gperlb</f>
        <v>20678.687877219294</v>
      </c>
      <c r="Q54" s="67">
        <f>Fuel_Specs!D54/Fuel_Specs!E54*gperlb</f>
        <v>22902.202702726743</v>
      </c>
      <c r="R54" s="65">
        <f>N54*(E54/1000)</f>
        <v>0.98120194049999987</v>
      </c>
      <c r="S54" s="756">
        <f t="shared" si="11"/>
        <v>0.90291262135922334</v>
      </c>
      <c r="T54" s="68">
        <f>E54/gperlb</f>
        <v>4.4973839999999987E-2</v>
      </c>
      <c r="U54" s="69"/>
      <c r="V54" s="79" t="s">
        <v>32</v>
      </c>
      <c r="W54" s="21"/>
      <c r="X54" s="21"/>
      <c r="Y54" s="21"/>
      <c r="Z54" s="21"/>
      <c r="AA54" s="21"/>
      <c r="AB54" s="21"/>
    </row>
    <row r="55" spans="1:28" s="22" customFormat="1" ht="12" thickBot="1">
      <c r="A55" s="101" t="s">
        <v>85</v>
      </c>
      <c r="B55" s="102"/>
      <c r="C55" s="133"/>
      <c r="D55" s="133"/>
      <c r="E55" s="134"/>
      <c r="F55" s="134"/>
      <c r="G55" s="135"/>
      <c r="H55" s="106"/>
      <c r="I55" s="107"/>
      <c r="J55" s="108"/>
      <c r="K55" s="102"/>
      <c r="L55" s="102"/>
      <c r="M55" s="110"/>
      <c r="N55" s="111"/>
      <c r="O55" s="111"/>
      <c r="P55" s="112"/>
      <c r="Q55" s="165"/>
      <c r="R55" s="110"/>
      <c r="S55" s="758"/>
      <c r="T55" s="113"/>
      <c r="U55" s="69"/>
      <c r="V55" s="21" t="s">
        <v>32</v>
      </c>
      <c r="W55" s="21"/>
      <c r="X55" s="21"/>
      <c r="Y55" s="21"/>
      <c r="Z55" s="21"/>
      <c r="AA55" s="21"/>
      <c r="AB55" s="21"/>
    </row>
    <row r="56" spans="1:28" s="22" customFormat="1" ht="11.25">
      <c r="A56" s="47" t="s">
        <v>86</v>
      </c>
      <c r="B56" s="114" t="s">
        <v>87</v>
      </c>
      <c r="C56" s="114" t="s">
        <v>87</v>
      </c>
      <c r="D56" s="114" t="s">
        <v>87</v>
      </c>
      <c r="E56" s="136"/>
      <c r="F56" s="137"/>
      <c r="G56" s="116"/>
      <c r="H56" s="117" t="s">
        <v>25</v>
      </c>
      <c r="I56" s="116"/>
      <c r="J56" s="53" t="s">
        <v>565</v>
      </c>
      <c r="K56" s="54" t="s">
        <v>565</v>
      </c>
      <c r="L56" s="118"/>
      <c r="M56" s="55" t="s">
        <v>195</v>
      </c>
      <c r="N56" s="53" t="s">
        <v>26</v>
      </c>
      <c r="O56" s="53" t="s">
        <v>26</v>
      </c>
      <c r="P56" s="54" t="s">
        <v>27</v>
      </c>
      <c r="Q56" s="54" t="s">
        <v>27</v>
      </c>
      <c r="R56" s="206" t="s">
        <v>28</v>
      </c>
      <c r="S56" s="759"/>
      <c r="T56" s="54"/>
      <c r="U56" s="69"/>
      <c r="V56" s="21" t="s">
        <v>32</v>
      </c>
      <c r="W56" s="21"/>
      <c r="X56" s="21"/>
      <c r="Y56" s="21"/>
      <c r="Z56" s="21"/>
      <c r="AA56" s="21"/>
      <c r="AB56" s="21"/>
    </row>
    <row r="57" spans="1:28" s="22" customFormat="1" ht="11.25">
      <c r="A57" s="33" t="s">
        <v>88</v>
      </c>
      <c r="B57" s="58">
        <f>IF($B$5=1,C57,D57)</f>
        <v>19546300</v>
      </c>
      <c r="C57" s="59">
        <v>19546300</v>
      </c>
      <c r="D57" s="59">
        <v>20608570</v>
      </c>
      <c r="E57" s="58"/>
      <c r="F57" s="60">
        <v>0.63700000000000001</v>
      </c>
      <c r="G57" s="61">
        <v>11100</v>
      </c>
      <c r="H57" s="62">
        <v>1.11E-2</v>
      </c>
      <c r="I57" s="63"/>
      <c r="J57" s="138">
        <f>2000*gperlb*F57/CO2_C_Ratio/B57*1000000</f>
        <v>108304.52207876036</v>
      </c>
      <c r="K57" s="139">
        <f>J57</f>
        <v>108304.52207876036</v>
      </c>
      <c r="L57" s="58">
        <f>J57-K57</f>
        <v>0</v>
      </c>
      <c r="M57" s="65">
        <f>J57/JperBtu</f>
        <v>102.65288048851666</v>
      </c>
      <c r="N57" s="66">
        <f>B57*JperBtu/1000000/2000/gperlb*1000</f>
        <v>22.732113584710458</v>
      </c>
      <c r="O57" s="66">
        <f>D57*JperBtu/1000000/2000/gperlb*1000</f>
        <v>23.9675209148768</v>
      </c>
      <c r="P57" s="100">
        <f>B57/2000</f>
        <v>9773.15</v>
      </c>
      <c r="Q57" s="100">
        <f>D57/2000</f>
        <v>10304.285</v>
      </c>
      <c r="R57" s="140">
        <f>B57*JperBtu/1000000</f>
        <v>20622.438160854999</v>
      </c>
      <c r="S57" s="756">
        <f t="shared" si="11"/>
        <v>0.948454938891927</v>
      </c>
      <c r="T57" s="141"/>
      <c r="U57" s="69"/>
      <c r="V57" s="21" t="s">
        <v>32</v>
      </c>
      <c r="W57" s="21"/>
      <c r="X57" s="21"/>
      <c r="Y57" s="21"/>
      <c r="Z57" s="21"/>
      <c r="AA57" s="21"/>
      <c r="AB57" s="21"/>
    </row>
    <row r="58" spans="1:28" s="22" customFormat="1" ht="11.25">
      <c r="A58" s="33" t="s">
        <v>198</v>
      </c>
      <c r="B58" s="58">
        <f>IF($B$5=1,C58,D58)</f>
        <v>22460600</v>
      </c>
      <c r="C58" s="59">
        <v>22460600</v>
      </c>
      <c r="D58" s="59">
        <v>23445900</v>
      </c>
      <c r="E58" s="58"/>
      <c r="F58" s="60">
        <v>0.755</v>
      </c>
      <c r="G58" s="61">
        <v>11800</v>
      </c>
      <c r="H58" s="72">
        <v>1.18E-2</v>
      </c>
      <c r="I58" s="63"/>
      <c r="J58" s="138">
        <f>2000*gperlb*F58/CO2_C_Ratio/B58*1000000</f>
        <v>111711.35409407833</v>
      </c>
      <c r="K58" s="139">
        <f>J58</f>
        <v>111711.35409407833</v>
      </c>
      <c r="L58" s="58">
        <f>J58-K58</f>
        <v>0</v>
      </c>
      <c r="M58" s="65">
        <f>J58/JperBtu</f>
        <v>105.8819342066852</v>
      </c>
      <c r="N58" s="66">
        <f>B58*JperBtu/1000000/2000/gperlb*1000</f>
        <v>26.121409698037365</v>
      </c>
      <c r="O58" s="66">
        <f>D58*JperBtu/1000000/2000/gperlb*1000</f>
        <v>27.267301836959579</v>
      </c>
      <c r="P58" s="100">
        <f>B58/2000</f>
        <v>11230.3</v>
      </c>
      <c r="Q58" s="100">
        <f>D58/2000</f>
        <v>11722.95</v>
      </c>
      <c r="R58" s="140">
        <f>B58*JperBtu/1000000</f>
        <v>23697.187424509997</v>
      </c>
      <c r="S58" s="756">
        <f t="shared" si="11"/>
        <v>0.95797559488012818</v>
      </c>
      <c r="T58" s="141"/>
      <c r="U58" s="69"/>
      <c r="V58" s="21" t="s">
        <v>32</v>
      </c>
      <c r="W58" s="21"/>
      <c r="X58" s="21"/>
      <c r="Y58" s="21"/>
      <c r="Z58" s="21"/>
      <c r="AA58" s="21"/>
      <c r="AB58" s="21"/>
    </row>
    <row r="59" spans="1:28" s="22" customFormat="1" ht="11.25">
      <c r="A59" s="33" t="s">
        <v>89</v>
      </c>
      <c r="B59" s="58">
        <f>IF($B$5=1,C59,D59)</f>
        <v>24600497.144575384</v>
      </c>
      <c r="C59" s="59">
        <v>24600497.144575384</v>
      </c>
      <c r="D59" s="59">
        <v>25679670</v>
      </c>
      <c r="E59" s="58"/>
      <c r="F59" s="60">
        <v>0.747</v>
      </c>
      <c r="G59" s="61">
        <v>11800</v>
      </c>
      <c r="H59" s="72">
        <v>1.18E-2</v>
      </c>
      <c r="I59" s="63"/>
      <c r="J59" s="138">
        <f>2000*gperlb*F59/CO2_C_Ratio/B59*1000000</f>
        <v>100913.30643865402</v>
      </c>
      <c r="K59" s="139">
        <f>J59</f>
        <v>100913.30643865402</v>
      </c>
      <c r="L59" s="58">
        <f>J59-K59</f>
        <v>0</v>
      </c>
      <c r="M59" s="65">
        <f>J59/JperBtu</f>
        <v>95.64735974749965</v>
      </c>
      <c r="N59" s="66">
        <f>B59*JperBtu/1000000/2000/gperlb*1000</f>
        <v>28.610084534199981</v>
      </c>
      <c r="O59" s="66">
        <f>D59*JperBtu/1000000/2000/gperlb*1000</f>
        <v>29.865149683463457</v>
      </c>
      <c r="P59" s="100">
        <f>B59/2000</f>
        <v>12300.248572287692</v>
      </c>
      <c r="Q59" s="100">
        <f>D59/2000</f>
        <v>12839.834999999999</v>
      </c>
      <c r="R59" s="140">
        <f>B59*JperBtu/1000000</f>
        <v>25954.898425292555</v>
      </c>
      <c r="S59" s="756">
        <f t="shared" si="11"/>
        <v>0.95797559488012829</v>
      </c>
      <c r="T59" s="141"/>
      <c r="U59" s="69"/>
      <c r="V59" s="21" t="s">
        <v>32</v>
      </c>
      <c r="W59" s="21"/>
      <c r="X59" s="21"/>
      <c r="Y59" s="21"/>
      <c r="Z59" s="21"/>
      <c r="AA59" s="21"/>
      <c r="AB59" s="21"/>
    </row>
    <row r="60" spans="1:28" s="22" customFormat="1" ht="11.25">
      <c r="A60" s="33" t="s">
        <v>90</v>
      </c>
      <c r="B60" s="58"/>
      <c r="C60" s="59"/>
      <c r="D60" s="59"/>
      <c r="E60" s="58"/>
      <c r="F60" s="60"/>
      <c r="G60" s="61"/>
      <c r="H60" s="72"/>
      <c r="I60" s="63"/>
      <c r="J60" s="138"/>
      <c r="K60" s="139"/>
      <c r="L60" s="58"/>
      <c r="M60" s="65"/>
      <c r="N60" s="66"/>
      <c r="O60" s="66"/>
      <c r="P60" s="100"/>
      <c r="Q60" s="100"/>
      <c r="R60" s="140"/>
      <c r="S60" s="756"/>
      <c r="T60" s="141"/>
      <c r="U60" s="69"/>
      <c r="V60" s="21"/>
      <c r="W60" s="21"/>
      <c r="X60" s="21"/>
      <c r="Y60" s="21"/>
      <c r="Z60" s="21"/>
      <c r="AA60" s="21"/>
      <c r="AB60" s="21"/>
    </row>
    <row r="61" spans="1:28" s="22" customFormat="1" ht="11.25">
      <c r="A61" s="33" t="s">
        <v>91</v>
      </c>
      <c r="B61" s="58">
        <f>IF($B$5=1,C61,D61)</f>
        <v>16811000</v>
      </c>
      <c r="C61" s="59">
        <v>16811000</v>
      </c>
      <c r="D61" s="59">
        <v>17703170</v>
      </c>
      <c r="E61" s="58"/>
      <c r="F61" s="60">
        <v>0.51700000000000002</v>
      </c>
      <c r="G61" s="61">
        <v>0</v>
      </c>
      <c r="H61" s="72">
        <v>0</v>
      </c>
      <c r="I61" s="63"/>
      <c r="J61" s="138">
        <f>2000*gperlb*F61/CO2_C_Ratio/B61*1000000</f>
        <v>102204.19289945686</v>
      </c>
      <c r="K61" s="139">
        <v>0</v>
      </c>
      <c r="L61" s="58">
        <f t="shared" ref="L61:L67" si="28">J61-K61</f>
        <v>102204.19289945686</v>
      </c>
      <c r="M61" s="65">
        <f>J61/JperBtu</f>
        <v>96.870884038467594</v>
      </c>
      <c r="N61" s="66">
        <f>B61*JperBtu/1000000/2000/gperlb*1000</f>
        <v>19.550992334741998</v>
      </c>
      <c r="O61" s="66">
        <f>D61*JperBtu/1000000/2000/gperlb*1000</f>
        <v>20.588575395314642</v>
      </c>
      <c r="P61" s="100">
        <f>B61/2000</f>
        <v>8405.5</v>
      </c>
      <c r="Q61" s="100">
        <f>D61/2000</f>
        <v>8851.5849999999991</v>
      </c>
      <c r="R61" s="140">
        <f>B61*JperBtu/1000000</f>
        <v>17736.543894349998</v>
      </c>
      <c r="S61" s="756">
        <f t="shared" si="11"/>
        <v>0.94960394098909984</v>
      </c>
      <c r="T61" s="141"/>
      <c r="U61" s="69"/>
      <c r="V61" s="21" t="s">
        <v>32</v>
      </c>
      <c r="W61" s="21"/>
      <c r="X61" s="21"/>
      <c r="Y61" s="21"/>
      <c r="Z61" s="21"/>
      <c r="AA61" s="21"/>
      <c r="AB61" s="21"/>
    </row>
    <row r="62" spans="1:28" s="22" customFormat="1" ht="11.25">
      <c r="A62" s="33" t="s">
        <v>92</v>
      </c>
      <c r="B62" s="58">
        <f>IF($B$5=1,C62,D62)</f>
        <v>14797554.763920812</v>
      </c>
      <c r="C62" s="127">
        <v>14797554.763920812</v>
      </c>
      <c r="D62" s="59">
        <v>15582870</v>
      </c>
      <c r="E62" s="58"/>
      <c r="F62" s="60">
        <v>0.42599999999999999</v>
      </c>
      <c r="G62" s="61">
        <v>0</v>
      </c>
      <c r="H62" s="72">
        <v>0</v>
      </c>
      <c r="I62" s="63"/>
      <c r="J62" s="138">
        <f>2000*gperlb*F62/CO2_C_Ratio/B62*1000000</f>
        <v>95673.433753335368</v>
      </c>
      <c r="K62" s="139">
        <v>0</v>
      </c>
      <c r="L62" s="58">
        <f t="shared" si="28"/>
        <v>95673.433753335368</v>
      </c>
      <c r="M62" s="65">
        <f>J62/JperBtu</f>
        <v>90.680918695759445</v>
      </c>
      <c r="N62" s="66">
        <f>B62*JperBtu/1000000/2000/gperlb*1000</f>
        <v>17.209379558761572</v>
      </c>
      <c r="O62" s="66">
        <f>D62*JperBtu/1000000/2000/gperlb*1000</f>
        <v>18.122691804371016</v>
      </c>
      <c r="P62" s="100">
        <f>B62/2000</f>
        <v>7398.7773819604063</v>
      </c>
      <c r="Q62" s="100">
        <f>D62/2000</f>
        <v>7791.4350000000004</v>
      </c>
      <c r="R62" s="140">
        <f>B62*JperBtu/1000000</f>
        <v>15612.246719370021</v>
      </c>
      <c r="S62" s="756">
        <f t="shared" si="11"/>
        <v>0.94960394098909973</v>
      </c>
      <c r="T62" s="141"/>
      <c r="U62" s="69"/>
      <c r="V62" s="21" t="s">
        <v>32</v>
      </c>
      <c r="W62" s="21"/>
      <c r="X62" s="21"/>
      <c r="Y62" s="21"/>
      <c r="Z62" s="21"/>
      <c r="AA62" s="21"/>
      <c r="AB62" s="21"/>
    </row>
    <row r="63" spans="1:28" s="22" customFormat="1" ht="11.25">
      <c r="A63" s="33" t="s">
        <v>93</v>
      </c>
      <c r="B63" s="58">
        <f>IF($B$5=1,C63,D63)</f>
        <v>14075990</v>
      </c>
      <c r="C63" s="89">
        <v>14075990</v>
      </c>
      <c r="D63" s="89">
        <v>14974460</v>
      </c>
      <c r="E63" s="58"/>
      <c r="F63" s="87">
        <v>0.44500000000000001</v>
      </c>
      <c r="G63" s="61">
        <v>0</v>
      </c>
      <c r="H63" s="72">
        <v>0</v>
      </c>
      <c r="I63" s="63"/>
      <c r="J63" s="138">
        <f>2000*gperlb*F63/CO2_C_Ratio/B63*1000000</f>
        <v>105063.72134305202</v>
      </c>
      <c r="K63" s="139">
        <v>0</v>
      </c>
      <c r="L63" s="58">
        <f t="shared" si="28"/>
        <v>105063.72134305202</v>
      </c>
      <c r="M63" s="65">
        <f>J63/JperBtu</f>
        <v>99.58119406006044</v>
      </c>
      <c r="N63" s="66">
        <f>B63*JperBtu/1000000/2000/gperlb*1000</f>
        <v>16.370208351311941</v>
      </c>
      <c r="O63" s="66">
        <f>D63*JperBtu/1000000/2000/gperlb*1000</f>
        <v>17.415118236684357</v>
      </c>
      <c r="P63" s="100">
        <f>B63/2000</f>
        <v>7037.9949999999999</v>
      </c>
      <c r="Q63" s="100">
        <f>D63/2000</f>
        <v>7487.23</v>
      </c>
      <c r="R63" s="140">
        <f>B63*JperBtu/1000000</f>
        <v>14850.955594041499</v>
      </c>
      <c r="S63" s="756">
        <f t="shared" si="11"/>
        <v>0.93999983972710877</v>
      </c>
      <c r="T63" s="141"/>
      <c r="U63" s="69"/>
      <c r="V63" s="21" t="s">
        <v>32</v>
      </c>
      <c r="W63" s="21"/>
      <c r="X63" s="21"/>
      <c r="Y63" s="21"/>
      <c r="Z63" s="21"/>
      <c r="AA63" s="21"/>
      <c r="AB63" s="21"/>
    </row>
    <row r="64" spans="1:28" s="22" customFormat="1" ht="11.25">
      <c r="A64" s="142" t="s">
        <v>94</v>
      </c>
      <c r="B64" s="58">
        <f>IF($B$5=1,C64,D64)</f>
        <v>13243490</v>
      </c>
      <c r="C64" s="89">
        <v>13243490</v>
      </c>
      <c r="D64" s="89">
        <v>14164160</v>
      </c>
      <c r="E64" s="58"/>
      <c r="F64" s="87">
        <v>0.51700000000000002</v>
      </c>
      <c r="G64" s="82">
        <v>0</v>
      </c>
      <c r="H64" s="72">
        <v>0</v>
      </c>
      <c r="I64" s="63"/>
      <c r="J64" s="138">
        <f>2000*gperlb*F64/CO2_C_Ratio/B64*1000000</f>
        <v>129735.79372452197</v>
      </c>
      <c r="K64" s="139">
        <v>0</v>
      </c>
      <c r="L64" s="58">
        <f t="shared" si="28"/>
        <v>129735.79372452197</v>
      </c>
      <c r="M64" s="65">
        <f>J64/JperBtu</f>
        <v>122.96580671489758</v>
      </c>
      <c r="N64" s="66">
        <f>B64*JperBtu/1000000/2000/gperlb*1000</f>
        <v>15.402020788485654</v>
      </c>
      <c r="O64" s="66">
        <f>D64*JperBtu/1000000/2000/gperlb*1000</f>
        <v>16.472749008866771</v>
      </c>
      <c r="P64" s="100">
        <f>B64/2000</f>
        <v>6621.7449999999999</v>
      </c>
      <c r="Q64" s="100">
        <f>D64/2000</f>
        <v>7082.08</v>
      </c>
      <c r="R64" s="140">
        <f>B64*JperBtu/1000000</f>
        <v>13972.621598916499</v>
      </c>
      <c r="S64" s="756">
        <f t="shared" si="11"/>
        <v>0.93500002824029094</v>
      </c>
      <c r="T64" s="141"/>
      <c r="U64" s="69"/>
      <c r="V64" s="21" t="s">
        <v>32</v>
      </c>
      <c r="W64" s="21"/>
      <c r="X64" s="21"/>
      <c r="Y64" s="21"/>
      <c r="Z64" s="21"/>
      <c r="AA64" s="21"/>
      <c r="AB64" s="21"/>
    </row>
    <row r="65" spans="1:28" s="22" customFormat="1" ht="11.25">
      <c r="A65" s="142" t="s">
        <v>95</v>
      </c>
      <c r="B65" s="58"/>
      <c r="C65" s="127"/>
      <c r="D65" s="58"/>
      <c r="E65" s="58"/>
      <c r="F65" s="87">
        <v>0.5</v>
      </c>
      <c r="G65" s="82"/>
      <c r="H65" s="72"/>
      <c r="I65" s="63"/>
      <c r="J65" s="138"/>
      <c r="K65" s="139"/>
      <c r="L65" s="58"/>
      <c r="M65" s="65"/>
      <c r="N65" s="66"/>
      <c r="O65" s="66"/>
      <c r="P65" s="100"/>
      <c r="Q65" s="100"/>
      <c r="R65" s="140"/>
      <c r="S65" s="756"/>
      <c r="T65" s="141"/>
      <c r="U65" s="69"/>
      <c r="V65" s="21" t="s">
        <v>96</v>
      </c>
      <c r="W65" s="21"/>
      <c r="X65" s="21"/>
      <c r="Y65" s="21"/>
      <c r="Z65" s="21"/>
      <c r="AA65" s="21"/>
      <c r="AB65" s="21"/>
    </row>
    <row r="66" spans="1:28" s="3" customFormat="1" ht="15">
      <c r="A66" s="142" t="s">
        <v>97</v>
      </c>
      <c r="B66" s="58">
        <f>IF($B$5=1,C66,D66)</f>
        <v>12947317.535545025</v>
      </c>
      <c r="C66" s="89">
        <v>12947317.535545025</v>
      </c>
      <c r="D66" s="58">
        <v>14062678</v>
      </c>
      <c r="E66" s="58"/>
      <c r="F66" s="87">
        <v>0.46300000000000002</v>
      </c>
      <c r="G66" s="82"/>
      <c r="H66" s="72"/>
      <c r="I66" s="63"/>
      <c r="J66" s="138">
        <f>2000*gperlb*F66/CO2_C_Ratio/B66*1000000</f>
        <v>118842.80938693376</v>
      </c>
      <c r="K66" s="139">
        <v>0</v>
      </c>
      <c r="L66" s="58">
        <f t="shared" si="28"/>
        <v>118842.80938693376</v>
      </c>
      <c r="M66" s="65">
        <f>J66/JperBtu</f>
        <v>112.64124964278788</v>
      </c>
      <c r="N66" s="66">
        <f>B66*JperBtu/1000000/2000/gperlb*1000</f>
        <v>15.057575747600469</v>
      </c>
      <c r="O66" s="66">
        <f>D66*JperBtu/1000000/2000/gperlb*1000</f>
        <v>16.35472665421123</v>
      </c>
      <c r="P66" s="100">
        <f>B66/2000</f>
        <v>6473.6587677725129</v>
      </c>
      <c r="Q66" s="100">
        <f>D66/2000</f>
        <v>7031.3389999999999</v>
      </c>
      <c r="R66" s="140">
        <f>B66*JperBtu/1000000</f>
        <v>13660.14310768436</v>
      </c>
      <c r="S66" s="756">
        <f t="shared" si="11"/>
        <v>0.92068648201608727</v>
      </c>
      <c r="T66" s="755"/>
      <c r="U66" s="69"/>
      <c r="V66" s="21" t="s">
        <v>96</v>
      </c>
      <c r="W66" s="2"/>
      <c r="X66" s="2"/>
      <c r="Y66" s="2"/>
      <c r="Z66" s="2"/>
      <c r="AA66" s="2"/>
      <c r="AB66" s="2"/>
    </row>
    <row r="67" spans="1:28" s="3" customFormat="1" ht="15">
      <c r="A67" s="33" t="s">
        <v>98</v>
      </c>
      <c r="B67" s="58">
        <f>IF($B$5=1,C67,D67)</f>
        <v>25370000</v>
      </c>
      <c r="C67" s="89">
        <v>25370000</v>
      </c>
      <c r="D67" s="58">
        <v>26920000</v>
      </c>
      <c r="E67" s="58"/>
      <c r="F67" s="87">
        <v>0.79900000000000004</v>
      </c>
      <c r="G67" s="82">
        <v>68000</v>
      </c>
      <c r="H67" s="72">
        <v>6.8000000000000005E-2</v>
      </c>
      <c r="I67" s="63"/>
      <c r="J67" s="138">
        <f>2000*gperlb*F67/CO2_C_Ratio/B67*1000000</f>
        <v>104664.16911942193</v>
      </c>
      <c r="K67" s="139">
        <f>J67</f>
        <v>104664.16911942193</v>
      </c>
      <c r="L67" s="58">
        <f t="shared" si="28"/>
        <v>0</v>
      </c>
      <c r="M67" s="65">
        <f>J67/JperBtu</f>
        <v>99.202491621104173</v>
      </c>
      <c r="N67" s="66">
        <f>B67*JperBtu/1000000/2000/gperlb*1000</f>
        <v>29.505007169853346</v>
      </c>
      <c r="O67" s="66">
        <f>D67*JperBtu/1000000/2000/gperlb*1000</f>
        <v>31.30763866820859</v>
      </c>
      <c r="P67" s="100">
        <f>B67/2000</f>
        <v>12685</v>
      </c>
      <c r="Q67" s="100">
        <f>D67/2000</f>
        <v>13460</v>
      </c>
      <c r="R67" s="140">
        <f>B67*JperBtu/1000000</f>
        <v>26766.7669145</v>
      </c>
      <c r="S67" s="756">
        <f t="shared" si="11"/>
        <v>0.94242199108469538</v>
      </c>
      <c r="T67" s="141"/>
      <c r="U67" s="69"/>
      <c r="V67" s="21" t="s">
        <v>96</v>
      </c>
      <c r="W67" s="2"/>
      <c r="X67" s="2"/>
      <c r="Y67" s="2"/>
      <c r="Z67" s="2"/>
      <c r="AA67" s="2"/>
      <c r="AB67" s="2"/>
    </row>
    <row r="68" spans="1:28" s="3" customFormat="1" ht="15">
      <c r="A68" s="33" t="s">
        <v>99</v>
      </c>
      <c r="B68" s="58"/>
      <c r="C68" s="58"/>
      <c r="D68" s="58"/>
      <c r="E68" s="58"/>
      <c r="F68" s="58"/>
      <c r="G68" s="82"/>
      <c r="H68" s="72"/>
      <c r="I68" s="63"/>
      <c r="J68" s="138"/>
      <c r="K68" s="139"/>
      <c r="L68" s="58"/>
      <c r="M68" s="65"/>
      <c r="N68" s="66"/>
      <c r="O68" s="66"/>
      <c r="P68" s="100"/>
      <c r="Q68" s="100"/>
      <c r="R68" s="140"/>
      <c r="S68" s="140"/>
      <c r="T68" s="141"/>
      <c r="U68" s="69"/>
      <c r="V68" s="21"/>
      <c r="W68" s="2"/>
      <c r="X68" s="2"/>
      <c r="Y68" s="2"/>
      <c r="Z68" s="2"/>
      <c r="AA68" s="2"/>
      <c r="AB68" s="2"/>
    </row>
    <row r="69" spans="1:28" s="3" customFormat="1" ht="15.75" thickBot="1">
      <c r="A69" s="143" t="s">
        <v>100</v>
      </c>
      <c r="B69" s="102"/>
      <c r="C69" s="102"/>
      <c r="D69" s="102"/>
      <c r="E69" s="102"/>
      <c r="F69" s="102"/>
      <c r="G69" s="144"/>
      <c r="H69" s="144"/>
      <c r="I69" s="107"/>
      <c r="J69" s="108"/>
      <c r="K69" s="102"/>
      <c r="L69" s="102"/>
      <c r="M69" s="110"/>
      <c r="N69" s="111"/>
      <c r="O69" s="111"/>
      <c r="P69" s="112"/>
      <c r="Q69" s="112"/>
      <c r="R69" s="145"/>
      <c r="S69" s="145"/>
      <c r="T69" s="5"/>
      <c r="U69" s="69"/>
      <c r="V69" s="21" t="s">
        <v>101</v>
      </c>
      <c r="W69" s="2"/>
      <c r="X69" s="2"/>
      <c r="Y69" s="2"/>
      <c r="Z69" s="2"/>
      <c r="AA69" s="2"/>
      <c r="AB69" s="2"/>
    </row>
    <row r="70" spans="1:28" s="22" customFormat="1" ht="11.25">
      <c r="A70" s="150" t="s">
        <v>102</v>
      </c>
      <c r="B70" s="151" t="s">
        <v>23</v>
      </c>
      <c r="C70" s="151" t="s">
        <v>23</v>
      </c>
      <c r="D70" s="152" t="s">
        <v>23</v>
      </c>
      <c r="E70" s="152" t="s">
        <v>24</v>
      </c>
      <c r="F70" s="147"/>
      <c r="G70" s="153"/>
      <c r="H70" s="154" t="s">
        <v>25</v>
      </c>
      <c r="I70" s="155" t="s">
        <v>308</v>
      </c>
      <c r="J70" s="156" t="s">
        <v>565</v>
      </c>
      <c r="K70" s="146" t="s">
        <v>565</v>
      </c>
      <c r="L70" s="146" t="s">
        <v>565</v>
      </c>
      <c r="M70" s="119" t="s">
        <v>195</v>
      </c>
      <c r="N70" s="156" t="s">
        <v>26</v>
      </c>
      <c r="O70" s="156" t="s">
        <v>26</v>
      </c>
      <c r="P70" s="146" t="s">
        <v>27</v>
      </c>
      <c r="Q70" s="146"/>
      <c r="R70" s="56" t="s">
        <v>28</v>
      </c>
      <c r="S70" s="56"/>
      <c r="T70" s="146" t="s">
        <v>29</v>
      </c>
      <c r="U70" s="157" t="s">
        <v>30</v>
      </c>
      <c r="V70" s="21"/>
      <c r="W70" s="21"/>
      <c r="X70" s="21"/>
      <c r="Y70" s="21"/>
      <c r="Z70" s="21"/>
      <c r="AA70" s="21"/>
      <c r="AB70" s="21"/>
    </row>
    <row r="71" spans="1:28" s="22" customFormat="1" ht="11.25">
      <c r="A71" s="142" t="s">
        <v>103</v>
      </c>
      <c r="B71" s="127">
        <f t="shared" ref="B71:B76" si="29">IF($B$5=1,C71,D71)</f>
        <v>124307.05985336418</v>
      </c>
      <c r="C71" s="127">
        <f t="shared" ref="C71:C76" si="30">P71*E71/gperlb</f>
        <v>124307.05985336418</v>
      </c>
      <c r="D71" s="58">
        <f t="shared" ref="D71:D76" si="31">C71*1.06951867366428</f>
        <v>132948.72178147634</v>
      </c>
      <c r="E71" s="58">
        <f t="shared" ref="E71:E76" si="32">U71*1000*Lpergal</f>
        <v>3035.90024756</v>
      </c>
      <c r="F71" s="158">
        <v>0.86199999999999999</v>
      </c>
      <c r="G71" s="61">
        <v>700</v>
      </c>
      <c r="H71" s="72">
        <f t="shared" ref="H71:H76" si="33">G71/1000000</f>
        <v>6.9999999999999999E-4</v>
      </c>
      <c r="I71" s="63">
        <f t="shared" ref="I71:I76" si="34">E71*H71/B71*1000000</f>
        <v>17.095812384259258</v>
      </c>
      <c r="J71" s="64">
        <f t="shared" ref="J71:J76" si="35">E71*F71/CO2_C_Ratio/B71*1000000</f>
        <v>77120.616800356263</v>
      </c>
      <c r="K71" s="58">
        <f t="shared" ref="K71:K76" si="36">E71*F71/CO2_C_Ratio/B71*1000000</f>
        <v>77120.616800356263</v>
      </c>
      <c r="L71" s="58">
        <f t="shared" ref="L71:L76" si="37">J71-K71</f>
        <v>0</v>
      </c>
      <c r="M71" s="65">
        <f t="shared" ref="M71:M76" si="38">J71/JperBtu</f>
        <v>73.096241114019008</v>
      </c>
      <c r="N71" s="159">
        <v>43.2</v>
      </c>
      <c r="O71" s="159">
        <v>43.2</v>
      </c>
      <c r="P71" s="67">
        <f t="shared" ref="P71:P76" si="39">N71/lbperkg*BtuperMJ</f>
        <v>18572.847545684017</v>
      </c>
      <c r="Q71" s="67"/>
      <c r="R71" s="65">
        <f t="shared" ref="R71:R76" si="40">N71*E71/1000</f>
        <v>131.15089069459199</v>
      </c>
      <c r="S71" s="65"/>
      <c r="T71" s="68">
        <f t="shared" ref="T71:T76" si="41">E71/gperlb</f>
        <v>6.6929456857707752</v>
      </c>
      <c r="U71" s="160">
        <v>0.80200000000000005</v>
      </c>
      <c r="V71" s="21" t="s">
        <v>34</v>
      </c>
      <c r="W71" s="158">
        <v>0.86199999999999999</v>
      </c>
      <c r="X71" s="21"/>
      <c r="Y71" s="21"/>
      <c r="Z71" s="21"/>
      <c r="AA71" s="21"/>
      <c r="AB71" s="21"/>
    </row>
    <row r="72" spans="1:28" s="22" customFormat="1" ht="11.25">
      <c r="A72" s="142" t="s">
        <v>104</v>
      </c>
      <c r="B72" s="127">
        <f t="shared" si="29"/>
        <v>123041.25645917986</v>
      </c>
      <c r="C72" s="127">
        <f t="shared" si="30"/>
        <v>123041.25645917986</v>
      </c>
      <c r="D72" s="58">
        <f t="shared" si="31"/>
        <v>131594.92141420857</v>
      </c>
      <c r="E72" s="58">
        <f t="shared" si="32"/>
        <v>2998.04612976</v>
      </c>
      <c r="F72" s="158">
        <v>0.86</v>
      </c>
      <c r="G72" s="61">
        <v>11</v>
      </c>
      <c r="H72" s="72">
        <f t="shared" si="33"/>
        <v>1.1E-5</v>
      </c>
      <c r="I72" s="63">
        <f t="shared" si="34"/>
        <v>0.268028045034642</v>
      </c>
      <c r="J72" s="64">
        <f t="shared" si="35"/>
        <v>76763.98823743152</v>
      </c>
      <c r="K72" s="58">
        <f t="shared" si="36"/>
        <v>76763.98823743152</v>
      </c>
      <c r="L72" s="58">
        <f t="shared" si="37"/>
        <v>0</v>
      </c>
      <c r="M72" s="65">
        <f t="shared" si="38"/>
        <v>72.758222455646802</v>
      </c>
      <c r="N72" s="159">
        <v>43.3</v>
      </c>
      <c r="O72" s="159">
        <v>43.3</v>
      </c>
      <c r="P72" s="67">
        <f t="shared" si="39"/>
        <v>18615.840248336062</v>
      </c>
      <c r="Q72" s="67"/>
      <c r="R72" s="65">
        <f t="shared" si="40"/>
        <v>129.815397418608</v>
      </c>
      <c r="S72" s="65"/>
      <c r="T72" s="68">
        <f t="shared" si="41"/>
        <v>6.6094924976688949</v>
      </c>
      <c r="U72" s="160">
        <v>0.79200000000000004</v>
      </c>
      <c r="V72" s="21" t="s">
        <v>34</v>
      </c>
      <c r="W72" s="158">
        <v>0.86</v>
      </c>
      <c r="X72" s="21"/>
      <c r="Y72" s="21"/>
      <c r="Z72" s="21"/>
      <c r="AA72" s="21"/>
      <c r="AB72" s="21"/>
    </row>
    <row r="73" spans="1:28" s="22" customFormat="1" ht="12" thickBot="1">
      <c r="A73" s="161" t="s">
        <v>105</v>
      </c>
      <c r="B73" s="133">
        <f t="shared" si="29"/>
        <v>119776.64617468923</v>
      </c>
      <c r="C73" s="133">
        <f t="shared" si="30"/>
        <v>119776.64617468923</v>
      </c>
      <c r="D73" s="102">
        <f t="shared" si="31"/>
        <v>128103.3597527094</v>
      </c>
      <c r="E73" s="102">
        <f t="shared" si="32"/>
        <v>2865.5567174600001</v>
      </c>
      <c r="F73" s="162">
        <v>0.84699999999999998</v>
      </c>
      <c r="G73" s="105">
        <v>0</v>
      </c>
      <c r="H73" s="163">
        <f t="shared" si="33"/>
        <v>0</v>
      </c>
      <c r="I73" s="107">
        <f t="shared" si="34"/>
        <v>0</v>
      </c>
      <c r="J73" s="108">
        <f t="shared" si="35"/>
        <v>74232.10844820505</v>
      </c>
      <c r="K73" s="102">
        <f t="shared" si="36"/>
        <v>74232.10844820505</v>
      </c>
      <c r="L73" s="102">
        <f t="shared" si="37"/>
        <v>0</v>
      </c>
      <c r="M73" s="110">
        <f t="shared" si="38"/>
        <v>70.358463438883405</v>
      </c>
      <c r="N73" s="164">
        <v>44.1</v>
      </c>
      <c r="O73" s="164">
        <v>44.1</v>
      </c>
      <c r="P73" s="165">
        <f t="shared" si="39"/>
        <v>18959.781869552433</v>
      </c>
      <c r="Q73" s="165"/>
      <c r="R73" s="110">
        <f t="shared" si="40"/>
        <v>126.371051239986</v>
      </c>
      <c r="S73" s="110"/>
      <c r="T73" s="113">
        <f t="shared" si="41"/>
        <v>6.3174063393123152</v>
      </c>
      <c r="U73" s="166">
        <v>0.75700000000000001</v>
      </c>
      <c r="V73" s="21" t="s">
        <v>34</v>
      </c>
      <c r="W73" s="162">
        <v>0.84699999999999998</v>
      </c>
      <c r="X73" s="21"/>
      <c r="Y73" s="21"/>
      <c r="Z73" s="21"/>
      <c r="AA73" s="21"/>
      <c r="AB73" s="21"/>
    </row>
    <row r="74" spans="1:28" s="22" customFormat="1" ht="11.25">
      <c r="A74" s="142" t="s">
        <v>106</v>
      </c>
      <c r="B74" s="127">
        <f t="shared" si="29"/>
        <v>118256.4622231136</v>
      </c>
      <c r="C74" s="127">
        <f t="shared" si="30"/>
        <v>118256.4622231136</v>
      </c>
      <c r="D74" s="58">
        <f t="shared" si="31"/>
        <v>126477.49462909451</v>
      </c>
      <c r="E74" s="58">
        <f t="shared" si="32"/>
        <v>3028.329424</v>
      </c>
      <c r="F74" s="167">
        <v>0.85099999999999998</v>
      </c>
      <c r="G74" s="61">
        <v>0</v>
      </c>
      <c r="H74" s="72">
        <f t="shared" si="33"/>
        <v>0</v>
      </c>
      <c r="I74" s="63">
        <f t="shared" si="34"/>
        <v>0</v>
      </c>
      <c r="J74" s="64">
        <f t="shared" si="35"/>
        <v>79832.42458143337</v>
      </c>
      <c r="K74" s="58">
        <f t="shared" si="36"/>
        <v>79832.42458143337</v>
      </c>
      <c r="L74" s="58">
        <f t="shared" si="37"/>
        <v>0</v>
      </c>
      <c r="M74" s="65">
        <f t="shared" si="38"/>
        <v>75.666538962305523</v>
      </c>
      <c r="N74" s="168">
        <v>41.2</v>
      </c>
      <c r="O74" s="168">
        <v>41.2</v>
      </c>
      <c r="P74" s="67">
        <f t="shared" si="39"/>
        <v>17712.993492643091</v>
      </c>
      <c r="Q74" s="67"/>
      <c r="R74" s="65">
        <f t="shared" si="40"/>
        <v>124.76717226880001</v>
      </c>
      <c r="S74" s="65"/>
      <c r="T74" s="68">
        <f t="shared" si="41"/>
        <v>6.6762550481503986</v>
      </c>
      <c r="U74" s="160">
        <v>0.8</v>
      </c>
      <c r="V74" s="21" t="s">
        <v>107</v>
      </c>
      <c r="W74" s="167">
        <v>0.85099999999999998</v>
      </c>
      <c r="X74" s="21"/>
      <c r="Y74" s="21"/>
      <c r="Z74" s="21"/>
      <c r="AA74" s="21"/>
      <c r="AB74" s="21"/>
    </row>
    <row r="75" spans="1:28" s="22" customFormat="1" ht="11.25">
      <c r="A75" s="142" t="s">
        <v>108</v>
      </c>
      <c r="B75" s="127">
        <f t="shared" si="29"/>
        <v>126293.30917031548</v>
      </c>
      <c r="C75" s="127">
        <f t="shared" si="30"/>
        <v>126293.30917031548</v>
      </c>
      <c r="D75" s="58">
        <f t="shared" si="31"/>
        <v>135073.05251650867</v>
      </c>
      <c r="E75" s="58">
        <f t="shared" si="32"/>
        <v>3028.329424</v>
      </c>
      <c r="F75" s="158">
        <v>0.85</v>
      </c>
      <c r="G75" s="61">
        <v>1</v>
      </c>
      <c r="H75" s="72">
        <f t="shared" si="33"/>
        <v>9.9999999999999995E-7</v>
      </c>
      <c r="I75" s="63">
        <f t="shared" si="34"/>
        <v>2.3978542045454545E-2</v>
      </c>
      <c r="J75" s="64">
        <f t="shared" si="35"/>
        <v>74664.33898199437</v>
      </c>
      <c r="K75" s="58">
        <f t="shared" si="36"/>
        <v>74664.33898199437</v>
      </c>
      <c r="L75" s="58">
        <f t="shared" si="37"/>
        <v>0</v>
      </c>
      <c r="M75" s="65">
        <f t="shared" si="38"/>
        <v>70.768138939748425</v>
      </c>
      <c r="N75" s="159">
        <v>44</v>
      </c>
      <c r="O75" s="159">
        <v>44</v>
      </c>
      <c r="P75" s="67">
        <f t="shared" si="39"/>
        <v>18916.789166900387</v>
      </c>
      <c r="Q75" s="67"/>
      <c r="R75" s="65">
        <f t="shared" si="40"/>
        <v>133.24649465599998</v>
      </c>
      <c r="S75" s="65"/>
      <c r="T75" s="68">
        <f t="shared" si="41"/>
        <v>6.6762550481503986</v>
      </c>
      <c r="U75" s="160">
        <v>0.8</v>
      </c>
      <c r="V75" s="21" t="s">
        <v>107</v>
      </c>
      <c r="W75" s="158">
        <v>0.85</v>
      </c>
      <c r="X75" s="21"/>
      <c r="Y75" s="21"/>
      <c r="Z75" s="21"/>
      <c r="AA75" s="21"/>
      <c r="AB75" s="21"/>
    </row>
    <row r="76" spans="1:28" s="22" customFormat="1" ht="12" thickBot="1">
      <c r="A76" s="161" t="s">
        <v>246</v>
      </c>
      <c r="B76" s="133">
        <f t="shared" si="29"/>
        <v>124535.24890061507</v>
      </c>
      <c r="C76" s="133">
        <f t="shared" si="30"/>
        <v>124535.24890061507</v>
      </c>
      <c r="D76" s="102">
        <f t="shared" si="31"/>
        <v>133192.77422863682</v>
      </c>
      <c r="E76" s="102">
        <f t="shared" si="32"/>
        <v>2952.6211883999999</v>
      </c>
      <c r="F76" s="162">
        <v>0.84499999999999997</v>
      </c>
      <c r="G76" s="105">
        <v>2</v>
      </c>
      <c r="H76" s="163">
        <f t="shared" si="33"/>
        <v>1.9999999999999999E-6</v>
      </c>
      <c r="I76" s="107">
        <f t="shared" si="34"/>
        <v>4.7418240449438202E-2</v>
      </c>
      <c r="J76" s="108">
        <f t="shared" si="35"/>
        <v>73391.146684746855</v>
      </c>
      <c r="K76" s="102">
        <f t="shared" si="36"/>
        <v>73391.146684746855</v>
      </c>
      <c r="L76" s="102">
        <f t="shared" si="37"/>
        <v>0</v>
      </c>
      <c r="M76" s="110">
        <f t="shared" si="38"/>
        <v>69.561385479969474</v>
      </c>
      <c r="N76" s="164">
        <v>44.5</v>
      </c>
      <c r="O76" s="164">
        <v>44.5</v>
      </c>
      <c r="P76" s="165">
        <f t="shared" si="39"/>
        <v>19131.752680160618</v>
      </c>
      <c r="Q76" s="165"/>
      <c r="R76" s="110">
        <f t="shared" si="40"/>
        <v>131.39164288379999</v>
      </c>
      <c r="S76" s="110"/>
      <c r="T76" s="113">
        <f t="shared" si="41"/>
        <v>6.5093486719466389</v>
      </c>
      <c r="U76" s="166">
        <v>0.78</v>
      </c>
      <c r="V76" s="21" t="s">
        <v>107</v>
      </c>
      <c r="W76" s="162">
        <v>0.84499999999999997</v>
      </c>
      <c r="X76" s="21"/>
      <c r="Y76" s="21"/>
      <c r="Z76" s="21"/>
      <c r="AA76" s="21"/>
      <c r="AB76" s="21"/>
    </row>
    <row r="77" spans="1:28" s="22" customFormat="1" ht="11.25">
      <c r="A77" s="149"/>
      <c r="B77" s="149"/>
      <c r="C77" s="149"/>
      <c r="D77" s="21"/>
      <c r="E77" s="21"/>
      <c r="F77" s="21"/>
      <c r="G77" s="21"/>
      <c r="H77" s="21"/>
      <c r="I77" s="21"/>
      <c r="J77" s="21"/>
      <c r="K77" s="21"/>
      <c r="L77" s="21"/>
      <c r="M77" s="21"/>
      <c r="N77" s="21"/>
      <c r="O77" s="21"/>
      <c r="P77" s="21"/>
      <c r="Q77" s="21"/>
      <c r="R77" s="21"/>
      <c r="S77" s="21"/>
      <c r="T77" s="148"/>
      <c r="U77" s="148"/>
      <c r="V77" s="21"/>
      <c r="W77" s="21"/>
      <c r="X77" s="21"/>
      <c r="Y77" s="21"/>
      <c r="Z77" s="21"/>
      <c r="AA77" s="21"/>
      <c r="AB77" s="21"/>
    </row>
    <row r="78" spans="1:28" s="22" customFormat="1" ht="11.25">
      <c r="A78" s="149"/>
      <c r="B78" s="149"/>
      <c r="C78" s="149"/>
      <c r="D78" s="21"/>
      <c r="E78" s="21"/>
      <c r="F78" s="21"/>
      <c r="G78" s="21"/>
      <c r="H78" s="21"/>
      <c r="I78" s="21"/>
      <c r="J78" s="21"/>
      <c r="K78" s="21"/>
      <c r="L78" s="21"/>
      <c r="M78" s="21"/>
      <c r="N78" s="21"/>
      <c r="O78" s="21"/>
      <c r="P78" s="21"/>
      <c r="Q78" s="21"/>
      <c r="R78" s="21"/>
      <c r="S78" s="21"/>
      <c r="T78" s="169"/>
      <c r="U78" s="169"/>
      <c r="V78" s="21"/>
      <c r="W78" s="21"/>
      <c r="X78" s="21"/>
      <c r="Y78" s="21"/>
      <c r="Z78" s="21"/>
      <c r="AA78" s="21"/>
      <c r="AB78" s="21"/>
    </row>
    <row r="79" spans="1:28" s="22" customFormat="1" ht="11.25">
      <c r="A79" s="21"/>
      <c r="B79" s="21"/>
      <c r="C79" s="21"/>
      <c r="D79" s="21"/>
      <c r="E79" s="21"/>
      <c r="F79" s="21"/>
      <c r="G79" s="21"/>
      <c r="H79" s="21"/>
      <c r="I79" s="21"/>
      <c r="J79" s="21"/>
      <c r="K79" s="21"/>
      <c r="L79" s="21"/>
      <c r="M79" s="21"/>
      <c r="N79" s="21"/>
      <c r="O79" s="21"/>
      <c r="P79" s="21"/>
      <c r="Q79" s="21"/>
      <c r="R79" s="21"/>
      <c r="S79" s="21"/>
      <c r="T79" s="169"/>
      <c r="U79" s="169"/>
      <c r="V79" s="21"/>
      <c r="W79" s="21"/>
      <c r="X79" s="21"/>
      <c r="Y79" s="21"/>
      <c r="Z79" s="21"/>
      <c r="AA79" s="21"/>
      <c r="AB79" s="21"/>
    </row>
    <row r="80" spans="1:28" s="22" customFormat="1" ht="11.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row>
    <row r="81" spans="1:28" s="22" customFormat="1" ht="11.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row>
    <row r="82" spans="1:28" s="22" customFormat="1" ht="11.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row>
    <row r="83" spans="1:28" s="22" customFormat="1" ht="11.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row>
    <row r="84" spans="1:28" s="22" customFormat="1" ht="11.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row>
    <row r="85" spans="1:28" s="22" customFormat="1" ht="11.25">
      <c r="A85" s="21"/>
      <c r="B85" s="21"/>
      <c r="C85" s="21"/>
      <c r="D85" s="21"/>
      <c r="E85" s="21"/>
      <c r="F85" s="21"/>
      <c r="G85" s="21"/>
      <c r="H85" s="21"/>
      <c r="I85" s="21"/>
      <c r="J85" s="21"/>
      <c r="M85" s="21"/>
      <c r="N85" s="21"/>
      <c r="O85" s="21"/>
      <c r="P85" s="21"/>
      <c r="Q85" s="21"/>
      <c r="R85" s="21"/>
      <c r="S85" s="21"/>
      <c r="T85" s="21"/>
      <c r="U85" s="21"/>
      <c r="V85" s="21"/>
      <c r="W85" s="21"/>
      <c r="X85" s="21"/>
      <c r="Y85" s="21"/>
      <c r="Z85" s="21"/>
      <c r="AA85" s="21"/>
      <c r="AB85" s="21"/>
    </row>
    <row r="86" spans="1:28" s="22" customFormat="1" ht="11.25">
      <c r="A86" s="21"/>
      <c r="B86" s="21"/>
      <c r="C86" s="21"/>
      <c r="D86" s="21"/>
      <c r="E86" s="21"/>
      <c r="F86" s="21"/>
      <c r="G86" s="21"/>
      <c r="H86" s="21"/>
      <c r="I86" s="21"/>
      <c r="J86" s="21"/>
      <c r="M86" s="21"/>
      <c r="N86" s="21"/>
      <c r="O86" s="21"/>
      <c r="R86" s="21"/>
      <c r="S86" s="21"/>
      <c r="T86" s="21"/>
      <c r="U86" s="21"/>
      <c r="V86" s="21"/>
      <c r="W86" s="21"/>
      <c r="X86" s="21"/>
      <c r="Y86" s="21"/>
      <c r="Z86" s="21"/>
      <c r="AA86" s="21"/>
      <c r="AB86" s="21"/>
    </row>
    <row r="87" spans="1:28" s="22" customFormat="1" ht="11.25">
      <c r="A87" s="21"/>
      <c r="B87" s="21"/>
      <c r="C87" s="21"/>
      <c r="D87" s="21"/>
      <c r="E87" s="21"/>
      <c r="F87" s="21"/>
      <c r="G87" s="21"/>
      <c r="H87" s="21"/>
      <c r="I87" s="21"/>
      <c r="J87" s="21"/>
      <c r="M87" s="21"/>
      <c r="N87" s="21"/>
      <c r="O87" s="21"/>
      <c r="R87" s="21"/>
      <c r="S87" s="21"/>
      <c r="T87" s="21"/>
      <c r="U87" s="21"/>
      <c r="V87" s="21"/>
      <c r="W87" s="21"/>
      <c r="X87" s="21"/>
      <c r="Y87" s="21"/>
      <c r="Z87" s="21"/>
      <c r="AA87" s="21"/>
      <c r="AB87" s="21"/>
    </row>
    <row r="88" spans="1:28" s="22" customFormat="1" ht="11.25">
      <c r="A88" s="21"/>
      <c r="B88" s="21"/>
      <c r="C88" s="21"/>
      <c r="D88" s="21"/>
      <c r="E88" s="21"/>
      <c r="F88" s="21"/>
      <c r="G88" s="21"/>
      <c r="H88" s="21"/>
      <c r="I88" s="21"/>
      <c r="J88" s="21"/>
      <c r="M88" s="21"/>
      <c r="N88" s="21"/>
      <c r="O88" s="21"/>
      <c r="R88" s="21"/>
      <c r="S88" s="21"/>
      <c r="T88" s="21"/>
      <c r="U88" s="21"/>
      <c r="V88" s="21"/>
      <c r="W88" s="21"/>
      <c r="X88" s="21"/>
      <c r="Y88" s="21"/>
      <c r="Z88" s="21"/>
      <c r="AA88" s="21"/>
      <c r="AB88" s="21"/>
    </row>
    <row r="89" spans="1:28" s="22" customFormat="1" ht="11.25">
      <c r="N89" s="21"/>
      <c r="O89" s="21"/>
      <c r="U89" s="21"/>
      <c r="V89" s="21"/>
      <c r="W89" s="21"/>
      <c r="X89" s="21"/>
      <c r="Y89" s="21"/>
      <c r="Z89" s="21"/>
      <c r="AA89" s="21"/>
      <c r="AB89" s="21"/>
    </row>
    <row r="90" spans="1:28" s="22" customFormat="1" ht="11.25">
      <c r="L90" s="22" t="s">
        <v>109</v>
      </c>
      <c r="N90" s="21"/>
      <c r="O90" s="21"/>
      <c r="W90" s="21"/>
      <c r="X90" s="21"/>
      <c r="Y90" s="21"/>
      <c r="Z90" s="21"/>
      <c r="AA90" s="21"/>
      <c r="AB90" s="21"/>
    </row>
    <row r="91" spans="1:28" s="22" customFormat="1" ht="11.25">
      <c r="L91" s="22">
        <v>680</v>
      </c>
      <c r="W91" s="21"/>
      <c r="X91" s="21"/>
      <c r="Y91" s="21"/>
      <c r="Z91" s="21"/>
      <c r="AA91" s="21"/>
      <c r="AB91" s="21"/>
    </row>
    <row r="92" spans="1:28" s="22" customFormat="1" ht="11.25">
      <c r="A92" s="21"/>
      <c r="B92" s="21"/>
      <c r="C92" s="21"/>
      <c r="D92" s="21"/>
      <c r="E92" s="21"/>
      <c r="F92" s="21"/>
      <c r="G92" s="21"/>
      <c r="H92" s="21"/>
      <c r="I92" s="21"/>
      <c r="J92" s="21"/>
      <c r="K92" s="21"/>
      <c r="L92" s="21"/>
      <c r="M92" s="21"/>
      <c r="R92" s="21"/>
      <c r="S92" s="21"/>
      <c r="T92" s="21"/>
      <c r="U92" s="21"/>
      <c r="V92" s="21"/>
      <c r="W92" s="21"/>
      <c r="X92" s="21"/>
      <c r="Y92" s="21"/>
      <c r="Z92" s="21"/>
      <c r="AA92" s="21"/>
      <c r="AB92" s="21"/>
    </row>
    <row r="93" spans="1:28" s="22" customFormat="1" ht="11.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row>
    <row r="94" spans="1:28" s="22" customFormat="1" ht="11.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row>
    <row r="95" spans="1:28" s="22" customFormat="1" ht="11.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row>
    <row r="96" spans="1:28" s="22" customFormat="1" ht="11.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row>
    <row r="97" spans="1:28" s="22" customFormat="1" ht="11.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row>
    <row r="98" spans="1:28" s="22" customFormat="1" ht="11.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row>
    <row r="99" spans="1:28" s="22" customFormat="1" ht="11.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row>
    <row r="100" spans="1:28" s="22" customFormat="1" ht="11.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row>
    <row r="101" spans="1:28" s="22" customFormat="1" ht="11.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row>
    <row r="102" spans="1:28" s="22" customFormat="1" ht="11.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row>
    <row r="103" spans="1:28" s="22" customFormat="1" ht="11.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row>
    <row r="104" spans="1:28" s="22" customFormat="1" ht="11.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row>
    <row r="105" spans="1:28" s="22" customFormat="1" ht="11.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row>
    <row r="106" spans="1:28" s="22" customFormat="1" ht="11.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row>
    <row r="107" spans="1:28" s="22" customFormat="1" ht="11.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row>
    <row r="108" spans="1:28" s="22" customFormat="1" ht="11.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row>
    <row r="109" spans="1:28" s="22" customFormat="1" ht="11.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row>
    <row r="110" spans="1:28" s="22" customFormat="1" ht="11.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row>
    <row r="111" spans="1:28" s="22" customFormat="1" ht="11.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row>
    <row r="112" spans="1:28" s="22" customFormat="1" ht="11.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row>
    <row r="113" spans="1:28" s="22" customFormat="1" ht="11.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row>
    <row r="114" spans="1:28" s="22" customFormat="1" ht="11.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row>
    <row r="115" spans="1:28" s="22" customFormat="1" ht="11.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row>
    <row r="116" spans="1:28" s="22" customFormat="1" ht="11.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row>
    <row r="117" spans="1:28" s="22" customFormat="1" ht="11.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row>
    <row r="118" spans="1:28" s="22" customFormat="1" ht="11.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row>
    <row r="119" spans="1:28" s="22" customFormat="1" ht="11.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row>
    <row r="120" spans="1:28" s="22" customFormat="1" ht="11.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row>
    <row r="121" spans="1:28" s="22" customFormat="1" ht="11.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row>
    <row r="122" spans="1:28" s="22" customFormat="1" ht="11.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row>
    <row r="123" spans="1:28" s="22" customFormat="1" ht="11.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row>
    <row r="124" spans="1:28" s="22" customFormat="1">
      <c r="A124" s="21"/>
      <c r="B124" s="21"/>
      <c r="C124" s="21"/>
      <c r="D124" s="21"/>
      <c r="E124" s="21"/>
      <c r="F124" s="21"/>
      <c r="G124" s="21"/>
      <c r="H124" s="21"/>
      <c r="I124" s="21"/>
      <c r="J124" s="21"/>
      <c r="K124" s="21"/>
      <c r="L124" s="170"/>
      <c r="M124" s="21"/>
      <c r="N124" s="21"/>
      <c r="O124" s="21"/>
      <c r="P124" s="21"/>
      <c r="Q124" s="21"/>
      <c r="R124" s="21"/>
      <c r="S124" s="21"/>
      <c r="T124" s="21"/>
      <c r="U124" s="21"/>
      <c r="V124" s="21"/>
      <c r="W124" s="21"/>
      <c r="X124" s="21"/>
      <c r="Y124" s="21"/>
      <c r="Z124" s="21"/>
      <c r="AA124" s="21"/>
      <c r="AB124" s="21"/>
    </row>
    <row r="125" spans="1:28" s="22" customFormat="1">
      <c r="A125" s="21"/>
      <c r="B125" s="21"/>
      <c r="C125" s="21"/>
      <c r="D125" s="21"/>
      <c r="E125" s="21"/>
      <c r="F125" s="21"/>
      <c r="G125" s="21"/>
      <c r="H125" s="21"/>
      <c r="I125" s="21"/>
      <c r="J125" s="21"/>
      <c r="K125" s="21"/>
      <c r="L125" s="170"/>
      <c r="M125" s="21"/>
      <c r="N125" s="21"/>
      <c r="O125" s="21"/>
      <c r="P125" s="21"/>
      <c r="Q125" s="21"/>
      <c r="R125" s="21"/>
      <c r="S125" s="21"/>
      <c r="T125" s="21"/>
      <c r="U125" s="21"/>
      <c r="V125" s="21"/>
      <c r="W125" s="21"/>
      <c r="X125" s="21"/>
      <c r="Y125" s="21"/>
      <c r="Z125" s="21"/>
      <c r="AA125" s="21"/>
      <c r="AB125" s="21"/>
    </row>
    <row r="126" spans="1:28" s="22" customFormat="1">
      <c r="A126" s="21"/>
      <c r="B126" s="21"/>
      <c r="C126" s="21"/>
      <c r="D126" s="21"/>
      <c r="E126" s="21"/>
      <c r="F126" s="21"/>
      <c r="G126" s="21"/>
      <c r="H126" s="21"/>
      <c r="I126" s="21"/>
      <c r="J126" s="21"/>
      <c r="K126" s="21"/>
      <c r="L126" s="170"/>
      <c r="M126" s="21"/>
      <c r="N126" s="21"/>
      <c r="O126" s="21"/>
      <c r="P126" s="21"/>
      <c r="Q126" s="21"/>
      <c r="R126" s="21"/>
      <c r="S126" s="21"/>
      <c r="T126" s="21"/>
      <c r="U126" s="21"/>
      <c r="V126" s="21"/>
      <c r="W126" s="21"/>
      <c r="X126" s="21"/>
      <c r="Y126" s="21"/>
      <c r="Z126" s="21"/>
      <c r="AA126" s="21"/>
      <c r="AB126" s="21"/>
    </row>
    <row r="127" spans="1:28" s="22" customFormat="1">
      <c r="A127" s="21"/>
      <c r="B127" s="21"/>
      <c r="C127" s="21"/>
      <c r="D127" s="21"/>
      <c r="E127" s="21"/>
      <c r="F127" s="21"/>
      <c r="G127" s="21"/>
      <c r="H127" s="21"/>
      <c r="I127" s="21"/>
      <c r="J127" s="21"/>
      <c r="K127" s="21"/>
      <c r="L127" s="170"/>
      <c r="M127" s="21"/>
      <c r="N127" s="21"/>
      <c r="O127" s="21"/>
      <c r="P127" s="21"/>
      <c r="Q127" s="21"/>
      <c r="R127" s="21"/>
      <c r="S127" s="21"/>
      <c r="T127" s="21"/>
      <c r="U127" s="21"/>
      <c r="V127" s="21"/>
      <c r="W127" s="21"/>
      <c r="X127" s="21"/>
      <c r="Y127" s="21"/>
      <c r="Z127" s="21"/>
      <c r="AA127" s="21"/>
      <c r="AB127" s="21"/>
    </row>
    <row r="128" spans="1:28" s="22" customFormat="1">
      <c r="A128" s="21"/>
      <c r="B128" s="21"/>
      <c r="C128" s="21"/>
      <c r="D128" s="21"/>
      <c r="E128" s="21"/>
      <c r="F128" s="21"/>
      <c r="G128" s="21"/>
      <c r="H128" s="21"/>
      <c r="I128" s="21"/>
      <c r="J128" s="21"/>
      <c r="K128" s="21"/>
      <c r="L128" s="170"/>
      <c r="M128" s="21"/>
      <c r="N128" s="21"/>
      <c r="O128" s="21"/>
      <c r="P128" s="21"/>
      <c r="Q128" s="21"/>
      <c r="R128" s="21"/>
      <c r="S128" s="21"/>
      <c r="T128" s="21"/>
      <c r="U128" s="21"/>
      <c r="V128" s="21"/>
      <c r="W128" s="21"/>
      <c r="X128" s="21"/>
      <c r="Y128" s="21"/>
      <c r="Z128" s="21"/>
      <c r="AA128" s="21"/>
      <c r="AB128" s="21"/>
    </row>
    <row r="129" spans="1:28" s="22" customFormat="1">
      <c r="A129" s="21"/>
      <c r="B129" s="21"/>
      <c r="C129" s="21"/>
      <c r="D129" s="21"/>
      <c r="E129" s="21"/>
      <c r="F129" s="21"/>
      <c r="G129" s="21"/>
      <c r="H129" s="21"/>
      <c r="I129" s="21"/>
      <c r="J129" s="21"/>
      <c r="K129" s="21"/>
      <c r="L129" s="170"/>
      <c r="M129" s="21"/>
      <c r="N129" s="21"/>
      <c r="O129" s="21"/>
      <c r="P129" s="21"/>
      <c r="Q129" s="21"/>
      <c r="R129" s="21"/>
      <c r="S129" s="21"/>
      <c r="T129" s="21"/>
      <c r="U129" s="21"/>
      <c r="V129" s="21"/>
      <c r="W129" s="21"/>
      <c r="X129" s="21"/>
      <c r="Y129" s="21"/>
      <c r="Z129" s="21"/>
      <c r="AA129" s="21"/>
      <c r="AB129" s="21"/>
    </row>
    <row r="130" spans="1:28" s="22" customFormat="1">
      <c r="A130" s="21"/>
      <c r="B130" s="21"/>
      <c r="C130" s="21"/>
      <c r="D130" s="21"/>
      <c r="E130" s="21"/>
      <c r="F130" s="21"/>
      <c r="G130" s="21"/>
      <c r="H130" s="21"/>
      <c r="I130" s="21"/>
      <c r="J130" s="21"/>
      <c r="K130" s="21"/>
      <c r="L130" s="170"/>
      <c r="M130" s="21"/>
      <c r="N130" s="21"/>
      <c r="O130" s="21"/>
      <c r="P130" s="21"/>
      <c r="Q130" s="21"/>
      <c r="R130" s="21"/>
      <c r="S130" s="21"/>
      <c r="T130" s="21"/>
      <c r="U130" s="21"/>
      <c r="V130" s="21"/>
      <c r="W130" s="21"/>
      <c r="X130" s="21"/>
      <c r="Y130" s="21"/>
      <c r="Z130" s="21"/>
      <c r="AA130" s="21"/>
      <c r="AB130" s="21"/>
    </row>
    <row r="131" spans="1:28">
      <c r="A131" s="21"/>
      <c r="B131" s="21"/>
      <c r="C131" s="21"/>
      <c r="D131" s="21"/>
      <c r="E131" s="21"/>
      <c r="F131" s="21"/>
      <c r="G131" s="21"/>
      <c r="H131" s="21"/>
      <c r="I131" s="21"/>
      <c r="J131" s="21"/>
      <c r="K131" s="21"/>
      <c r="M131" s="21"/>
      <c r="N131" s="21"/>
      <c r="O131" s="21"/>
      <c r="P131" s="21"/>
      <c r="Q131" s="21"/>
      <c r="R131" s="21"/>
      <c r="S131" s="21"/>
      <c r="T131" s="170"/>
      <c r="U131" s="170"/>
      <c r="V131" s="170"/>
      <c r="W131" s="170"/>
      <c r="X131" s="170"/>
      <c r="Y131" s="170"/>
      <c r="Z131" s="170"/>
      <c r="AA131" s="170"/>
      <c r="AB131" s="170"/>
    </row>
    <row r="132" spans="1:28">
      <c r="A132" s="21"/>
      <c r="B132" s="21"/>
      <c r="C132" s="21"/>
      <c r="D132" s="21"/>
      <c r="E132" s="21"/>
      <c r="F132" s="21"/>
      <c r="G132" s="21"/>
      <c r="H132" s="21"/>
      <c r="I132" s="170"/>
      <c r="T132" s="170"/>
      <c r="U132" s="170"/>
      <c r="V132" s="170"/>
      <c r="W132" s="170"/>
      <c r="X132" s="170"/>
      <c r="Y132" s="170"/>
      <c r="Z132" s="170"/>
      <c r="AA132" s="170"/>
      <c r="AB132" s="170"/>
    </row>
    <row r="133" spans="1:28">
      <c r="A133" s="170"/>
      <c r="B133" s="170"/>
      <c r="C133" s="170"/>
      <c r="D133" s="170"/>
      <c r="E133" s="170"/>
      <c r="F133" s="170"/>
      <c r="G133" s="170"/>
      <c r="H133" s="170"/>
      <c r="I133" s="170"/>
      <c r="T133" s="170"/>
      <c r="U133" s="170"/>
      <c r="V133" s="170"/>
      <c r="W133" s="170"/>
      <c r="X133" s="170"/>
      <c r="Y133" s="170"/>
      <c r="Z133" s="170"/>
      <c r="AA133" s="170"/>
      <c r="AB133" s="170"/>
    </row>
    <row r="134" spans="1:28">
      <c r="A134" s="170"/>
      <c r="B134" s="170"/>
      <c r="C134" s="170"/>
      <c r="D134" s="170"/>
      <c r="E134" s="170"/>
      <c r="F134" s="170"/>
      <c r="G134" s="170"/>
      <c r="H134" s="170"/>
      <c r="I134" s="170"/>
      <c r="T134" s="170"/>
      <c r="U134" s="170"/>
      <c r="V134" s="170"/>
      <c r="W134" s="170"/>
      <c r="X134" s="170"/>
      <c r="Y134" s="170"/>
      <c r="Z134" s="170"/>
      <c r="AA134" s="170"/>
      <c r="AB134" s="170"/>
    </row>
    <row r="135" spans="1:28">
      <c r="A135" s="170"/>
      <c r="B135" s="170"/>
      <c r="C135" s="170"/>
      <c r="D135" s="170"/>
      <c r="E135" s="170"/>
      <c r="F135" s="170"/>
      <c r="G135" s="170"/>
      <c r="H135" s="170"/>
      <c r="I135" s="170"/>
      <c r="T135" s="170"/>
      <c r="U135" s="170"/>
      <c r="V135" s="170"/>
      <c r="W135" s="170"/>
      <c r="X135" s="170"/>
      <c r="Y135" s="170"/>
      <c r="Z135" s="170"/>
      <c r="AA135" s="170"/>
      <c r="AB135" s="170"/>
    </row>
    <row r="136" spans="1:28">
      <c r="A136" s="170"/>
      <c r="B136" s="170"/>
      <c r="C136" s="170"/>
      <c r="D136" s="170"/>
      <c r="E136" s="170"/>
      <c r="F136" s="170"/>
      <c r="G136" s="170"/>
      <c r="H136" s="170"/>
      <c r="I136" s="170"/>
      <c r="T136" s="170"/>
      <c r="U136" s="170"/>
      <c r="V136" s="170"/>
      <c r="W136" s="170"/>
      <c r="X136" s="170"/>
      <c r="Y136" s="170"/>
      <c r="Z136" s="170"/>
      <c r="AA136" s="170"/>
      <c r="AB136" s="170"/>
    </row>
    <row r="137" spans="1:28">
      <c r="A137" s="170"/>
      <c r="B137" s="170"/>
      <c r="C137" s="170"/>
      <c r="D137" s="170"/>
      <c r="E137" s="170"/>
      <c r="F137" s="170"/>
      <c r="G137" s="170"/>
      <c r="H137" s="170"/>
      <c r="I137" s="170"/>
      <c r="T137" s="170"/>
      <c r="U137" s="170"/>
      <c r="V137" s="170"/>
      <c r="W137" s="170"/>
      <c r="X137" s="170"/>
      <c r="Y137" s="170"/>
      <c r="Z137" s="170"/>
      <c r="AA137" s="170"/>
      <c r="AB137" s="170"/>
    </row>
    <row r="138" spans="1:28">
      <c r="A138" s="170"/>
      <c r="B138" s="170"/>
      <c r="C138" s="170"/>
      <c r="D138" s="170"/>
      <c r="E138" s="170"/>
      <c r="F138" s="170"/>
      <c r="G138" s="170"/>
      <c r="H138" s="170"/>
      <c r="I138" s="170"/>
      <c r="T138" s="170"/>
      <c r="U138" s="170"/>
      <c r="V138" s="170"/>
      <c r="W138" s="170"/>
      <c r="X138" s="170"/>
      <c r="Y138" s="170"/>
      <c r="Z138" s="170"/>
      <c r="AA138" s="170"/>
      <c r="AB138" s="170"/>
    </row>
    <row r="139" spans="1:28">
      <c r="A139" s="170"/>
      <c r="B139" s="170"/>
      <c r="C139" s="170"/>
      <c r="D139" s="170"/>
      <c r="E139" s="170"/>
      <c r="F139" s="170"/>
      <c r="G139" s="170"/>
      <c r="H139" s="170"/>
      <c r="I139" s="170"/>
      <c r="T139" s="170"/>
      <c r="U139" s="170"/>
      <c r="V139" s="170"/>
      <c r="W139" s="170"/>
      <c r="X139" s="170"/>
      <c r="Y139" s="170"/>
      <c r="Z139" s="170"/>
      <c r="AA139" s="170"/>
      <c r="AB139" s="170"/>
    </row>
    <row r="140" spans="1:28">
      <c r="A140" s="170"/>
      <c r="B140" s="170"/>
      <c r="C140" s="170"/>
      <c r="D140" s="170"/>
      <c r="E140" s="170"/>
      <c r="F140" s="170"/>
      <c r="G140" s="170"/>
      <c r="H140" s="170"/>
      <c r="I140" s="170"/>
      <c r="T140" s="170"/>
      <c r="U140" s="170"/>
      <c r="V140" s="170"/>
      <c r="W140" s="170"/>
      <c r="X140" s="170"/>
      <c r="Y140" s="170"/>
      <c r="Z140" s="170"/>
      <c r="AA140" s="170"/>
      <c r="AB140" s="170"/>
    </row>
    <row r="141" spans="1:28">
      <c r="A141" s="170"/>
      <c r="B141" s="170"/>
      <c r="C141" s="170"/>
      <c r="D141" s="170"/>
      <c r="E141" s="170"/>
      <c r="F141" s="170"/>
      <c r="G141" s="170"/>
      <c r="H141" s="170"/>
      <c r="I141" s="170"/>
      <c r="T141" s="170"/>
      <c r="U141" s="170"/>
      <c r="V141" s="170"/>
      <c r="W141" s="170"/>
      <c r="X141" s="170"/>
      <c r="Y141" s="170"/>
      <c r="Z141" s="170"/>
      <c r="AA141" s="170"/>
      <c r="AB141" s="170"/>
    </row>
    <row r="142" spans="1:28">
      <c r="A142" s="170"/>
      <c r="B142" s="170"/>
      <c r="C142" s="170"/>
      <c r="D142" s="170"/>
      <c r="E142" s="170"/>
      <c r="F142" s="170"/>
      <c r="G142" s="170"/>
      <c r="H142" s="170"/>
      <c r="I142" s="170"/>
      <c r="T142" s="170"/>
      <c r="U142" s="170"/>
      <c r="V142" s="170"/>
      <c r="W142" s="170"/>
      <c r="X142" s="170"/>
      <c r="Y142" s="170"/>
      <c r="Z142" s="170"/>
      <c r="AA142" s="170"/>
      <c r="AB142" s="170"/>
    </row>
    <row r="143" spans="1:28">
      <c r="A143" s="170"/>
      <c r="B143" s="170"/>
      <c r="C143" s="170"/>
      <c r="D143" s="170"/>
      <c r="E143" s="170"/>
      <c r="F143" s="170"/>
      <c r="G143" s="170"/>
      <c r="H143" s="170"/>
      <c r="I143" s="170"/>
      <c r="T143" s="170"/>
      <c r="U143" s="170"/>
      <c r="V143" s="170"/>
      <c r="W143" s="170"/>
      <c r="X143" s="170"/>
      <c r="Y143" s="170"/>
      <c r="Z143" s="170"/>
      <c r="AA143" s="170"/>
      <c r="AB143" s="170"/>
    </row>
    <row r="144" spans="1:28">
      <c r="A144" s="170"/>
      <c r="B144" s="170"/>
      <c r="C144" s="170"/>
      <c r="D144" s="170"/>
      <c r="E144" s="170"/>
      <c r="F144" s="170"/>
      <c r="G144" s="170"/>
      <c r="H144" s="170"/>
      <c r="I144" s="170"/>
      <c r="T144" s="170"/>
      <c r="U144" s="170"/>
      <c r="V144" s="170"/>
      <c r="W144" s="170"/>
      <c r="X144" s="170"/>
      <c r="Y144" s="170"/>
      <c r="Z144" s="170"/>
      <c r="AA144" s="170"/>
      <c r="AB144" s="170"/>
    </row>
    <row r="145" spans="1:28">
      <c r="A145" s="170"/>
      <c r="B145" s="170"/>
      <c r="C145" s="170"/>
      <c r="D145" s="170"/>
      <c r="E145" s="170"/>
      <c r="F145" s="170"/>
      <c r="G145" s="170"/>
      <c r="H145" s="170"/>
      <c r="I145" s="170"/>
      <c r="T145" s="170"/>
      <c r="U145" s="170"/>
      <c r="V145" s="170"/>
      <c r="W145" s="170"/>
      <c r="X145" s="170"/>
      <c r="Y145" s="170"/>
      <c r="Z145" s="170"/>
      <c r="AA145" s="170"/>
      <c r="AB145" s="170"/>
    </row>
    <row r="146" spans="1:28">
      <c r="A146" s="170"/>
      <c r="B146" s="170"/>
      <c r="C146" s="170"/>
      <c r="D146" s="170"/>
      <c r="E146" s="170"/>
      <c r="F146" s="170"/>
      <c r="G146" s="170"/>
      <c r="H146" s="170"/>
      <c r="I146" s="170"/>
      <c r="T146" s="170"/>
      <c r="U146" s="170"/>
      <c r="V146" s="170"/>
      <c r="W146" s="170"/>
      <c r="X146" s="170"/>
      <c r="Y146" s="170"/>
      <c r="Z146" s="170"/>
      <c r="AA146" s="170"/>
      <c r="AB146" s="170"/>
    </row>
    <row r="147" spans="1:28">
      <c r="A147" s="170"/>
      <c r="B147" s="170"/>
      <c r="C147" s="170"/>
      <c r="D147" s="170"/>
      <c r="E147" s="170"/>
      <c r="F147" s="170"/>
      <c r="G147" s="170"/>
      <c r="H147" s="170"/>
      <c r="I147" s="170"/>
      <c r="T147" s="170"/>
      <c r="U147" s="170"/>
      <c r="V147" s="170"/>
      <c r="W147" s="170"/>
      <c r="X147" s="170"/>
      <c r="Y147" s="170"/>
      <c r="Z147" s="170"/>
      <c r="AA147" s="170"/>
      <c r="AB147" s="170"/>
    </row>
    <row r="148" spans="1:28">
      <c r="A148" s="170"/>
      <c r="B148" s="170"/>
      <c r="C148" s="170"/>
      <c r="D148" s="170"/>
      <c r="E148" s="170"/>
      <c r="F148" s="170"/>
      <c r="G148" s="170"/>
      <c r="H148" s="170"/>
      <c r="I148" s="170"/>
      <c r="T148" s="170"/>
      <c r="U148" s="170"/>
      <c r="V148" s="170"/>
      <c r="W148" s="170"/>
      <c r="X148" s="170"/>
      <c r="Y148" s="170"/>
      <c r="Z148" s="170"/>
      <c r="AA148" s="170"/>
      <c r="AB148" s="170"/>
    </row>
    <row r="149" spans="1:28">
      <c r="A149" s="170"/>
      <c r="B149" s="170"/>
      <c r="C149" s="170"/>
      <c r="D149" s="170"/>
      <c r="E149" s="170"/>
      <c r="F149" s="170"/>
      <c r="G149" s="170"/>
      <c r="H149" s="170"/>
      <c r="I149" s="170"/>
      <c r="T149" s="170"/>
      <c r="U149" s="170"/>
      <c r="V149" s="170"/>
      <c r="W149" s="170"/>
      <c r="X149" s="170"/>
      <c r="Y149" s="170"/>
      <c r="Z149" s="170"/>
      <c r="AA149" s="170"/>
      <c r="AB149" s="170"/>
    </row>
    <row r="150" spans="1:28">
      <c r="A150" s="170"/>
      <c r="B150" s="170"/>
      <c r="C150" s="170"/>
      <c r="D150" s="170"/>
      <c r="E150" s="170"/>
      <c r="F150" s="170"/>
      <c r="G150" s="170"/>
      <c r="H150" s="170"/>
      <c r="I150" s="170"/>
      <c r="T150" s="170"/>
      <c r="U150" s="170"/>
      <c r="V150" s="170"/>
      <c r="W150" s="170"/>
      <c r="X150" s="170"/>
      <c r="Y150" s="170"/>
      <c r="Z150" s="170"/>
      <c r="AA150" s="170"/>
      <c r="AB150" s="170"/>
    </row>
    <row r="151" spans="1:28">
      <c r="A151" s="170"/>
      <c r="B151" s="170"/>
      <c r="C151" s="170"/>
      <c r="D151" s="170"/>
      <c r="E151" s="170"/>
      <c r="F151" s="170"/>
      <c r="G151" s="170"/>
      <c r="H151" s="170"/>
      <c r="I151" s="170"/>
      <c r="T151" s="170"/>
      <c r="U151" s="170"/>
      <c r="V151" s="170"/>
      <c r="W151" s="170"/>
      <c r="X151" s="170"/>
      <c r="Y151" s="170"/>
      <c r="Z151" s="170"/>
      <c r="AA151" s="170"/>
      <c r="AB151" s="170"/>
    </row>
    <row r="152" spans="1:28">
      <c r="A152" s="170"/>
      <c r="B152" s="170"/>
      <c r="C152" s="170"/>
      <c r="D152" s="170"/>
      <c r="E152" s="170"/>
      <c r="F152" s="170"/>
      <c r="G152" s="170"/>
      <c r="H152" s="170"/>
      <c r="I152" s="170"/>
      <c r="T152" s="170"/>
      <c r="U152" s="170"/>
      <c r="V152" s="170"/>
      <c r="W152" s="170"/>
      <c r="X152" s="170"/>
      <c r="Y152" s="170"/>
      <c r="Z152" s="170"/>
      <c r="AA152" s="170"/>
      <c r="AB152" s="170"/>
    </row>
    <row r="153" spans="1:28">
      <c r="A153" s="170"/>
      <c r="B153" s="170"/>
      <c r="C153" s="170"/>
      <c r="D153" s="170"/>
      <c r="E153" s="170"/>
      <c r="F153" s="170"/>
      <c r="G153" s="170"/>
      <c r="H153" s="170"/>
      <c r="I153" s="170"/>
      <c r="T153" s="170"/>
      <c r="U153" s="170"/>
      <c r="V153" s="170"/>
      <c r="W153" s="170"/>
      <c r="X153" s="170"/>
      <c r="Y153" s="170"/>
      <c r="Z153" s="170"/>
      <c r="AA153" s="170"/>
      <c r="AB153" s="170"/>
    </row>
    <row r="154" spans="1:28">
      <c r="A154" s="170"/>
      <c r="B154" s="170"/>
      <c r="C154" s="170"/>
      <c r="D154" s="170"/>
      <c r="E154" s="170"/>
      <c r="F154" s="170"/>
      <c r="G154" s="170"/>
      <c r="H154" s="170"/>
      <c r="I154" s="170"/>
      <c r="T154" s="170"/>
      <c r="U154" s="170"/>
      <c r="V154" s="170"/>
      <c r="W154" s="170"/>
      <c r="X154" s="170"/>
      <c r="Y154" s="170"/>
      <c r="Z154" s="170"/>
      <c r="AA154" s="170"/>
      <c r="AB154" s="170"/>
    </row>
    <row r="155" spans="1:28">
      <c r="A155" s="170"/>
      <c r="B155" s="170"/>
      <c r="C155" s="170"/>
      <c r="D155" s="170"/>
      <c r="E155" s="170"/>
      <c r="F155" s="170"/>
      <c r="G155" s="170"/>
      <c r="H155" s="170"/>
      <c r="I155" s="170"/>
      <c r="T155" s="170"/>
      <c r="U155" s="170"/>
      <c r="V155" s="170"/>
      <c r="W155" s="170"/>
      <c r="X155" s="170"/>
      <c r="Y155" s="170"/>
      <c r="Z155" s="170"/>
      <c r="AA155" s="170"/>
      <c r="AB155" s="170"/>
    </row>
    <row r="156" spans="1:28">
      <c r="A156" s="170"/>
      <c r="B156" s="170"/>
      <c r="C156" s="170"/>
      <c r="D156" s="170"/>
      <c r="E156" s="170"/>
      <c r="F156" s="170"/>
      <c r="G156" s="170"/>
      <c r="H156" s="170"/>
      <c r="I156" s="170"/>
      <c r="T156" s="170"/>
      <c r="U156" s="170"/>
      <c r="V156" s="170"/>
      <c r="W156" s="170"/>
      <c r="X156" s="170"/>
      <c r="Y156" s="170"/>
      <c r="Z156" s="170"/>
      <c r="AA156" s="170"/>
      <c r="AB156" s="170"/>
    </row>
    <row r="157" spans="1:28">
      <c r="A157" s="170"/>
      <c r="B157" s="170"/>
      <c r="C157" s="170"/>
      <c r="D157" s="170"/>
      <c r="E157" s="170"/>
      <c r="F157" s="170"/>
      <c r="G157" s="170"/>
      <c r="H157" s="170"/>
      <c r="I157" s="170"/>
      <c r="T157" s="170"/>
      <c r="U157" s="170"/>
      <c r="V157" s="170"/>
      <c r="W157" s="170"/>
      <c r="X157" s="170"/>
      <c r="Y157" s="170"/>
      <c r="Z157" s="170"/>
      <c r="AA157" s="170"/>
      <c r="AB157" s="170"/>
    </row>
    <row r="158" spans="1:28">
      <c r="A158" s="170"/>
      <c r="B158" s="170"/>
      <c r="C158" s="170"/>
      <c r="D158" s="170"/>
      <c r="E158" s="170"/>
      <c r="F158" s="170"/>
      <c r="G158" s="170"/>
      <c r="H158" s="170"/>
      <c r="I158" s="170"/>
      <c r="T158" s="170"/>
      <c r="U158" s="170"/>
      <c r="V158" s="170"/>
      <c r="W158" s="170"/>
      <c r="X158" s="170"/>
      <c r="Y158" s="170"/>
      <c r="Z158" s="170"/>
      <c r="AA158" s="170"/>
      <c r="AB158" s="170"/>
    </row>
    <row r="159" spans="1:28">
      <c r="A159" s="170"/>
      <c r="B159" s="170"/>
      <c r="C159" s="170"/>
      <c r="D159" s="170"/>
      <c r="E159" s="170"/>
      <c r="F159" s="170"/>
      <c r="G159" s="170"/>
      <c r="H159" s="170"/>
      <c r="I159" s="170"/>
      <c r="T159" s="170"/>
      <c r="U159" s="170"/>
      <c r="V159" s="170"/>
      <c r="W159" s="170"/>
      <c r="X159" s="170"/>
      <c r="Y159" s="170"/>
      <c r="Z159" s="170"/>
      <c r="AA159" s="170"/>
      <c r="AB159" s="170"/>
    </row>
    <row r="160" spans="1:28">
      <c r="A160" s="170"/>
      <c r="B160" s="170"/>
      <c r="C160" s="170"/>
      <c r="D160" s="170"/>
      <c r="E160" s="170"/>
      <c r="F160" s="170"/>
      <c r="G160" s="170"/>
      <c r="H160" s="170"/>
      <c r="I160" s="170"/>
      <c r="T160" s="170"/>
      <c r="U160" s="170"/>
      <c r="V160" s="170"/>
      <c r="W160" s="170"/>
      <c r="X160" s="170"/>
      <c r="Y160" s="170"/>
      <c r="Z160" s="170"/>
      <c r="AA160" s="170"/>
      <c r="AB160" s="170"/>
    </row>
    <row r="161" spans="1:28">
      <c r="A161" s="170"/>
      <c r="B161" s="170"/>
      <c r="C161" s="170"/>
      <c r="D161" s="170"/>
      <c r="E161" s="170"/>
      <c r="F161" s="170"/>
      <c r="G161" s="170"/>
      <c r="H161" s="170"/>
      <c r="I161" s="170"/>
      <c r="T161" s="170"/>
      <c r="U161" s="170"/>
      <c r="V161" s="170"/>
      <c r="W161" s="170"/>
      <c r="X161" s="170"/>
      <c r="Y161" s="170"/>
      <c r="Z161" s="170"/>
      <c r="AA161" s="170"/>
      <c r="AB161" s="170"/>
    </row>
    <row r="162" spans="1:28">
      <c r="A162" s="170"/>
      <c r="B162" s="170"/>
      <c r="C162" s="170"/>
      <c r="D162" s="170"/>
      <c r="E162" s="170"/>
      <c r="F162" s="170"/>
      <c r="G162" s="170"/>
      <c r="H162" s="170"/>
      <c r="I162" s="170"/>
      <c r="T162" s="170"/>
      <c r="U162" s="170"/>
      <c r="V162" s="170"/>
      <c r="W162" s="170"/>
      <c r="X162" s="170"/>
      <c r="Y162" s="170"/>
      <c r="Z162" s="170"/>
      <c r="AA162" s="170"/>
      <c r="AB162" s="170"/>
    </row>
    <row r="163" spans="1:28">
      <c r="A163" s="170"/>
      <c r="B163" s="170"/>
      <c r="C163" s="170"/>
      <c r="D163" s="170"/>
      <c r="E163" s="170"/>
      <c r="F163" s="170"/>
      <c r="G163" s="170"/>
      <c r="H163" s="170"/>
      <c r="I163" s="170"/>
      <c r="T163" s="170"/>
      <c r="U163" s="170"/>
      <c r="V163" s="170"/>
      <c r="W163" s="170"/>
      <c r="X163" s="170"/>
      <c r="Y163" s="170"/>
      <c r="Z163" s="170"/>
      <c r="AA163" s="170"/>
      <c r="AB163" s="170"/>
    </row>
    <row r="164" spans="1:28">
      <c r="A164" s="170"/>
      <c r="B164" s="170"/>
      <c r="C164" s="170"/>
      <c r="D164" s="170"/>
      <c r="E164" s="170"/>
      <c r="F164" s="170"/>
      <c r="G164" s="170"/>
      <c r="H164" s="170"/>
      <c r="I164" s="170"/>
      <c r="T164" s="170"/>
      <c r="U164" s="170"/>
      <c r="V164" s="170"/>
      <c r="W164" s="170"/>
      <c r="X164" s="170"/>
      <c r="Y164" s="170"/>
      <c r="Z164" s="170"/>
      <c r="AA164" s="170"/>
      <c r="AB164" s="170"/>
    </row>
    <row r="165" spans="1:28">
      <c r="A165" s="170"/>
      <c r="B165" s="170"/>
      <c r="C165" s="170"/>
      <c r="D165" s="170"/>
      <c r="E165" s="170"/>
      <c r="F165" s="170"/>
      <c r="G165" s="170"/>
      <c r="H165" s="170"/>
      <c r="I165" s="170"/>
      <c r="T165" s="170"/>
      <c r="U165" s="170"/>
      <c r="V165" s="170"/>
      <c r="W165" s="170"/>
      <c r="X165" s="170"/>
      <c r="Y165" s="170"/>
      <c r="Z165" s="170"/>
      <c r="AA165" s="170"/>
      <c r="AB165" s="170"/>
    </row>
    <row r="166" spans="1:28">
      <c r="A166" s="170"/>
      <c r="B166" s="170"/>
      <c r="C166" s="170"/>
      <c r="D166" s="170"/>
      <c r="E166" s="170"/>
      <c r="F166" s="170"/>
      <c r="G166" s="170"/>
      <c r="H166" s="170"/>
      <c r="I166" s="170"/>
      <c r="T166" s="170"/>
      <c r="U166" s="170"/>
      <c r="V166" s="170"/>
      <c r="W166" s="170"/>
      <c r="X166" s="170"/>
      <c r="Y166" s="170"/>
      <c r="Z166" s="170"/>
      <c r="AA166" s="170"/>
      <c r="AB166" s="170"/>
    </row>
    <row r="167" spans="1:28">
      <c r="A167" s="170"/>
      <c r="B167" s="170"/>
      <c r="C167" s="170"/>
      <c r="D167" s="170"/>
      <c r="E167" s="170"/>
      <c r="F167" s="170"/>
      <c r="G167" s="170"/>
      <c r="H167" s="170"/>
      <c r="I167" s="170"/>
      <c r="T167" s="170"/>
      <c r="U167" s="170"/>
      <c r="V167" s="170"/>
      <c r="W167" s="170"/>
      <c r="X167" s="170"/>
      <c r="Y167" s="170"/>
      <c r="Z167" s="170"/>
      <c r="AA167" s="170"/>
      <c r="AB167" s="170"/>
    </row>
    <row r="168" spans="1:28">
      <c r="A168" s="170"/>
      <c r="B168" s="170"/>
      <c r="C168" s="170"/>
      <c r="D168" s="170"/>
      <c r="E168" s="170"/>
      <c r="F168" s="170"/>
      <c r="G168" s="170"/>
      <c r="H168" s="170"/>
      <c r="I168" s="170"/>
      <c r="T168" s="170"/>
      <c r="U168" s="170"/>
      <c r="V168" s="170"/>
      <c r="W168" s="170"/>
      <c r="X168" s="170"/>
      <c r="Y168" s="170"/>
      <c r="Z168" s="170"/>
      <c r="AA168" s="170"/>
      <c r="AB168" s="170"/>
    </row>
    <row r="169" spans="1:28">
      <c r="A169" s="170"/>
      <c r="B169" s="170"/>
      <c r="C169" s="170"/>
      <c r="D169" s="170"/>
      <c r="E169" s="170"/>
      <c r="F169" s="170"/>
      <c r="G169" s="170"/>
      <c r="H169" s="170"/>
      <c r="I169" s="170"/>
      <c r="T169" s="170"/>
      <c r="U169" s="170"/>
      <c r="V169" s="170"/>
      <c r="W169" s="170"/>
      <c r="X169" s="170"/>
      <c r="Y169" s="170"/>
      <c r="Z169" s="170"/>
      <c r="AA169" s="170"/>
      <c r="AB169" s="170"/>
    </row>
    <row r="170" spans="1:28">
      <c r="A170" s="170"/>
      <c r="B170" s="170"/>
      <c r="C170" s="170"/>
      <c r="D170" s="170"/>
      <c r="E170" s="170"/>
      <c r="F170" s="170"/>
      <c r="G170" s="170"/>
      <c r="H170" s="170"/>
      <c r="I170" s="170"/>
      <c r="T170" s="170"/>
      <c r="U170" s="170"/>
      <c r="V170" s="170"/>
      <c r="W170" s="170"/>
      <c r="X170" s="170"/>
      <c r="Y170" s="170"/>
      <c r="Z170" s="170"/>
      <c r="AA170" s="170"/>
      <c r="AB170" s="170"/>
    </row>
    <row r="171" spans="1:28">
      <c r="A171" s="170"/>
      <c r="B171" s="170"/>
      <c r="C171" s="170"/>
      <c r="D171" s="170"/>
      <c r="E171" s="170"/>
      <c r="F171" s="170"/>
      <c r="G171" s="170"/>
      <c r="H171" s="170"/>
      <c r="I171" s="170"/>
      <c r="T171" s="170"/>
      <c r="U171" s="170"/>
      <c r="V171" s="170"/>
      <c r="W171" s="170"/>
      <c r="X171" s="170"/>
      <c r="Y171" s="170"/>
      <c r="Z171" s="170"/>
      <c r="AA171" s="170"/>
      <c r="AB171" s="170"/>
    </row>
    <row r="172" spans="1:28">
      <c r="A172" s="170"/>
      <c r="B172" s="170"/>
      <c r="C172" s="170"/>
      <c r="D172" s="170"/>
      <c r="E172" s="170"/>
      <c r="F172" s="170"/>
      <c r="G172" s="170"/>
      <c r="H172" s="170"/>
      <c r="I172" s="170"/>
      <c r="T172" s="170"/>
      <c r="U172" s="170"/>
      <c r="V172" s="170"/>
      <c r="W172" s="170"/>
      <c r="X172" s="170"/>
      <c r="Y172" s="170"/>
      <c r="Z172" s="170"/>
      <c r="AA172" s="170"/>
      <c r="AB172" s="170"/>
    </row>
    <row r="173" spans="1:28">
      <c r="A173" s="170"/>
      <c r="B173" s="170"/>
      <c r="C173" s="170"/>
      <c r="D173" s="170"/>
      <c r="E173" s="170"/>
      <c r="F173" s="170"/>
      <c r="G173" s="170"/>
      <c r="H173" s="170"/>
      <c r="I173" s="170"/>
      <c r="T173" s="170"/>
      <c r="U173" s="170"/>
      <c r="V173" s="170"/>
      <c r="W173" s="170"/>
      <c r="X173" s="170"/>
      <c r="Y173" s="170"/>
      <c r="Z173" s="170"/>
      <c r="AA173" s="170"/>
      <c r="AB173" s="170"/>
    </row>
    <row r="174" spans="1:28">
      <c r="A174" s="170"/>
      <c r="B174" s="170"/>
      <c r="C174" s="170"/>
      <c r="D174" s="170"/>
      <c r="E174" s="170"/>
      <c r="F174" s="170"/>
      <c r="G174" s="170"/>
      <c r="H174" s="170"/>
      <c r="I174" s="170"/>
      <c r="T174" s="170"/>
      <c r="U174" s="170"/>
      <c r="V174" s="170"/>
      <c r="W174" s="170"/>
      <c r="X174" s="170"/>
      <c r="Y174" s="170"/>
      <c r="Z174" s="170"/>
      <c r="AA174" s="170"/>
      <c r="AB174" s="170"/>
    </row>
    <row r="175" spans="1:28">
      <c r="A175" s="170"/>
      <c r="B175" s="170"/>
      <c r="C175" s="170"/>
      <c r="D175" s="170"/>
      <c r="E175" s="170"/>
      <c r="F175" s="170"/>
      <c r="G175" s="170"/>
      <c r="H175" s="170"/>
      <c r="I175" s="170"/>
      <c r="T175" s="170"/>
      <c r="U175" s="170"/>
      <c r="V175" s="170"/>
      <c r="W175" s="170"/>
      <c r="X175" s="170"/>
      <c r="Y175" s="170"/>
      <c r="Z175" s="170"/>
      <c r="AA175" s="170"/>
      <c r="AB175" s="170"/>
    </row>
    <row r="176" spans="1:28">
      <c r="A176" s="170"/>
      <c r="B176" s="170"/>
      <c r="C176" s="170"/>
      <c r="D176" s="170"/>
      <c r="E176" s="170"/>
      <c r="F176" s="170"/>
      <c r="G176" s="170"/>
      <c r="H176" s="170"/>
      <c r="I176" s="170"/>
      <c r="T176" s="170"/>
      <c r="U176" s="170"/>
      <c r="V176" s="170"/>
      <c r="W176" s="170"/>
      <c r="X176" s="170"/>
      <c r="Y176" s="170"/>
      <c r="Z176" s="170"/>
      <c r="AA176" s="170"/>
      <c r="AB176" s="170"/>
    </row>
    <row r="177" spans="1:28">
      <c r="A177" s="170"/>
      <c r="B177" s="170"/>
      <c r="C177" s="170"/>
      <c r="D177" s="170"/>
      <c r="E177" s="170"/>
      <c r="F177" s="170"/>
      <c r="G177" s="170"/>
      <c r="H177" s="170"/>
      <c r="I177" s="170"/>
      <c r="T177" s="170"/>
      <c r="U177" s="170"/>
      <c r="V177" s="170"/>
      <c r="W177" s="170"/>
      <c r="X177" s="170"/>
      <c r="Y177" s="170"/>
      <c r="Z177" s="170"/>
      <c r="AA177" s="170"/>
      <c r="AB177" s="170"/>
    </row>
    <row r="178" spans="1:28">
      <c r="A178" s="170"/>
      <c r="B178" s="170"/>
      <c r="C178" s="170"/>
      <c r="D178" s="170"/>
      <c r="E178" s="170"/>
      <c r="F178" s="170"/>
      <c r="G178" s="170"/>
      <c r="H178" s="170"/>
      <c r="I178" s="170"/>
      <c r="T178" s="170"/>
      <c r="U178" s="170"/>
      <c r="V178" s="170"/>
      <c r="W178" s="170"/>
      <c r="X178" s="170"/>
      <c r="Y178" s="170"/>
      <c r="Z178" s="170"/>
      <c r="AA178" s="170"/>
      <c r="AB178" s="170"/>
    </row>
    <row r="179" spans="1:28">
      <c r="A179" s="170"/>
      <c r="B179" s="170"/>
      <c r="C179" s="170"/>
      <c r="D179" s="170"/>
      <c r="E179" s="170"/>
      <c r="F179" s="170"/>
      <c r="G179" s="170"/>
      <c r="H179" s="170"/>
      <c r="I179" s="170"/>
      <c r="T179" s="170"/>
      <c r="U179" s="170"/>
      <c r="V179" s="170"/>
      <c r="W179" s="170"/>
      <c r="X179" s="170"/>
      <c r="Y179" s="170"/>
      <c r="Z179" s="170"/>
      <c r="AA179" s="170"/>
      <c r="AB179" s="170"/>
    </row>
    <row r="180" spans="1:28">
      <c r="A180" s="170"/>
      <c r="B180" s="170"/>
      <c r="C180" s="170"/>
      <c r="D180" s="170"/>
      <c r="E180" s="170"/>
      <c r="F180" s="170"/>
      <c r="G180" s="170"/>
      <c r="H180" s="170"/>
      <c r="I180" s="170"/>
      <c r="T180" s="170"/>
      <c r="U180" s="170"/>
      <c r="V180" s="170"/>
      <c r="W180" s="170"/>
      <c r="X180" s="170"/>
      <c r="Y180" s="170"/>
      <c r="Z180" s="170"/>
      <c r="AA180" s="170"/>
      <c r="AB180" s="170"/>
    </row>
    <row r="181" spans="1:28">
      <c r="A181" s="170"/>
      <c r="B181" s="170"/>
      <c r="C181" s="170"/>
      <c r="D181" s="170"/>
      <c r="E181" s="170"/>
      <c r="F181" s="170"/>
      <c r="G181" s="170"/>
      <c r="H181" s="170"/>
      <c r="I181" s="170"/>
      <c r="T181" s="170"/>
      <c r="U181" s="170"/>
      <c r="V181" s="170"/>
      <c r="W181" s="170"/>
      <c r="X181" s="170"/>
      <c r="Y181" s="170"/>
      <c r="Z181" s="170"/>
      <c r="AA181" s="170"/>
      <c r="AB181" s="170"/>
    </row>
    <row r="182" spans="1:28">
      <c r="A182" s="170"/>
      <c r="B182" s="170"/>
      <c r="C182" s="170"/>
      <c r="D182" s="170"/>
      <c r="E182" s="170"/>
      <c r="F182" s="170"/>
      <c r="G182" s="170"/>
      <c r="H182" s="170"/>
      <c r="I182" s="170"/>
      <c r="T182" s="170"/>
      <c r="U182" s="170"/>
      <c r="V182" s="170"/>
      <c r="W182" s="170"/>
      <c r="X182" s="170"/>
      <c r="Y182" s="170"/>
      <c r="Z182" s="170"/>
      <c r="AA182" s="170"/>
      <c r="AB182" s="170"/>
    </row>
    <row r="183" spans="1:28">
      <c r="A183" s="170"/>
      <c r="B183" s="170"/>
      <c r="C183" s="170"/>
      <c r="D183" s="170"/>
      <c r="E183" s="170"/>
      <c r="F183" s="170"/>
      <c r="G183" s="170"/>
      <c r="H183" s="170"/>
      <c r="I183" s="170"/>
      <c r="T183" s="170"/>
      <c r="U183" s="170"/>
      <c r="V183" s="170"/>
      <c r="W183" s="170"/>
      <c r="X183" s="170"/>
      <c r="Y183" s="170"/>
      <c r="Z183" s="170"/>
      <c r="AA183" s="170"/>
      <c r="AB183" s="170"/>
    </row>
    <row r="184" spans="1:28">
      <c r="A184" s="170"/>
      <c r="B184" s="170"/>
      <c r="C184" s="170"/>
      <c r="D184" s="170"/>
      <c r="E184" s="170"/>
      <c r="F184" s="170"/>
      <c r="G184" s="170"/>
      <c r="H184" s="170"/>
      <c r="I184" s="170"/>
      <c r="T184" s="170"/>
      <c r="U184" s="170"/>
      <c r="V184" s="170"/>
      <c r="W184" s="170"/>
      <c r="X184" s="170"/>
      <c r="Y184" s="170"/>
      <c r="Z184" s="170"/>
      <c r="AA184" s="170"/>
      <c r="AB184" s="170"/>
    </row>
    <row r="185" spans="1:28">
      <c r="A185" s="170"/>
      <c r="B185" s="170"/>
      <c r="C185" s="170"/>
      <c r="D185" s="170"/>
      <c r="E185" s="170"/>
      <c r="F185" s="170"/>
      <c r="G185" s="170"/>
      <c r="H185" s="170"/>
      <c r="I185" s="170"/>
      <c r="T185" s="170"/>
      <c r="U185" s="170"/>
      <c r="V185" s="170"/>
      <c r="W185" s="170"/>
      <c r="X185" s="170"/>
      <c r="Y185" s="170"/>
      <c r="Z185" s="170"/>
      <c r="AA185" s="170"/>
      <c r="AB185" s="170"/>
    </row>
    <row r="186" spans="1:28">
      <c r="A186" s="170"/>
      <c r="B186" s="170"/>
      <c r="C186" s="170"/>
      <c r="D186" s="170"/>
      <c r="E186" s="170"/>
      <c r="F186" s="170"/>
      <c r="G186" s="170"/>
      <c r="H186" s="170"/>
      <c r="I186" s="170"/>
      <c r="T186" s="170"/>
      <c r="U186" s="170"/>
      <c r="V186" s="170"/>
      <c r="W186" s="170"/>
      <c r="X186" s="170"/>
      <c r="Y186" s="170"/>
      <c r="Z186" s="170"/>
      <c r="AA186" s="170"/>
      <c r="AB186" s="170"/>
    </row>
    <row r="187" spans="1:28">
      <c r="A187" s="170"/>
      <c r="B187" s="170"/>
      <c r="C187" s="170"/>
      <c r="D187" s="170"/>
      <c r="E187" s="170"/>
      <c r="F187" s="170"/>
      <c r="G187" s="170"/>
      <c r="H187" s="170"/>
      <c r="I187" s="170"/>
      <c r="T187" s="170"/>
      <c r="U187" s="170"/>
      <c r="V187" s="170"/>
      <c r="W187" s="170"/>
      <c r="X187" s="170"/>
      <c r="Y187" s="170"/>
      <c r="Z187" s="170"/>
      <c r="AA187" s="170"/>
      <c r="AB187" s="170"/>
    </row>
    <row r="188" spans="1:28">
      <c r="A188" s="170"/>
      <c r="B188" s="170"/>
      <c r="C188" s="170"/>
      <c r="D188" s="170"/>
      <c r="E188" s="170"/>
      <c r="F188" s="170"/>
      <c r="G188" s="170"/>
      <c r="H188" s="170"/>
      <c r="I188" s="170"/>
      <c r="T188" s="170"/>
      <c r="U188" s="170"/>
      <c r="V188" s="170"/>
      <c r="W188" s="170"/>
      <c r="X188" s="170"/>
      <c r="Y188" s="170"/>
      <c r="Z188" s="170"/>
      <c r="AA188" s="170"/>
      <c r="AB188" s="170"/>
    </row>
    <row r="189" spans="1:28">
      <c r="A189" s="170"/>
      <c r="B189" s="170"/>
      <c r="C189" s="170"/>
      <c r="D189" s="170"/>
      <c r="E189" s="170"/>
      <c r="F189" s="170"/>
      <c r="G189" s="170"/>
      <c r="H189" s="170"/>
      <c r="I189" s="170"/>
      <c r="T189" s="170"/>
      <c r="U189" s="170"/>
      <c r="V189" s="170"/>
      <c r="W189" s="170"/>
      <c r="X189" s="170"/>
      <c r="Y189" s="170"/>
      <c r="Z189" s="170"/>
      <c r="AA189" s="170"/>
      <c r="AB189" s="170"/>
    </row>
    <row r="190" spans="1:28">
      <c r="A190" s="170"/>
      <c r="B190" s="170"/>
      <c r="C190" s="170"/>
      <c r="D190" s="170"/>
      <c r="E190" s="170"/>
      <c r="F190" s="170"/>
      <c r="G190" s="170"/>
      <c r="H190" s="170"/>
      <c r="I190" s="170"/>
      <c r="T190" s="170"/>
      <c r="U190" s="170"/>
      <c r="V190" s="170"/>
      <c r="W190" s="170"/>
      <c r="X190" s="170"/>
      <c r="Y190" s="170"/>
      <c r="Z190" s="170"/>
      <c r="AA190" s="170"/>
      <c r="AB190" s="170"/>
    </row>
    <row r="191" spans="1:28">
      <c r="A191" s="170"/>
      <c r="B191" s="170"/>
      <c r="C191" s="170"/>
      <c r="D191" s="170"/>
      <c r="E191" s="170"/>
      <c r="F191" s="170"/>
      <c r="G191" s="170"/>
      <c r="H191" s="170"/>
      <c r="I191" s="170"/>
      <c r="T191" s="170"/>
      <c r="U191" s="170"/>
      <c r="V191" s="170"/>
      <c r="W191" s="170"/>
      <c r="X191" s="170"/>
      <c r="Y191" s="170"/>
      <c r="Z191" s="170"/>
      <c r="AA191" s="170"/>
      <c r="AB191" s="170"/>
    </row>
    <row r="192" spans="1:28">
      <c r="A192" s="170"/>
      <c r="B192" s="170"/>
      <c r="C192" s="170"/>
      <c r="D192" s="170"/>
      <c r="E192" s="170"/>
      <c r="F192" s="170"/>
      <c r="G192" s="170"/>
      <c r="H192" s="170"/>
      <c r="I192" s="170"/>
      <c r="T192" s="170"/>
      <c r="U192" s="170"/>
      <c r="V192" s="170"/>
      <c r="W192" s="170"/>
      <c r="X192" s="170"/>
      <c r="Y192" s="170"/>
      <c r="Z192" s="170"/>
      <c r="AA192" s="170"/>
      <c r="AB192" s="170"/>
    </row>
    <row r="193" spans="1:28">
      <c r="A193" s="170"/>
      <c r="B193" s="170"/>
      <c r="C193" s="170"/>
      <c r="D193" s="170"/>
      <c r="E193" s="170"/>
      <c r="F193" s="170"/>
      <c r="G193" s="170"/>
      <c r="H193" s="170"/>
      <c r="I193" s="170"/>
      <c r="T193" s="170"/>
      <c r="U193" s="170"/>
      <c r="V193" s="170"/>
      <c r="W193" s="170"/>
      <c r="X193" s="170"/>
      <c r="Y193" s="170"/>
      <c r="Z193" s="170"/>
      <c r="AA193" s="170"/>
      <c r="AB193" s="170"/>
    </row>
    <row r="194" spans="1:28">
      <c r="A194" s="170"/>
      <c r="B194" s="170"/>
      <c r="C194" s="170"/>
      <c r="D194" s="170"/>
      <c r="E194" s="170"/>
      <c r="F194" s="170"/>
      <c r="G194" s="170"/>
      <c r="H194" s="170"/>
      <c r="I194" s="170"/>
      <c r="T194" s="170"/>
      <c r="U194" s="170"/>
      <c r="V194" s="170"/>
      <c r="W194" s="170"/>
      <c r="X194" s="170"/>
      <c r="Y194" s="170"/>
      <c r="Z194" s="170"/>
      <c r="AA194" s="170"/>
      <c r="AB194" s="170"/>
    </row>
    <row r="195" spans="1:28">
      <c r="A195" s="170"/>
      <c r="B195" s="170"/>
      <c r="C195" s="170"/>
      <c r="D195" s="170"/>
      <c r="E195" s="170"/>
      <c r="F195" s="170"/>
      <c r="G195" s="170"/>
      <c r="H195" s="170"/>
      <c r="I195" s="170"/>
      <c r="T195" s="170"/>
      <c r="U195" s="170"/>
      <c r="V195" s="170"/>
      <c r="W195" s="170"/>
      <c r="X195" s="170"/>
      <c r="Y195" s="170"/>
      <c r="Z195" s="170"/>
      <c r="AA195" s="170"/>
      <c r="AB195" s="170"/>
    </row>
    <row r="196" spans="1:28">
      <c r="A196" s="170"/>
      <c r="B196" s="170"/>
      <c r="C196" s="170"/>
      <c r="D196" s="170"/>
      <c r="E196" s="170"/>
      <c r="F196" s="170"/>
      <c r="G196" s="170"/>
      <c r="H196" s="170"/>
      <c r="I196" s="170"/>
      <c r="T196" s="170"/>
      <c r="U196" s="170"/>
      <c r="V196" s="170"/>
      <c r="W196" s="170"/>
      <c r="X196" s="170"/>
      <c r="Y196" s="170"/>
      <c r="Z196" s="170"/>
      <c r="AA196" s="170"/>
      <c r="AB196" s="170"/>
    </row>
    <row r="197" spans="1:28">
      <c r="A197" s="170"/>
      <c r="B197" s="170"/>
      <c r="C197" s="170"/>
      <c r="D197" s="170"/>
      <c r="E197" s="170"/>
      <c r="F197" s="170"/>
      <c r="G197" s="170"/>
      <c r="H197" s="170"/>
      <c r="I197" s="170"/>
      <c r="T197" s="170"/>
      <c r="U197" s="170"/>
      <c r="V197" s="170"/>
      <c r="W197" s="170"/>
      <c r="X197" s="170"/>
      <c r="Y197" s="170"/>
      <c r="Z197" s="170"/>
      <c r="AA197" s="170"/>
      <c r="AB197" s="170"/>
    </row>
    <row r="198" spans="1:28">
      <c r="I198" s="170"/>
      <c r="T198" s="170"/>
      <c r="U198" s="170"/>
      <c r="V198" s="170"/>
      <c r="W198" s="170"/>
      <c r="X198" s="170"/>
      <c r="Y198" s="170"/>
      <c r="Z198" s="170"/>
      <c r="AA198" s="170"/>
      <c r="AB198" s="170"/>
    </row>
    <row r="199" spans="1:28">
      <c r="I199" s="170"/>
      <c r="T199" s="170"/>
      <c r="U199" s="170"/>
      <c r="V199" s="170"/>
      <c r="W199" s="170"/>
      <c r="X199" s="170"/>
      <c r="Y199" s="170"/>
      <c r="Z199" s="170"/>
      <c r="AA199" s="170"/>
      <c r="AB199" s="170"/>
    </row>
    <row r="200" spans="1:28">
      <c r="I200" s="170"/>
      <c r="T200" s="170"/>
      <c r="U200" s="170"/>
      <c r="V200" s="170"/>
      <c r="W200" s="170"/>
      <c r="X200" s="170"/>
      <c r="Y200" s="170"/>
      <c r="Z200" s="170"/>
      <c r="AA200" s="170"/>
      <c r="AB200" s="170"/>
    </row>
    <row r="201" spans="1:28">
      <c r="I201" s="170"/>
      <c r="T201" s="170"/>
      <c r="U201" s="170"/>
      <c r="V201" s="170"/>
      <c r="W201" s="170"/>
      <c r="X201" s="170"/>
      <c r="Y201" s="170"/>
      <c r="Z201" s="170"/>
      <c r="AA201" s="170"/>
      <c r="AB201" s="170"/>
    </row>
    <row r="202" spans="1:28">
      <c r="I202" s="170"/>
      <c r="T202" s="170"/>
      <c r="U202" s="170"/>
      <c r="V202" s="170"/>
      <c r="W202" s="170"/>
      <c r="X202" s="170"/>
      <c r="Y202" s="170"/>
      <c r="Z202" s="170"/>
      <c r="AA202" s="170"/>
      <c r="AB202" s="170"/>
    </row>
    <row r="203" spans="1:28">
      <c r="I203" s="170"/>
      <c r="T203" s="170"/>
      <c r="U203" s="170"/>
      <c r="V203" s="170"/>
      <c r="W203" s="170"/>
      <c r="X203" s="170"/>
      <c r="Y203" s="170"/>
      <c r="Z203" s="170"/>
      <c r="AA203" s="170"/>
      <c r="AB203" s="170"/>
    </row>
    <row r="204" spans="1:28">
      <c r="I204" s="170"/>
      <c r="T204" s="170"/>
      <c r="U204" s="170"/>
      <c r="V204" s="170"/>
      <c r="W204" s="170"/>
      <c r="X204" s="170"/>
      <c r="Y204" s="170"/>
      <c r="Z204" s="170"/>
      <c r="AA204" s="170"/>
      <c r="AB204" s="170"/>
    </row>
    <row r="205" spans="1:28">
      <c r="I205" s="170"/>
      <c r="T205" s="170"/>
      <c r="U205" s="170"/>
      <c r="V205" s="170"/>
      <c r="W205" s="170"/>
      <c r="X205" s="170"/>
      <c r="Y205" s="170"/>
      <c r="Z205" s="170"/>
      <c r="AA205" s="170"/>
      <c r="AB205" s="170"/>
    </row>
    <row r="206" spans="1:28">
      <c r="I206" s="170"/>
      <c r="T206" s="170"/>
      <c r="U206" s="170"/>
      <c r="V206" s="170"/>
      <c r="W206" s="170"/>
      <c r="X206" s="170"/>
      <c r="Y206" s="170"/>
      <c r="Z206" s="170"/>
      <c r="AA206" s="170"/>
      <c r="AB206" s="170"/>
    </row>
    <row r="207" spans="1:28">
      <c r="I207" s="170"/>
      <c r="T207" s="170"/>
      <c r="U207" s="170"/>
      <c r="V207" s="170"/>
      <c r="W207" s="170"/>
      <c r="X207" s="170"/>
      <c r="Y207" s="170"/>
      <c r="Z207" s="170"/>
      <c r="AA207" s="170"/>
      <c r="AB207" s="170"/>
    </row>
    <row r="208" spans="1:28">
      <c r="I208" s="170"/>
      <c r="T208" s="170"/>
      <c r="U208" s="170"/>
      <c r="V208" s="170"/>
      <c r="W208" s="170"/>
      <c r="X208" s="170"/>
      <c r="Y208" s="170"/>
      <c r="Z208" s="170"/>
      <c r="AA208" s="170"/>
      <c r="AB208" s="170"/>
    </row>
    <row r="209" spans="9:28">
      <c r="I209" s="170"/>
      <c r="T209" s="170"/>
      <c r="U209" s="170"/>
      <c r="V209" s="170"/>
      <c r="W209" s="170"/>
      <c r="X209" s="170"/>
      <c r="Y209" s="170"/>
      <c r="Z209" s="170"/>
      <c r="AA209" s="170"/>
      <c r="AB209" s="170"/>
    </row>
    <row r="210" spans="9:28">
      <c r="I210" s="170"/>
      <c r="T210" s="170"/>
      <c r="U210" s="170"/>
      <c r="V210" s="170"/>
      <c r="W210" s="170"/>
      <c r="X210" s="170"/>
      <c r="Y210" s="170"/>
      <c r="Z210" s="170"/>
      <c r="AA210" s="170"/>
      <c r="AB210" s="170"/>
    </row>
    <row r="211" spans="9:28">
      <c r="I211" s="170"/>
      <c r="T211" s="170"/>
      <c r="U211" s="170"/>
      <c r="V211" s="170"/>
      <c r="W211" s="170"/>
      <c r="X211" s="170"/>
      <c r="Y211" s="170"/>
      <c r="Z211" s="170"/>
      <c r="AA211" s="170"/>
      <c r="AB211" s="170"/>
    </row>
    <row r="212" spans="9:28">
      <c r="I212" s="170"/>
      <c r="T212" s="170"/>
      <c r="U212" s="170"/>
      <c r="V212" s="170"/>
      <c r="W212" s="170"/>
      <c r="X212" s="170"/>
      <c r="Y212" s="170"/>
      <c r="Z212" s="170"/>
      <c r="AA212" s="170"/>
      <c r="AB212" s="170"/>
    </row>
    <row r="213" spans="9:28">
      <c r="I213" s="170"/>
      <c r="T213" s="170"/>
      <c r="U213" s="170"/>
      <c r="V213" s="170"/>
      <c r="W213" s="170"/>
      <c r="X213" s="170"/>
      <c r="Y213" s="170"/>
      <c r="Z213" s="170"/>
      <c r="AA213" s="170"/>
      <c r="AB213" s="170"/>
    </row>
    <row r="214" spans="9:28">
      <c r="I214" s="170"/>
      <c r="T214" s="170"/>
      <c r="U214" s="170"/>
      <c r="V214" s="170"/>
      <c r="W214" s="170"/>
      <c r="X214" s="170"/>
      <c r="Y214" s="170"/>
      <c r="Z214" s="170"/>
      <c r="AA214" s="170"/>
      <c r="AB214" s="170"/>
    </row>
    <row r="215" spans="9:28">
      <c r="I215" s="170"/>
      <c r="T215" s="170"/>
      <c r="U215" s="170"/>
      <c r="V215" s="170"/>
      <c r="W215" s="170"/>
      <c r="X215" s="170"/>
      <c r="Y215" s="170"/>
      <c r="Z215" s="170"/>
      <c r="AA215" s="170"/>
      <c r="AB215" s="170"/>
    </row>
    <row r="216" spans="9:28">
      <c r="I216" s="170"/>
      <c r="T216" s="170"/>
      <c r="U216" s="170"/>
      <c r="V216" s="170"/>
      <c r="W216" s="170"/>
      <c r="X216" s="170"/>
      <c r="Y216" s="170"/>
      <c r="Z216" s="170"/>
      <c r="AA216" s="170"/>
      <c r="AB216" s="170"/>
    </row>
    <row r="217" spans="9:28">
      <c r="I217" s="170"/>
      <c r="T217" s="170"/>
      <c r="U217" s="170"/>
      <c r="V217" s="170"/>
      <c r="W217" s="170"/>
      <c r="X217" s="170"/>
      <c r="Y217" s="170"/>
      <c r="Z217" s="170"/>
      <c r="AA217" s="170"/>
      <c r="AB217" s="170"/>
    </row>
    <row r="218" spans="9:28">
      <c r="I218" s="170"/>
      <c r="T218" s="170"/>
      <c r="U218" s="170"/>
      <c r="V218" s="170"/>
      <c r="W218" s="170"/>
      <c r="X218" s="170"/>
      <c r="Y218" s="170"/>
      <c r="Z218" s="170"/>
      <c r="AA218" s="170"/>
      <c r="AB218" s="170"/>
    </row>
    <row r="219" spans="9:28">
      <c r="I219" s="170"/>
      <c r="T219" s="170"/>
      <c r="U219" s="170"/>
      <c r="V219" s="170"/>
      <c r="W219" s="170"/>
      <c r="X219" s="170"/>
      <c r="Y219" s="170"/>
      <c r="Z219" s="170"/>
      <c r="AA219" s="170"/>
      <c r="AB219" s="170"/>
    </row>
    <row r="220" spans="9:28">
      <c r="I220" s="170"/>
      <c r="T220" s="170"/>
      <c r="U220" s="170"/>
      <c r="V220" s="170"/>
      <c r="W220" s="170"/>
      <c r="X220" s="170"/>
      <c r="Y220" s="170"/>
      <c r="Z220" s="170"/>
      <c r="AA220" s="170"/>
      <c r="AB220" s="170"/>
    </row>
    <row r="221" spans="9:28">
      <c r="I221" s="170"/>
      <c r="T221" s="170"/>
      <c r="U221" s="170"/>
      <c r="V221" s="170"/>
      <c r="W221" s="170"/>
      <c r="X221" s="170"/>
      <c r="Y221" s="170"/>
      <c r="Z221" s="170"/>
      <c r="AA221" s="170"/>
      <c r="AB221" s="170"/>
    </row>
    <row r="222" spans="9:28">
      <c r="I222" s="170"/>
      <c r="T222" s="170"/>
      <c r="U222" s="170"/>
      <c r="V222" s="170"/>
      <c r="W222" s="170"/>
      <c r="X222" s="170"/>
      <c r="Y222" s="170"/>
      <c r="Z222" s="170"/>
      <c r="AA222" s="170"/>
      <c r="AB222" s="170"/>
    </row>
    <row r="223" spans="9:28">
      <c r="I223" s="170"/>
      <c r="T223" s="170"/>
      <c r="U223" s="170"/>
      <c r="V223" s="170"/>
      <c r="W223" s="170"/>
      <c r="X223" s="170"/>
      <c r="Y223" s="170"/>
      <c r="Z223" s="170"/>
      <c r="AA223" s="170"/>
      <c r="AB223" s="170"/>
    </row>
    <row r="224" spans="9:28">
      <c r="I224" s="170"/>
      <c r="T224" s="170"/>
      <c r="U224" s="170"/>
      <c r="V224" s="170"/>
      <c r="W224" s="170"/>
      <c r="X224" s="170"/>
      <c r="Y224" s="170"/>
      <c r="Z224" s="170"/>
      <c r="AA224" s="170"/>
      <c r="AB224" s="170"/>
    </row>
    <row r="225" spans="9:28">
      <c r="I225" s="170"/>
      <c r="T225" s="170"/>
      <c r="U225" s="170"/>
      <c r="V225" s="170"/>
      <c r="W225" s="170"/>
      <c r="X225" s="170"/>
      <c r="Y225" s="170"/>
      <c r="Z225" s="170"/>
      <c r="AA225" s="170"/>
      <c r="AB225" s="170"/>
    </row>
    <row r="226" spans="9:28">
      <c r="I226" s="170"/>
      <c r="T226" s="170"/>
      <c r="U226" s="170"/>
      <c r="V226" s="170"/>
      <c r="W226" s="170"/>
      <c r="X226" s="170"/>
      <c r="Y226" s="170"/>
      <c r="Z226" s="170"/>
      <c r="AA226" s="170"/>
      <c r="AB226" s="170"/>
    </row>
    <row r="227" spans="9:28">
      <c r="I227" s="170"/>
      <c r="T227" s="170"/>
      <c r="U227" s="170"/>
      <c r="V227" s="170"/>
      <c r="W227" s="170"/>
      <c r="X227" s="170"/>
      <c r="Y227" s="170"/>
      <c r="Z227" s="170"/>
      <c r="AA227" s="170"/>
      <c r="AB227" s="170"/>
    </row>
    <row r="228" spans="9:28">
      <c r="I228" s="170"/>
      <c r="T228" s="170"/>
      <c r="U228" s="170"/>
      <c r="V228" s="170"/>
      <c r="W228" s="170"/>
      <c r="X228" s="170"/>
      <c r="Y228" s="170"/>
      <c r="Z228" s="170"/>
      <c r="AA228" s="170"/>
      <c r="AB228" s="170"/>
    </row>
    <row r="229" spans="9:28">
      <c r="I229" s="170"/>
      <c r="T229" s="170"/>
      <c r="U229" s="170"/>
      <c r="V229" s="170"/>
      <c r="W229" s="170"/>
      <c r="X229" s="170"/>
      <c r="Y229" s="170"/>
      <c r="Z229" s="170"/>
      <c r="AA229" s="170"/>
      <c r="AB229" s="170"/>
    </row>
    <row r="230" spans="9:28">
      <c r="I230" s="170"/>
      <c r="T230" s="170"/>
      <c r="U230" s="170"/>
      <c r="V230" s="170"/>
      <c r="W230" s="170"/>
      <c r="X230" s="170"/>
      <c r="Y230" s="170"/>
      <c r="Z230" s="170"/>
      <c r="AA230" s="170"/>
      <c r="AB230" s="170"/>
    </row>
    <row r="231" spans="9:28">
      <c r="I231" s="170"/>
      <c r="T231" s="170"/>
      <c r="U231" s="170"/>
      <c r="V231" s="170"/>
      <c r="W231" s="170"/>
      <c r="X231" s="170"/>
      <c r="Y231" s="170"/>
      <c r="Z231" s="170"/>
      <c r="AA231" s="170"/>
      <c r="AB231" s="170"/>
    </row>
    <row r="232" spans="9:28">
      <c r="I232" s="170"/>
      <c r="T232" s="170"/>
      <c r="U232" s="170"/>
      <c r="V232" s="170"/>
      <c r="W232" s="170"/>
      <c r="X232" s="170"/>
      <c r="Y232" s="170"/>
      <c r="Z232" s="170"/>
      <c r="AA232" s="170"/>
      <c r="AB232" s="170"/>
    </row>
    <row r="233" spans="9:28">
      <c r="I233" s="170"/>
      <c r="T233" s="170"/>
      <c r="U233" s="170"/>
      <c r="V233" s="170"/>
      <c r="W233" s="170"/>
      <c r="X233" s="170"/>
      <c r="Y233" s="170"/>
      <c r="Z233" s="170"/>
      <c r="AA233" s="170"/>
      <c r="AB233" s="170"/>
    </row>
    <row r="234" spans="9:28">
      <c r="I234" s="170"/>
      <c r="T234" s="170"/>
      <c r="U234" s="170"/>
      <c r="V234" s="170"/>
      <c r="W234" s="170"/>
      <c r="X234" s="170"/>
      <c r="Y234" s="170"/>
      <c r="Z234" s="170"/>
      <c r="AA234" s="170"/>
      <c r="AB234" s="170"/>
    </row>
    <row r="235" spans="9:28">
      <c r="I235" s="170"/>
      <c r="T235" s="170"/>
      <c r="U235" s="170"/>
      <c r="V235" s="170"/>
      <c r="W235" s="170"/>
      <c r="X235" s="170"/>
      <c r="Y235" s="170"/>
      <c r="Z235" s="170"/>
      <c r="AA235" s="170"/>
      <c r="AB235" s="170"/>
    </row>
    <row r="236" spans="9:28">
      <c r="I236" s="170"/>
      <c r="T236" s="170"/>
      <c r="U236" s="170"/>
      <c r="V236" s="170"/>
      <c r="W236" s="170"/>
      <c r="X236" s="170"/>
      <c r="Y236" s="170"/>
      <c r="Z236" s="170"/>
      <c r="AA236" s="170"/>
      <c r="AB236" s="170"/>
    </row>
    <row r="237" spans="9:28">
      <c r="I237" s="170"/>
      <c r="T237" s="170"/>
      <c r="U237" s="170"/>
      <c r="V237" s="170"/>
      <c r="W237" s="170"/>
      <c r="X237" s="170"/>
      <c r="Y237" s="170"/>
      <c r="Z237" s="170"/>
      <c r="AA237" s="170"/>
      <c r="AB237" s="170"/>
    </row>
    <row r="238" spans="9:28">
      <c r="I238" s="170"/>
      <c r="T238" s="170"/>
      <c r="U238" s="170"/>
      <c r="V238" s="170"/>
      <c r="W238" s="170"/>
      <c r="X238" s="170"/>
      <c r="Y238" s="170"/>
      <c r="Z238" s="170"/>
      <c r="AA238" s="170"/>
      <c r="AB238" s="170"/>
    </row>
    <row r="239" spans="9:28">
      <c r="I239" s="170"/>
      <c r="T239" s="170"/>
      <c r="U239" s="170"/>
      <c r="V239" s="170"/>
      <c r="W239" s="170"/>
      <c r="X239" s="170"/>
      <c r="Y239" s="170"/>
      <c r="Z239" s="170"/>
      <c r="AA239" s="170"/>
      <c r="AB239" s="170"/>
    </row>
    <row r="240" spans="9:28">
      <c r="I240" s="170"/>
      <c r="T240" s="170"/>
      <c r="U240" s="170"/>
      <c r="V240" s="170"/>
      <c r="W240" s="170"/>
      <c r="X240" s="170"/>
      <c r="Y240" s="170"/>
      <c r="Z240" s="170"/>
      <c r="AA240" s="170"/>
      <c r="AB240" s="170"/>
    </row>
    <row r="241" spans="9:9">
      <c r="I241" s="170"/>
    </row>
  </sheetData>
  <sheetProtection password="C8A2" sheet="1" objects="1" scenarios="1"/>
  <mergeCells count="2">
    <mergeCell ref="A2:G2"/>
    <mergeCell ref="B3:D3"/>
  </mergeCells>
  <phoneticPr fontId="24" type="noConversion"/>
  <dataValidations disablePrompts="1" count="1">
    <dataValidation type="list" allowBlank="1" showInputMessage="1" showErrorMessage="1" sqref="B5">
      <formula1>"1,2"</formula1>
    </dataValidation>
  </dataValidations>
  <pageMargins left="0.7" right="0.7" top="0.75" bottom="0.75" header="0.3" footer="0.3"/>
  <pageSetup paperSize="9" scale="50" orientation="landscape" r:id="rId1"/>
  <headerFooter>
    <oddHeader>&amp;CTacoma LNG Facility DSEIS Life Cycle Analsis GHG Emission Calculations Scenario A</oddHeader>
    <oddFoote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22"/>
  </sheetPr>
  <dimension ref="C2:AK19"/>
  <sheetViews>
    <sheetView workbookViewId="0">
      <pane xSplit="3" topLeftCell="AC1" activePane="topRight" state="frozen"/>
      <selection activeCell="M32" sqref="M32"/>
      <selection pane="topRight"/>
    </sheetView>
  </sheetViews>
  <sheetFormatPr defaultColWidth="9.140625" defaultRowHeight="15"/>
  <cols>
    <col min="3" max="3" width="28.7109375" customWidth="1"/>
    <col min="4" max="4" width="10" customWidth="1"/>
    <col min="5" max="5" width="10.28515625" customWidth="1"/>
    <col min="6" max="8" width="10.140625" bestFit="1" customWidth="1"/>
    <col min="9" max="9" width="10.28515625" customWidth="1"/>
    <col min="10" max="10" width="10.42578125" customWidth="1"/>
    <col min="11" max="14" width="10.140625" bestFit="1" customWidth="1"/>
    <col min="15" max="15" width="10.140625" customWidth="1"/>
    <col min="16" max="21" width="10.140625" bestFit="1" customWidth="1"/>
    <col min="22" max="22" width="11" customWidth="1"/>
    <col min="23" max="24" width="10.140625" bestFit="1" customWidth="1"/>
    <col min="25" max="27" width="11.140625" bestFit="1" customWidth="1"/>
    <col min="28" max="30" width="10.140625" bestFit="1" customWidth="1"/>
    <col min="31" max="31" width="10.140625" customWidth="1"/>
    <col min="32" max="36" width="10.140625" bestFit="1" customWidth="1"/>
  </cols>
  <sheetData>
    <row r="2" spans="3:37">
      <c r="C2" s="209" t="s">
        <v>269</v>
      </c>
      <c r="D2" s="210"/>
      <c r="E2" s="210"/>
      <c r="F2" s="210"/>
      <c r="G2" s="210"/>
      <c r="H2" s="210"/>
      <c r="I2" s="210"/>
      <c r="J2" s="210"/>
      <c r="K2" s="210"/>
      <c r="L2" s="210"/>
      <c r="M2" s="210"/>
      <c r="N2" s="210"/>
      <c r="O2" s="210"/>
      <c r="P2" s="210"/>
      <c r="Q2" s="210"/>
      <c r="R2" s="210"/>
      <c r="S2" s="210"/>
      <c r="T2" s="210"/>
      <c r="U2" s="210"/>
      <c r="V2" s="210"/>
      <c r="W2" s="210"/>
      <c r="X2" s="210"/>
      <c r="Y2" s="210"/>
      <c r="Z2" s="210"/>
      <c r="AA2" s="210"/>
    </row>
    <row r="3" spans="3:37" s="217" customFormat="1" ht="12.75">
      <c r="C3" s="216"/>
      <c r="D3" s="1840" t="s">
        <v>204</v>
      </c>
      <c r="E3" s="1841"/>
      <c r="F3" s="1841"/>
      <c r="G3" s="1841"/>
      <c r="H3" s="1841"/>
      <c r="I3" s="1841"/>
      <c r="J3" s="1841"/>
      <c r="K3" s="1840" t="s">
        <v>245</v>
      </c>
      <c r="L3" s="1841"/>
      <c r="M3" s="1841"/>
      <c r="N3" s="1841"/>
      <c r="O3" s="1841"/>
      <c r="P3" s="1842"/>
      <c r="Q3" s="1840" t="s">
        <v>247</v>
      </c>
      <c r="R3" s="1841"/>
      <c r="S3" s="1841"/>
      <c r="T3" s="1841"/>
      <c r="U3" s="1842"/>
      <c r="V3" s="1840" t="s">
        <v>231</v>
      </c>
      <c r="W3" s="1842"/>
      <c r="X3" s="211" t="s">
        <v>248</v>
      </c>
      <c r="Y3" s="1839" t="s">
        <v>88</v>
      </c>
      <c r="Z3" s="1839"/>
      <c r="AA3" s="1839"/>
      <c r="AB3" s="212" t="s">
        <v>233</v>
      </c>
      <c r="AC3" s="212" t="s">
        <v>233</v>
      </c>
      <c r="AD3" s="212" t="s">
        <v>244</v>
      </c>
      <c r="AE3" s="1379" t="s">
        <v>1271</v>
      </c>
      <c r="AF3" s="237" t="s">
        <v>347</v>
      </c>
      <c r="AG3" s="237" t="s">
        <v>52</v>
      </c>
      <c r="AH3" s="237" t="s">
        <v>52</v>
      </c>
      <c r="AI3" s="237" t="s">
        <v>347</v>
      </c>
      <c r="AJ3" s="237" t="s">
        <v>347</v>
      </c>
      <c r="AK3" s="237" t="s">
        <v>347</v>
      </c>
    </row>
    <row r="4" spans="3:37" s="948" customFormat="1" ht="76.5">
      <c r="C4" s="944"/>
      <c r="D4" s="945" t="s">
        <v>249</v>
      </c>
      <c r="E4" s="945" t="s">
        <v>250</v>
      </c>
      <c r="F4" s="945" t="s">
        <v>251</v>
      </c>
      <c r="G4" s="946" t="s">
        <v>252</v>
      </c>
      <c r="H4" s="947" t="s">
        <v>253</v>
      </c>
      <c r="I4" s="945" t="s">
        <v>254</v>
      </c>
      <c r="J4" s="945" t="s">
        <v>255</v>
      </c>
      <c r="K4" s="945" t="s">
        <v>256</v>
      </c>
      <c r="L4" s="945" t="s">
        <v>257</v>
      </c>
      <c r="M4" s="945" t="s">
        <v>258</v>
      </c>
      <c r="N4" s="947" t="s">
        <v>254</v>
      </c>
      <c r="O4" s="947" t="s">
        <v>1063</v>
      </c>
      <c r="P4" s="947" t="s">
        <v>259</v>
      </c>
      <c r="Q4" s="945" t="s">
        <v>257</v>
      </c>
      <c r="R4" s="945" t="s">
        <v>258</v>
      </c>
      <c r="S4" s="945" t="s">
        <v>254</v>
      </c>
      <c r="T4" s="945" t="s">
        <v>259</v>
      </c>
      <c r="U4" s="945" t="s">
        <v>260</v>
      </c>
      <c r="V4" s="945" t="s">
        <v>254</v>
      </c>
      <c r="W4" s="945" t="s">
        <v>260</v>
      </c>
      <c r="X4" s="945" t="s">
        <v>257</v>
      </c>
      <c r="Y4" s="945" t="s">
        <v>256</v>
      </c>
      <c r="Z4" s="945" t="s">
        <v>261</v>
      </c>
      <c r="AA4" s="945" t="s">
        <v>257</v>
      </c>
      <c r="AB4" s="945" t="s">
        <v>297</v>
      </c>
      <c r="AC4" s="945" t="s">
        <v>298</v>
      </c>
      <c r="AD4" s="945" t="s">
        <v>257</v>
      </c>
      <c r="AE4" s="1380" t="s">
        <v>1271</v>
      </c>
      <c r="AF4" s="947" t="s">
        <v>297</v>
      </c>
      <c r="AG4" s="947" t="s">
        <v>257</v>
      </c>
      <c r="AH4" s="947" t="s">
        <v>1272</v>
      </c>
      <c r="AI4" s="947" t="s">
        <v>357</v>
      </c>
      <c r="AJ4" s="947" t="s">
        <v>1062</v>
      </c>
      <c r="AK4" s="1047" t="s">
        <v>287</v>
      </c>
    </row>
    <row r="5" spans="3:37" s="217" customFormat="1">
      <c r="C5" s="213" t="s">
        <v>127</v>
      </c>
      <c r="D5" s="1335">
        <v>2.54</v>
      </c>
      <c r="E5" s="1335">
        <v>2.54</v>
      </c>
      <c r="F5" s="1335">
        <v>1.056</v>
      </c>
      <c r="G5" s="1335">
        <v>0.26700000000000002</v>
      </c>
      <c r="H5" s="1335">
        <v>1.056</v>
      </c>
      <c r="I5" s="1335">
        <v>133.316</v>
      </c>
      <c r="J5" s="1335">
        <v>2.5</v>
      </c>
      <c r="K5" s="1335">
        <v>2.089</v>
      </c>
      <c r="L5" s="1335">
        <v>0.90500000000000003</v>
      </c>
      <c r="M5" s="1335">
        <v>3.6509999999999998</v>
      </c>
      <c r="N5" s="1335">
        <v>2.0270000000000001</v>
      </c>
      <c r="O5" s="1336">
        <f>'End use TOTE - Fuel Oil Vessel'!D49</f>
        <v>66.588954849041841</v>
      </c>
      <c r="P5" s="1335">
        <v>0.25800000000000001</v>
      </c>
      <c r="Q5" s="1335">
        <v>0.8</v>
      </c>
      <c r="R5" s="1335">
        <v>1.2010000000000001</v>
      </c>
      <c r="S5" s="1335">
        <v>2.0270000000000001</v>
      </c>
      <c r="T5" s="1335">
        <v>0.25800000000000001</v>
      </c>
      <c r="U5" s="1335">
        <v>63.02</v>
      </c>
      <c r="V5" s="1335">
        <v>598.35</v>
      </c>
      <c r="W5" s="1335">
        <v>193.82</v>
      </c>
      <c r="X5" s="1335">
        <v>0.81999999284744263</v>
      </c>
      <c r="Y5" s="1337">
        <v>1.4950000000000001</v>
      </c>
      <c r="Z5" s="1337">
        <v>0.12199999999999996</v>
      </c>
      <c r="AA5" s="1337">
        <v>0.47154493127067021</v>
      </c>
      <c r="AB5" s="1338">
        <v>5.9088270570761976</v>
      </c>
      <c r="AC5" s="1338">
        <v>5.9088270570761976</v>
      </c>
      <c r="AD5" s="1338">
        <v>2.54</v>
      </c>
      <c r="AE5" s="1335">
        <v>2.54</v>
      </c>
      <c r="AF5" s="1338">
        <v>26.224950877139467</v>
      </c>
      <c r="AG5" s="1338">
        <v>4.2720000000000002</v>
      </c>
      <c r="AH5" s="1338">
        <v>4.2720000000000002</v>
      </c>
      <c r="AI5" s="1338">
        <v>2.54</v>
      </c>
      <c r="AJ5" s="1339">
        <f>'End use TOTE - LNG Vessel'!D50</f>
        <v>8.2948917014626797E-2</v>
      </c>
      <c r="AK5" s="1340">
        <v>79.908003051108707</v>
      </c>
    </row>
    <row r="6" spans="3:37" s="217" customFormat="1">
      <c r="C6" s="214" t="s">
        <v>130</v>
      </c>
      <c r="D6" s="1337">
        <v>22.21</v>
      </c>
      <c r="E6" s="1337">
        <v>24.97</v>
      </c>
      <c r="F6" s="1337">
        <v>41.286000000000001</v>
      </c>
      <c r="G6" s="1337">
        <v>14.532999999999999</v>
      </c>
      <c r="H6" s="1337">
        <v>41.286000000000001</v>
      </c>
      <c r="I6" s="1337">
        <v>705.99300000000005</v>
      </c>
      <c r="J6" s="1337">
        <v>26</v>
      </c>
      <c r="K6" s="1337">
        <v>16.209</v>
      </c>
      <c r="L6" s="1337">
        <v>36.017000000000003</v>
      </c>
      <c r="M6" s="1337">
        <v>16.152999999999999</v>
      </c>
      <c r="N6" s="1337">
        <v>657.005</v>
      </c>
      <c r="O6" s="1341">
        <f>'End use TOTE - Fuel Oil Vessel'!E49</f>
        <v>145.11375545190654</v>
      </c>
      <c r="P6" s="1337">
        <v>1.56</v>
      </c>
      <c r="Q6" s="1337">
        <v>20.867000000000001</v>
      </c>
      <c r="R6" s="1337">
        <v>25.114999999999998</v>
      </c>
      <c r="S6" s="1337">
        <v>657.005</v>
      </c>
      <c r="T6" s="1337">
        <v>1.56</v>
      </c>
      <c r="U6" s="1337">
        <v>349.15</v>
      </c>
      <c r="V6" s="1337">
        <v>1520.4380000000001</v>
      </c>
      <c r="W6" s="1337">
        <v>6907</v>
      </c>
      <c r="X6" s="1337">
        <v>23.739999771118164</v>
      </c>
      <c r="Y6" s="1337">
        <v>12.417</v>
      </c>
      <c r="Z6" s="1337">
        <v>2.2349999999999994</v>
      </c>
      <c r="AA6" s="1337">
        <v>23.954809379648633</v>
      </c>
      <c r="AB6" s="1338">
        <v>57.875039996863535</v>
      </c>
      <c r="AC6" s="1338">
        <v>57.875039996863535</v>
      </c>
      <c r="AD6" s="1338">
        <v>22.21</v>
      </c>
      <c r="AE6" s="1337">
        <v>22.21</v>
      </c>
      <c r="AF6" s="1338">
        <v>1452.3593270187273</v>
      </c>
      <c r="AG6" s="1338">
        <v>3.5310000000000001</v>
      </c>
      <c r="AH6" s="1338">
        <v>3.5310000000000001</v>
      </c>
      <c r="AI6" s="1338">
        <v>24.97</v>
      </c>
      <c r="AJ6" s="1339">
        <f>'End use TOTE - LNG Vessel'!E50</f>
        <v>250.6040462917255</v>
      </c>
      <c r="AK6" s="1340">
        <v>90.798003172552782</v>
      </c>
    </row>
    <row r="7" spans="3:37" s="217" customFormat="1">
      <c r="C7" s="214" t="s">
        <v>262</v>
      </c>
      <c r="D7" s="1337">
        <v>36.4</v>
      </c>
      <c r="E7" s="1337">
        <v>41.05</v>
      </c>
      <c r="F7" s="1337">
        <v>31.969000000000001</v>
      </c>
      <c r="G7" s="1337">
        <v>17.425000000000001</v>
      </c>
      <c r="H7" s="1337">
        <v>31.969000000000001</v>
      </c>
      <c r="I7" s="1337">
        <v>832.952</v>
      </c>
      <c r="J7" s="1337">
        <v>48.900001525878899</v>
      </c>
      <c r="K7" s="1337">
        <v>433.51799999999997</v>
      </c>
      <c r="L7" s="1337">
        <v>137.08099999999999</v>
      </c>
      <c r="M7" s="1337">
        <v>177.68799999999999</v>
      </c>
      <c r="N7" s="1337">
        <v>2076.9879999999998</v>
      </c>
      <c r="O7" s="1341">
        <f>'End use TOTE - Fuel Oil Vessel'!C49</f>
        <v>1505.6773862078851</v>
      </c>
      <c r="P7" s="1337">
        <v>256.41199999999998</v>
      </c>
      <c r="Q7" s="1337">
        <v>53.86</v>
      </c>
      <c r="R7" s="1337">
        <v>66.543000000000006</v>
      </c>
      <c r="S7" s="1337">
        <v>2076.9879999999998</v>
      </c>
      <c r="T7" s="1337">
        <v>256.41199999999998</v>
      </c>
      <c r="U7" s="1337">
        <v>628.01</v>
      </c>
      <c r="V7" s="1337">
        <v>98.587999999999994</v>
      </c>
      <c r="W7" s="1337">
        <v>267.62</v>
      </c>
      <c r="X7" s="1337">
        <v>181.60000610351562</v>
      </c>
      <c r="Y7" s="1337">
        <v>116.035</v>
      </c>
      <c r="Z7" s="1337">
        <v>11.902000000000001</v>
      </c>
      <c r="AA7" s="1337">
        <v>121.63087470943928</v>
      </c>
      <c r="AB7" s="1338">
        <v>53.120741546032335</v>
      </c>
      <c r="AC7" s="1338">
        <v>53.120741546032335</v>
      </c>
      <c r="AD7" s="1338">
        <v>36.4</v>
      </c>
      <c r="AE7" s="1337">
        <v>36.4</v>
      </c>
      <c r="AF7" s="1338">
        <v>82.257237081529823</v>
      </c>
      <c r="AG7" s="1338">
        <v>69.412999999999997</v>
      </c>
      <c r="AH7" s="1338">
        <v>69.412999999999997</v>
      </c>
      <c r="AI7" s="1338">
        <v>41.05</v>
      </c>
      <c r="AJ7" s="1339">
        <f>'End use TOTE - LNG Vessel'!C50</f>
        <v>250.00367482303636</v>
      </c>
      <c r="AK7" s="1340">
        <v>2085.2410958809787</v>
      </c>
    </row>
    <row r="8" spans="3:37" s="217" customFormat="1">
      <c r="C8" s="214" t="s">
        <v>263</v>
      </c>
      <c r="D8" s="1337">
        <v>3.5070000000000001</v>
      </c>
      <c r="E8" s="1337">
        <v>3.5070000000000001</v>
      </c>
      <c r="F8" s="1337">
        <v>3.5750000000000002</v>
      </c>
      <c r="G8" s="1337">
        <v>0.13300000000000001</v>
      </c>
      <c r="H8" s="1337">
        <v>3.5750000000000002</v>
      </c>
      <c r="I8" s="1337">
        <v>7.1970000000000001</v>
      </c>
      <c r="J8" s="1337">
        <v>3.7000000476837154</v>
      </c>
      <c r="K8" s="1337">
        <v>17.379000000000001</v>
      </c>
      <c r="L8" s="1337">
        <v>35.344999999999999</v>
      </c>
      <c r="M8" s="1337">
        <v>35.344999999999999</v>
      </c>
      <c r="N8" s="1337">
        <v>54.607999999999997</v>
      </c>
      <c r="O8" s="1341">
        <f>'End use TOTE - Fuel Oil Vessel'!G49</f>
        <v>6.2466296678217166</v>
      </c>
      <c r="P8" s="1337">
        <v>25.943999999999999</v>
      </c>
      <c r="Q8" s="1337">
        <v>8.1219999999999999</v>
      </c>
      <c r="R8" s="1337">
        <v>8.4039999999999999</v>
      </c>
      <c r="S8" s="1337">
        <v>54.607999999999997</v>
      </c>
      <c r="T8" s="1337">
        <v>25.943999999999999</v>
      </c>
      <c r="U8" s="1337">
        <v>55.97</v>
      </c>
      <c r="V8" s="1337">
        <v>52.558</v>
      </c>
      <c r="W8" s="1337">
        <v>7.84</v>
      </c>
      <c r="X8" s="1337">
        <v>29.711999893188477</v>
      </c>
      <c r="Y8" s="1337">
        <v>28.841000000000001</v>
      </c>
      <c r="Z8" s="1337">
        <v>251.84100000000001</v>
      </c>
      <c r="AA8" s="1337">
        <v>2.6634014598039615</v>
      </c>
      <c r="AB8" s="1338">
        <v>10.052277336576829</v>
      </c>
      <c r="AC8" s="1338">
        <v>10.052277336576829</v>
      </c>
      <c r="AD8" s="1338">
        <v>3.5070000000000001</v>
      </c>
      <c r="AE8" s="1337">
        <v>3.5070000000000001</v>
      </c>
      <c r="AF8" s="1338">
        <v>7.4156649562733152</v>
      </c>
      <c r="AG8" s="1338">
        <v>3.738</v>
      </c>
      <c r="AH8" s="1338">
        <v>3.738</v>
      </c>
      <c r="AI8" s="1338">
        <v>3.5070000000000001</v>
      </c>
      <c r="AJ8" s="1339">
        <f>'End use TOTE - LNG Vessel'!G50</f>
        <v>7.7998134913190569</v>
      </c>
      <c r="AK8" s="1340">
        <v>18.121400463619022</v>
      </c>
    </row>
    <row r="9" spans="3:37" s="217" customFormat="1">
      <c r="C9" s="215" t="s">
        <v>264</v>
      </c>
      <c r="D9" s="1337">
        <v>3.5070000000000001</v>
      </c>
      <c r="E9" s="1337">
        <v>3.5070000000000001</v>
      </c>
      <c r="F9" s="1337">
        <v>3.5750000000000002</v>
      </c>
      <c r="G9" s="1337">
        <v>0.13300000000000001</v>
      </c>
      <c r="H9" s="1337">
        <v>3.5750000000000002</v>
      </c>
      <c r="I9" s="1337">
        <v>7.1970000000000001</v>
      </c>
      <c r="J9" s="1337">
        <v>3.7000000476837154</v>
      </c>
      <c r="K9" s="1337">
        <v>13.492000000000001</v>
      </c>
      <c r="L9" s="1337">
        <v>16.172999999999998</v>
      </c>
      <c r="M9" s="1337">
        <v>16.172999999999998</v>
      </c>
      <c r="N9" s="1337">
        <v>54.042999999999999</v>
      </c>
      <c r="O9" s="1341">
        <f>'End use TOTE - Fuel Oil Vessel'!H49</f>
        <v>5.1525650076642382</v>
      </c>
      <c r="P9" s="1337">
        <v>6.5739999999999998</v>
      </c>
      <c r="Q9" s="1337">
        <v>5.4729999999999999</v>
      </c>
      <c r="R9" s="1337">
        <v>7.5220000000000002</v>
      </c>
      <c r="S9" s="1337">
        <v>54.042999999999999</v>
      </c>
      <c r="T9" s="1337">
        <v>6.5739999999999998</v>
      </c>
      <c r="U9" s="1337">
        <v>54.290900000000001</v>
      </c>
      <c r="V9" s="1337">
        <v>52.558</v>
      </c>
      <c r="W9" s="1337">
        <v>7.6048</v>
      </c>
      <c r="X9" s="1337">
        <v>19.312799453735352</v>
      </c>
      <c r="Y9" s="1337">
        <v>20.277999999999999</v>
      </c>
      <c r="Z9" s="1337">
        <v>73.411000000000001</v>
      </c>
      <c r="AA9" s="1337">
        <v>2.5210846263102669</v>
      </c>
      <c r="AB9" s="1338">
        <v>4.6189603060598916</v>
      </c>
      <c r="AC9" s="1338">
        <v>4.6189603060598916</v>
      </c>
      <c r="AD9" s="1338">
        <v>3.5070000000000001</v>
      </c>
      <c r="AE9" s="1337">
        <v>3.5070000000000001</v>
      </c>
      <c r="AF9" s="1338">
        <v>3.6158472110721456</v>
      </c>
      <c r="AG9" s="1338">
        <v>3.738</v>
      </c>
      <c r="AH9" s="1338">
        <v>3.738</v>
      </c>
      <c r="AI9" s="1338">
        <v>3.5070000000000001</v>
      </c>
      <c r="AJ9" s="1339">
        <f>'End use TOTE - LNG Vessel'!H50</f>
        <v>2.6798238792423126</v>
      </c>
      <c r="AK9" s="1340">
        <v>16.675300341616595</v>
      </c>
    </row>
    <row r="10" spans="3:37" s="217" customFormat="1">
      <c r="C10" s="215" t="s">
        <v>265</v>
      </c>
      <c r="D10" s="1337">
        <v>0.26856561546286878</v>
      </c>
      <c r="E10" s="1337">
        <v>0.26856561546286878</v>
      </c>
      <c r="F10" s="1337">
        <v>0.26856561546286878</v>
      </c>
      <c r="G10" s="1337">
        <v>0.26856561546286878</v>
      </c>
      <c r="H10" s="1337">
        <v>0.26856561546286878</v>
      </c>
      <c r="I10" s="1337">
        <v>0.26856561546286878</v>
      </c>
      <c r="J10" s="1337">
        <v>0.26856561546286878</v>
      </c>
      <c r="K10" s="1337">
        <v>739.29700000000003</v>
      </c>
      <c r="L10" s="1337">
        <v>683.32500000000005</v>
      </c>
      <c r="M10" s="1337">
        <v>667.78499999999997</v>
      </c>
      <c r="N10" s="1337">
        <v>267.3268667464024</v>
      </c>
      <c r="O10" s="1341">
        <f>'End use TOTE - Fuel Oil Vessel'!F49</f>
        <v>2.1048612033011507</v>
      </c>
      <c r="P10" s="1337">
        <v>267.3268667464024</v>
      </c>
      <c r="Q10" s="1337">
        <v>0.54242117555469049</v>
      </c>
      <c r="R10" s="1337">
        <v>0.54242117555469049</v>
      </c>
      <c r="S10" s="1337">
        <v>0.54242117555469049</v>
      </c>
      <c r="T10" s="1337">
        <v>0.54242117555469049</v>
      </c>
      <c r="U10" s="1337">
        <v>0.54242117555469049</v>
      </c>
      <c r="V10" s="1337">
        <v>1.238427082436041</v>
      </c>
      <c r="W10" s="1337">
        <v>1.238427082436041</v>
      </c>
      <c r="X10" s="1337">
        <v>395.46499633789062</v>
      </c>
      <c r="Y10" s="1337">
        <v>325.40600000000001</v>
      </c>
      <c r="Z10" s="1337">
        <v>4.1099999999999994</v>
      </c>
      <c r="AA10" s="1337">
        <v>544.40099999999995</v>
      </c>
      <c r="AB10" s="1338">
        <v>0.54469976387990127</v>
      </c>
      <c r="AC10" s="1338">
        <v>0.54469976387990127</v>
      </c>
      <c r="AD10" s="1338">
        <v>0.26856561546286878</v>
      </c>
      <c r="AE10" s="1337">
        <v>0.26856561546286878</v>
      </c>
      <c r="AF10" s="1338">
        <v>0</v>
      </c>
      <c r="AG10" s="1338">
        <v>0</v>
      </c>
      <c r="AH10" s="1338">
        <v>0</v>
      </c>
      <c r="AI10" s="1338">
        <v>0</v>
      </c>
      <c r="AJ10" s="1339">
        <f>'End use TOTE - LNG Vessel'!F50</f>
        <v>0.45974000737146964</v>
      </c>
      <c r="AK10" s="1340">
        <v>0</v>
      </c>
    </row>
    <row r="11" spans="3:37" s="217" customFormat="1">
      <c r="C11" s="302" t="s">
        <v>266</v>
      </c>
      <c r="D11" s="1342">
        <v>0.57865500000000003</v>
      </c>
      <c r="E11" s="1342">
        <v>0.57865500000000003</v>
      </c>
      <c r="F11" s="1342">
        <v>0.103675</v>
      </c>
      <c r="G11" s="1342">
        <v>3.8569999999999998E-3</v>
      </c>
      <c r="H11" s="1342">
        <v>0.103675</v>
      </c>
      <c r="I11" s="1337">
        <v>1.4394</v>
      </c>
      <c r="J11" s="1342">
        <v>3.5150000452995296</v>
      </c>
      <c r="K11" s="1342">
        <v>0.85539280000000006</v>
      </c>
      <c r="L11" s="1342">
        <v>1.0253682</v>
      </c>
      <c r="M11" s="1342">
        <v>1.0253682</v>
      </c>
      <c r="N11" s="1337">
        <v>43.936958999999995</v>
      </c>
      <c r="O11" s="1341">
        <f>'End use TOTE - Fuel Oil Vessel'!Q49</f>
        <v>5.4297542637589276</v>
      </c>
      <c r="P11" s="1343">
        <v>0.65739999999999998</v>
      </c>
      <c r="Q11" s="1342">
        <v>0.54730000000000001</v>
      </c>
      <c r="R11" s="1342">
        <v>0.75219999999999998</v>
      </c>
      <c r="S11" s="1342">
        <v>43.936958999999995</v>
      </c>
      <c r="T11" s="1342">
        <v>0.65739999999999998</v>
      </c>
      <c r="U11" s="1342">
        <v>30.565776699999997</v>
      </c>
      <c r="V11" s="1342">
        <v>5.2558000000000007</v>
      </c>
      <c r="W11" s="1342">
        <v>1.0342528</v>
      </c>
      <c r="X11" s="1342">
        <v>0.56007118415832513</v>
      </c>
      <c r="Y11" s="1342">
        <v>0.8719539999999999</v>
      </c>
      <c r="Z11" s="1342">
        <v>3.1566730000000001</v>
      </c>
      <c r="AA11" s="1342">
        <v>0.10840663893134148</v>
      </c>
      <c r="AB11" s="1338">
        <v>7.214303573223986E-2</v>
      </c>
      <c r="AC11" s="1338">
        <v>7.214303573223986E-2</v>
      </c>
      <c r="AD11" s="1338">
        <v>0.57865500000000003</v>
      </c>
      <c r="AE11" s="1342">
        <v>0.57865500000000003</v>
      </c>
      <c r="AF11" s="1338">
        <v>0.28686975068526033</v>
      </c>
      <c r="AG11" s="1338">
        <v>0.61677000000000004</v>
      </c>
      <c r="AH11" s="1338">
        <v>0.61677000000000004</v>
      </c>
      <c r="AI11" s="1338">
        <v>0.57865500000000003</v>
      </c>
      <c r="AJ11" s="1339">
        <f>'End use TOTE - LNG Vessel'!Q50</f>
        <v>0.58155611121897799</v>
      </c>
      <c r="AK11" s="1340">
        <v>2.5012950512424892</v>
      </c>
    </row>
    <row r="12" spans="3:37" s="217" customFormat="1">
      <c r="C12" s="302" t="s">
        <v>267</v>
      </c>
      <c r="D12" s="1342">
        <v>1.5009959999999998</v>
      </c>
      <c r="E12" s="1337">
        <v>1.5009959999999998</v>
      </c>
      <c r="F12" s="1342">
        <v>2.431</v>
      </c>
      <c r="G12" s="1342">
        <v>9.0440000000000006E-2</v>
      </c>
      <c r="H12" s="1342">
        <v>2.431</v>
      </c>
      <c r="I12" s="1342">
        <v>3.0803159999999998</v>
      </c>
      <c r="J12" s="1342">
        <v>0.18500000238418576</v>
      </c>
      <c r="K12" s="1342">
        <v>0.59364800000000006</v>
      </c>
      <c r="L12" s="1342">
        <v>0.71161199999999991</v>
      </c>
      <c r="M12" s="1342">
        <v>0.71161199999999991</v>
      </c>
      <c r="N12" s="1337">
        <v>9.7817830000000008</v>
      </c>
      <c r="O12" s="1341">
        <f>'End use TOTE - Fuel Oil Vessel'!R49</f>
        <v>11.619674124444105</v>
      </c>
      <c r="P12" s="1343">
        <v>1.6435</v>
      </c>
      <c r="Q12" s="1342">
        <v>1.36825</v>
      </c>
      <c r="R12" s="1342">
        <v>1.8805000000000001</v>
      </c>
      <c r="S12" s="1342">
        <v>9.7817830000000008</v>
      </c>
      <c r="T12" s="1342">
        <v>1.6435</v>
      </c>
      <c r="U12" s="1342">
        <v>18.947524099999999</v>
      </c>
      <c r="V12" s="1342">
        <v>16.818560000000002</v>
      </c>
      <c r="W12" s="1342">
        <v>6.5705472000000009</v>
      </c>
      <c r="X12" s="1342">
        <v>0.40556878852844241</v>
      </c>
      <c r="Y12" s="1342">
        <v>1.6425179999999997</v>
      </c>
      <c r="Z12" s="1342">
        <v>5.9462909999999995</v>
      </c>
      <c r="AA12" s="1342">
        <v>0.20420785473113159</v>
      </c>
      <c r="AB12" s="1338">
        <v>0.12543061774327594</v>
      </c>
      <c r="AC12" s="1338">
        <v>0.12543061774327594</v>
      </c>
      <c r="AD12" s="1338">
        <v>1.5009959999999998</v>
      </c>
      <c r="AE12" s="1342">
        <v>1.5009959999999998</v>
      </c>
      <c r="AF12" s="1338">
        <v>0.52145160188314055</v>
      </c>
      <c r="AG12" s="1338">
        <v>1.5998639999999997</v>
      </c>
      <c r="AH12" s="1338">
        <v>1.5998639999999997</v>
      </c>
      <c r="AI12" s="1338">
        <v>1.5009959999999998</v>
      </c>
      <c r="AJ12" s="1339">
        <f>'End use TOTE - LNG Vessel'!R50</f>
        <v>1.2445300780086124</v>
      </c>
      <c r="AK12" s="1340">
        <v>6.503367133230471</v>
      </c>
    </row>
    <row r="13" spans="3:37" s="217" customFormat="1">
      <c r="C13" s="214" t="s">
        <v>121</v>
      </c>
      <c r="D13" s="1342">
        <v>1.06</v>
      </c>
      <c r="E13" s="1342">
        <v>1.06</v>
      </c>
      <c r="F13" s="1342">
        <v>1.056</v>
      </c>
      <c r="G13" s="1342">
        <v>1.1419999999999999</v>
      </c>
      <c r="H13" s="1337">
        <v>1.056</v>
      </c>
      <c r="I13" s="1342">
        <v>392.35399999999998</v>
      </c>
      <c r="J13" s="1342">
        <v>49</v>
      </c>
      <c r="K13" s="1342">
        <v>3.1819999999999999</v>
      </c>
      <c r="L13" s="1342">
        <v>3.2309999999999999</v>
      </c>
      <c r="M13" s="1342">
        <v>1.5349999999999999</v>
      </c>
      <c r="N13" s="1337">
        <v>4.2210000000000001</v>
      </c>
      <c r="O13" s="1341">
        <f>'End use TOTE - Fuel Oil Vessel'!N49</f>
        <v>1.3069232807093027</v>
      </c>
      <c r="P13" s="1337">
        <v>3.024</v>
      </c>
      <c r="Q13" s="1342">
        <v>0.19800000000000001</v>
      </c>
      <c r="R13" s="1342">
        <v>0.76300000000000001</v>
      </c>
      <c r="S13" s="1342">
        <v>4.2210000000000001</v>
      </c>
      <c r="T13" s="1342">
        <v>3.024</v>
      </c>
      <c r="U13" s="1342">
        <v>0.62999999523162842</v>
      </c>
      <c r="V13" s="1342">
        <v>3</v>
      </c>
      <c r="W13" s="1342">
        <v>3.5749998897021387</v>
      </c>
      <c r="X13" s="1342">
        <v>0.36000001430511475</v>
      </c>
      <c r="Y13" s="1342">
        <v>1.0580000000000001</v>
      </c>
      <c r="Z13" s="1342">
        <v>1.0499999999999996</v>
      </c>
      <c r="AA13" s="1342">
        <v>1.246</v>
      </c>
      <c r="AB13" s="1338">
        <v>4.7499816359937208</v>
      </c>
      <c r="AC13" s="1338">
        <v>4.7499816359937208</v>
      </c>
      <c r="AD13" s="1338">
        <v>1.06</v>
      </c>
      <c r="AE13" s="1524">
        <v>1.06</v>
      </c>
      <c r="AF13" s="1338">
        <v>309.76673694124082</v>
      </c>
      <c r="AG13" s="1338">
        <v>1.0680000000000001</v>
      </c>
      <c r="AH13" s="1338">
        <v>1.0680000000000001</v>
      </c>
      <c r="AI13" s="1338">
        <v>1.06</v>
      </c>
      <c r="AJ13" s="1339">
        <f>'End use TOTE - LNG Vessel'!N50</f>
        <v>693.20748505085953</v>
      </c>
      <c r="AK13" s="1340">
        <v>91.619997024536133</v>
      </c>
    </row>
    <row r="14" spans="3:37" s="217" customFormat="1">
      <c r="C14" s="214" t="s">
        <v>124</v>
      </c>
      <c r="D14" s="1342">
        <v>0.75</v>
      </c>
      <c r="E14" s="1342">
        <v>0.35</v>
      </c>
      <c r="F14" s="1342">
        <v>0.10199999999999999</v>
      </c>
      <c r="G14" s="1342">
        <v>0.11899999999999999</v>
      </c>
      <c r="H14" s="1337">
        <v>0.10199999999999999</v>
      </c>
      <c r="I14" s="1342">
        <v>0.111</v>
      </c>
      <c r="J14" s="1342">
        <v>1.1000000238418579</v>
      </c>
      <c r="K14" s="1342">
        <v>0.63800000000000001</v>
      </c>
      <c r="L14" s="1342">
        <v>1.712</v>
      </c>
      <c r="M14" s="1342">
        <v>1.712</v>
      </c>
      <c r="N14" s="1337">
        <v>0.6</v>
      </c>
      <c r="O14" s="1341">
        <f>'End use TOTE - Fuel Oil Vessel'!M49</f>
        <v>3.8325425379956144</v>
      </c>
      <c r="P14" s="1337">
        <v>0.60299999999999998</v>
      </c>
      <c r="Q14" s="1342">
        <v>0.91800000000000004</v>
      </c>
      <c r="R14" s="1342">
        <v>0.91800000000000004</v>
      </c>
      <c r="S14" s="1342">
        <v>0.6</v>
      </c>
      <c r="T14" s="1342">
        <v>0.60299999999999998</v>
      </c>
      <c r="U14" s="1342">
        <v>0.92000001668930043</v>
      </c>
      <c r="V14" s="1342">
        <v>0.6</v>
      </c>
      <c r="W14" s="1342">
        <v>1.1039999723434448</v>
      </c>
      <c r="X14" s="1342">
        <v>2</v>
      </c>
      <c r="Y14" s="1342">
        <v>1.5860000000000001</v>
      </c>
      <c r="Z14" s="1342">
        <v>1.5809999999999997</v>
      </c>
      <c r="AA14" s="1342">
        <v>0.85699999999999998</v>
      </c>
      <c r="AB14" s="1338">
        <v>0.17522813503592519</v>
      </c>
      <c r="AC14" s="1338">
        <v>0.17522813503592519</v>
      </c>
      <c r="AD14" s="1338">
        <v>0.75</v>
      </c>
      <c r="AE14" s="1342">
        <v>0.75</v>
      </c>
      <c r="AF14" s="1338">
        <v>3.2506528037593428E-2</v>
      </c>
      <c r="AG14" s="1338">
        <v>4.806</v>
      </c>
      <c r="AH14" s="1338">
        <v>4.806</v>
      </c>
      <c r="AI14" s="1338">
        <v>0.35</v>
      </c>
      <c r="AJ14" s="1339">
        <f>'End use TOTE - LNG Vessel'!M50</f>
        <v>4.0771729127612923</v>
      </c>
      <c r="AK14" s="1340">
        <v>2</v>
      </c>
    </row>
    <row r="15" spans="3:37" s="321" customFormat="1">
      <c r="C15" s="320" t="s">
        <v>118</v>
      </c>
      <c r="D15" s="1344">
        <v>59366.949503269869</v>
      </c>
      <c r="E15" s="1345">
        <v>59282.755125859469</v>
      </c>
      <c r="F15" s="1344">
        <v>59341.609065174642</v>
      </c>
      <c r="G15" s="1345">
        <v>59385.872043746065</v>
      </c>
      <c r="H15" s="1346">
        <v>59341.609065174642</v>
      </c>
      <c r="I15" s="1345">
        <v>56808.789660412731</v>
      </c>
      <c r="J15" s="1344">
        <v>59229.283455650831</v>
      </c>
      <c r="K15" s="1345">
        <v>85040.498287440714</v>
      </c>
      <c r="L15" s="1344">
        <v>85012.926813631188</v>
      </c>
      <c r="M15" s="1345">
        <v>85040.247304107383</v>
      </c>
      <c r="N15" s="1346">
        <v>84030.8691279169</v>
      </c>
      <c r="O15" s="1347">
        <f>'End use TOTE - Fuel Oil Vessel'!L49</f>
        <v>85081.230789821653</v>
      </c>
      <c r="P15" s="1348">
        <v>85069.659261250243</v>
      </c>
      <c r="Q15" s="1344">
        <v>78163.223975801229</v>
      </c>
      <c r="R15" s="1345">
        <v>78153.745013896463</v>
      </c>
      <c r="S15" s="1344">
        <v>77148.691147229794</v>
      </c>
      <c r="T15" s="1345">
        <v>78187.481280563123</v>
      </c>
      <c r="U15" s="1344">
        <v>77452.243690100047</v>
      </c>
      <c r="V15" s="1345">
        <v>72576.771959343969</v>
      </c>
      <c r="W15" s="1344">
        <v>65371.378447742522</v>
      </c>
      <c r="X15" s="1345">
        <v>77264.397841775266</v>
      </c>
      <c r="Y15" s="1345">
        <v>100017.06454396401</v>
      </c>
      <c r="Z15" s="1344">
        <v>100037.36601301163</v>
      </c>
      <c r="AA15" s="1345">
        <v>100001.60646895067</v>
      </c>
      <c r="AB15" s="1349">
        <v>78076.628023884026</v>
      </c>
      <c r="AC15" s="1349">
        <v>78076.628023884026</v>
      </c>
      <c r="AD15" s="1349">
        <v>57408.917611482888</v>
      </c>
      <c r="AE15" s="1344">
        <f>Input!E88</f>
        <v>68662.016739283121</v>
      </c>
      <c r="AF15" s="1349">
        <v>55095.853780569305</v>
      </c>
      <c r="AG15" s="1349">
        <v>68039.647796249905</v>
      </c>
      <c r="AH15" s="1349">
        <f>Input!F88</f>
        <v>68754.583567659967</v>
      </c>
      <c r="AI15" s="1349">
        <v>58261.065125859473</v>
      </c>
      <c r="AJ15" s="1350">
        <f>'End use TOTE - LNG Vessel'!L50</f>
        <v>58280.390581724525</v>
      </c>
      <c r="AK15" s="1351">
        <v>57667.693203810624</v>
      </c>
    </row>
    <row r="16" spans="3:37" s="943" customFormat="1" ht="12.75">
      <c r="C16" s="942" t="s">
        <v>294</v>
      </c>
      <c r="D16" s="318">
        <f t="shared" ref="D16:AA16" si="0">D15+D5*VOC_C_Ratio/CO2_C_Ratio+D6*CO_C_Ratio/CO2_C_Ratio</f>
        <v>59409.753090572827</v>
      </c>
      <c r="E16" s="318">
        <f>E15+E5*VOC_C_Ratio/CO2_C_Ratio+E6*CO_C_Ratio/CO2_C_Ratio</f>
        <v>59329.894999999997</v>
      </c>
      <c r="F16" s="318">
        <f t="shared" si="0"/>
        <v>59409.762431046023</v>
      </c>
      <c r="G16" s="318">
        <f t="shared" si="0"/>
        <v>59409.53649183159</v>
      </c>
      <c r="H16" s="318">
        <f t="shared" si="0"/>
        <v>59409.762431046023</v>
      </c>
      <c r="I16" s="318">
        <f t="shared" si="0"/>
        <v>58333.107375965192</v>
      </c>
      <c r="J16" s="318">
        <f t="shared" si="0"/>
        <v>59277.917029838813</v>
      </c>
      <c r="K16" s="318">
        <f t="shared" si="0"/>
        <v>85072.469270159694</v>
      </c>
      <c r="L16" s="318">
        <f t="shared" si="0"/>
        <v>85072.331773035592</v>
      </c>
      <c r="M16" s="318">
        <f t="shared" si="0"/>
        <v>85076.994056847921</v>
      </c>
      <c r="N16" s="318">
        <f>N15+N5*VOC_C_Ratio/CO2_C_Ratio+N6*CO_C_Ratio/CO2_C_Ratio</f>
        <v>85069.413453835921</v>
      </c>
      <c r="O16" s="949">
        <f>O15+O5*VOC_C_Ratio/CO2_C_Ratio+O6*CO_C_Ratio/CO2_C_Ratio</f>
        <v>85516.566245900467</v>
      </c>
      <c r="P16" s="318">
        <f t="shared" si="0"/>
        <v>85072.913565897761</v>
      </c>
      <c r="Q16" s="318">
        <f t="shared" si="0"/>
        <v>78198.499542349702</v>
      </c>
      <c r="R16" s="318">
        <f t="shared" si="0"/>
        <v>78196.943324534033</v>
      </c>
      <c r="S16" s="318">
        <f t="shared" si="0"/>
        <v>78187.235473148816</v>
      </c>
      <c r="T16" s="318">
        <f t="shared" si="0"/>
        <v>78190.735585210641</v>
      </c>
      <c r="U16" s="318">
        <f t="shared" si="0"/>
        <v>78197.031243339661</v>
      </c>
      <c r="V16" s="318">
        <f t="shared" si="0"/>
        <v>76828.701207834427</v>
      </c>
      <c r="W16" s="318">
        <f t="shared" si="0"/>
        <v>76826.60972092404</v>
      </c>
      <c r="X16" s="318">
        <f t="shared" si="0"/>
        <v>77304.249507123081</v>
      </c>
      <c r="Y16" s="318">
        <f t="shared" si="0"/>
        <v>100041.22824955724</v>
      </c>
      <c r="Z16" s="318">
        <f t="shared" si="0"/>
        <v>100041.25734604883</v>
      </c>
      <c r="AA16" s="318">
        <f t="shared" si="0"/>
        <v>100040.7106069178</v>
      </c>
      <c r="AB16" s="318">
        <f t="shared" ref="AB16:AI16" si="1">AB15+AB5*VOC_C_Ratio/CO2_C_Ratio+AB6*CO_C_Ratio/CO2_C_Ratio</f>
        <v>78185.955459789518</v>
      </c>
      <c r="AC16" s="318">
        <f t="shared" si="1"/>
        <v>78185.955459789518</v>
      </c>
      <c r="AD16" s="318">
        <f t="shared" si="1"/>
        <v>57451.721198785846</v>
      </c>
      <c r="AE16" s="318">
        <f t="shared" si="1"/>
        <v>68704.820326586094</v>
      </c>
      <c r="AF16" s="318">
        <f t="shared" si="1"/>
        <v>57459.341473411587</v>
      </c>
      <c r="AG16" s="318">
        <f t="shared" si="1"/>
        <v>68058.497560929056</v>
      </c>
      <c r="AH16" s="318">
        <f t="shared" si="1"/>
        <v>68773.433332339118</v>
      </c>
      <c r="AI16" s="318">
        <f t="shared" si="1"/>
        <v>58308.205000000002</v>
      </c>
      <c r="AJ16" s="950">
        <f>AJ15+AJ5*VOC_C_Ratio/CO2_C_Ratio+AJ6*CO_C_Ratio/CO2_C_Ratio</f>
        <v>58674.377501012976</v>
      </c>
      <c r="AK16" s="319">
        <f t="shared" ref="AK16" si="2">AK15+AK5*VOC_C_Ratio/CO2_C_Ratio+AK6*CO_C_Ratio/CO2_C_Ratio</f>
        <v>58059.165008182528</v>
      </c>
    </row>
    <row r="17" spans="3:36">
      <c r="C17" s="303" t="s">
        <v>268</v>
      </c>
      <c r="AF17" s="236"/>
      <c r="AG17" s="236"/>
      <c r="AH17" s="236"/>
      <c r="AI17" s="236"/>
      <c r="AJ17" s="236"/>
    </row>
    <row r="18" spans="3:36">
      <c r="E18">
        <f>E16+E13*44/16</f>
        <v>59332.81</v>
      </c>
    </row>
    <row r="19" spans="3:36">
      <c r="E19">
        <v>59332.810128026125</v>
      </c>
    </row>
  </sheetData>
  <sheetProtection password="C8A2" sheet="1" objects="1" scenarios="1"/>
  <mergeCells count="5">
    <mergeCell ref="Y3:AA3"/>
    <mergeCell ref="D3:J3"/>
    <mergeCell ref="K3:P3"/>
    <mergeCell ref="Q3:U3"/>
    <mergeCell ref="V3:W3"/>
  </mergeCells>
  <pageMargins left="0.7" right="0.7" top="0.75" bottom="0.75" header="0.3" footer="0.3"/>
  <pageSetup paperSize="9" scale="50" orientation="landscape" r:id="rId1"/>
  <headerFooter>
    <oddHeader>&amp;CTacoma LNG Facility DSEIS Life Cycle Analsis GHG Emission Calculations Scenario A</oddHead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1:U112"/>
  <sheetViews>
    <sheetView zoomScaleNormal="100" zoomScalePageLayoutView="70" workbookViewId="0"/>
  </sheetViews>
  <sheetFormatPr defaultColWidth="9.140625" defaultRowHeight="15"/>
  <cols>
    <col min="1" max="1" width="0.7109375" style="677" customWidth="1"/>
    <col min="2" max="2" width="20.42578125" style="677" bestFit="1" customWidth="1"/>
    <col min="3" max="3" width="11" style="677" bestFit="1" customWidth="1"/>
    <col min="4" max="4" width="25.28515625" style="677" customWidth="1"/>
    <col min="5" max="5" width="11.140625" style="677" customWidth="1"/>
    <col min="6" max="12" width="9.140625" style="677"/>
    <col min="13" max="13" width="8.7109375" style="677" customWidth="1"/>
    <col min="14" max="14" width="21.42578125" style="677" customWidth="1"/>
    <col min="15" max="15" width="11.5703125" style="677" customWidth="1"/>
    <col min="16" max="16" width="28.28515625" style="677" customWidth="1"/>
    <col min="17" max="17" width="12.7109375" style="677" customWidth="1"/>
    <col min="18" max="18" width="16" style="677" customWidth="1"/>
    <col min="19" max="19" width="16.140625" style="677" customWidth="1"/>
    <col min="20" max="20" width="9.140625" style="677"/>
    <col min="21" max="21" width="18.5703125" style="677" customWidth="1"/>
    <col min="22" max="16384" width="9.140625" style="677"/>
  </cols>
  <sheetData>
    <row r="1" spans="2:19" ht="23.25">
      <c r="B1" s="687" t="s">
        <v>875</v>
      </c>
      <c r="H1" s="1048"/>
      <c r="I1" s="1048"/>
      <c r="J1" s="1048"/>
      <c r="K1" s="1048"/>
      <c r="L1" s="1048"/>
      <c r="M1" s="1048"/>
      <c r="N1" s="1048"/>
      <c r="O1" s="1048"/>
      <c r="P1" s="1048"/>
      <c r="Q1" s="1048"/>
      <c r="R1" s="1048"/>
    </row>
    <row r="2" spans="2:19" ht="15.75">
      <c r="B2" s="688" t="s">
        <v>1109</v>
      </c>
    </row>
    <row r="3" spans="2:19">
      <c r="B3" s="1049" t="s">
        <v>1105</v>
      </c>
    </row>
    <row r="4" spans="2:19">
      <c r="B4" s="1843" t="s">
        <v>1113</v>
      </c>
      <c r="C4" s="1844"/>
      <c r="D4" s="1844"/>
      <c r="E4" s="1844"/>
      <c r="F4" s="1844"/>
      <c r="G4" s="1844"/>
      <c r="H4" s="1844"/>
      <c r="I4" s="1844"/>
      <c r="J4" s="1844"/>
      <c r="K4" s="1844"/>
      <c r="L4" s="1844"/>
      <c r="M4" s="1844"/>
      <c r="N4" s="1844"/>
      <c r="O4" s="1844"/>
      <c r="P4" s="1844"/>
      <c r="Q4" s="1844"/>
      <c r="R4" s="1844"/>
    </row>
    <row r="5" spans="2:19">
      <c r="B5" s="1185"/>
      <c r="C5" s="1186"/>
      <c r="D5" s="1186"/>
      <c r="E5" s="1186"/>
      <c r="F5" s="1186"/>
      <c r="G5" s="1186"/>
      <c r="H5" s="1186"/>
      <c r="I5" s="1186"/>
      <c r="J5" s="1186"/>
      <c r="K5" s="1186"/>
      <c r="L5" s="1186"/>
      <c r="M5" s="1186"/>
      <c r="N5" s="1186"/>
      <c r="O5" s="1186"/>
      <c r="P5" s="1186"/>
      <c r="Q5" s="1186"/>
      <c r="R5" s="1186"/>
    </row>
    <row r="6" spans="2:19">
      <c r="B6" s="690" t="s">
        <v>1111</v>
      </c>
      <c r="N6" s="690" t="s">
        <v>1112</v>
      </c>
    </row>
    <row r="7" spans="2:19" ht="33.75" customHeight="1" thickBot="1">
      <c r="B7" s="1225" t="s">
        <v>876</v>
      </c>
      <c r="C7" s="747" t="s">
        <v>877</v>
      </c>
      <c r="D7" s="747" t="s">
        <v>878</v>
      </c>
      <c r="E7" s="747" t="s">
        <v>879</v>
      </c>
      <c r="F7" s="747" t="s">
        <v>127</v>
      </c>
      <c r="G7" s="747" t="s">
        <v>880</v>
      </c>
      <c r="H7" s="747" t="s">
        <v>881</v>
      </c>
      <c r="I7" s="747" t="s">
        <v>882</v>
      </c>
      <c r="J7" s="747" t="s">
        <v>883</v>
      </c>
      <c r="K7" s="747" t="s">
        <v>884</v>
      </c>
      <c r="L7" s="693"/>
      <c r="M7" s="679"/>
      <c r="N7" s="747" t="s">
        <v>885</v>
      </c>
      <c r="O7" s="747" t="s">
        <v>877</v>
      </c>
      <c r="P7" s="747" t="s">
        <v>878</v>
      </c>
      <c r="Q7" s="747" t="s">
        <v>886</v>
      </c>
      <c r="R7" s="747" t="s">
        <v>887</v>
      </c>
      <c r="S7" s="747" t="s">
        <v>888</v>
      </c>
    </row>
    <row r="8" spans="2:19" ht="15.75" thickTop="1">
      <c r="B8" s="679" t="s">
        <v>889</v>
      </c>
      <c r="C8" s="679" t="s">
        <v>890</v>
      </c>
      <c r="D8" s="1221" t="str">
        <f>B8&amp;" "&amp;C8</f>
        <v>Slow speed diesel  &lt; 1999</v>
      </c>
      <c r="E8" s="1221">
        <v>17</v>
      </c>
      <c r="F8" s="1221">
        <v>0.6</v>
      </c>
      <c r="G8" s="1221">
        <v>1.4</v>
      </c>
      <c r="H8" s="1221">
        <v>0.38</v>
      </c>
      <c r="I8" s="1221">
        <v>0.24</v>
      </c>
      <c r="J8" s="1221">
        <v>0.23</v>
      </c>
      <c r="K8" s="1221">
        <v>0.24</v>
      </c>
      <c r="L8" s="679"/>
      <c r="M8" s="679"/>
      <c r="N8" s="679" t="s">
        <v>889</v>
      </c>
      <c r="O8" s="679" t="s">
        <v>890</v>
      </c>
      <c r="P8" s="1221" t="str">
        <f>N8&amp;" "&amp;O8</f>
        <v>Slow speed diesel  &lt; 1999</v>
      </c>
      <c r="Q8" s="1221">
        <v>589</v>
      </c>
      <c r="R8" s="1222">
        <v>3.1E-2</v>
      </c>
      <c r="S8" s="1222">
        <v>1.2E-2</v>
      </c>
    </row>
    <row r="9" spans="2:19">
      <c r="B9" s="679" t="s">
        <v>891</v>
      </c>
      <c r="C9" s="679" t="s">
        <v>890</v>
      </c>
      <c r="D9" s="1221" t="str">
        <f t="shared" ref="D9:D17" si="0">B9&amp;" "&amp;C9</f>
        <v>Medium speed diesel  &lt; 1999</v>
      </c>
      <c r="E9" s="1221">
        <v>13.2</v>
      </c>
      <c r="F9" s="1221">
        <v>0.5</v>
      </c>
      <c r="G9" s="1221">
        <v>1.1000000000000001</v>
      </c>
      <c r="H9" s="1221">
        <v>0.42</v>
      </c>
      <c r="I9" s="1221">
        <v>0.24</v>
      </c>
      <c r="J9" s="1221">
        <v>0.23</v>
      </c>
      <c r="K9" s="1221">
        <v>0.24</v>
      </c>
      <c r="L9" s="679"/>
      <c r="M9" s="679"/>
      <c r="N9" s="679" t="s">
        <v>891</v>
      </c>
      <c r="O9" s="679" t="s">
        <v>890</v>
      </c>
      <c r="P9" s="1221" t="str">
        <f t="shared" ref="P9:P17" si="1">N9&amp;" "&amp;O9</f>
        <v>Medium speed diesel  &lt; 1999</v>
      </c>
      <c r="Q9" s="1221">
        <v>648</v>
      </c>
      <c r="R9" s="1222">
        <v>3.1E-2</v>
      </c>
      <c r="S9" s="1222">
        <v>0.01</v>
      </c>
    </row>
    <row r="10" spans="2:19">
      <c r="B10" s="679" t="s">
        <v>889</v>
      </c>
      <c r="C10" s="679" t="s">
        <v>892</v>
      </c>
      <c r="D10" s="1221" t="str">
        <f t="shared" si="0"/>
        <v>Slow speed diesel  2000 - 2010</v>
      </c>
      <c r="E10" s="1221">
        <v>16</v>
      </c>
      <c r="F10" s="1221">
        <v>0.6</v>
      </c>
      <c r="G10" s="1221">
        <v>1.4</v>
      </c>
      <c r="H10" s="1221">
        <v>0.38</v>
      </c>
      <c r="I10" s="1221">
        <v>0.24</v>
      </c>
      <c r="J10" s="1221">
        <v>0.23</v>
      </c>
      <c r="K10" s="1221">
        <v>0.24</v>
      </c>
      <c r="L10" s="679"/>
      <c r="M10" s="679"/>
      <c r="N10" s="679" t="s">
        <v>889</v>
      </c>
      <c r="O10" s="679" t="s">
        <v>892</v>
      </c>
      <c r="P10" s="1221" t="str">
        <f t="shared" si="1"/>
        <v>Slow speed diesel  2000 - 2010</v>
      </c>
      <c r="Q10" s="1221">
        <v>589</v>
      </c>
      <c r="R10" s="1222">
        <v>3.1E-2</v>
      </c>
      <c r="S10" s="1222">
        <v>1.2E-2</v>
      </c>
    </row>
    <row r="11" spans="2:19">
      <c r="B11" s="679" t="s">
        <v>891</v>
      </c>
      <c r="C11" s="679" t="s">
        <v>892</v>
      </c>
      <c r="D11" s="1221" t="str">
        <f t="shared" si="0"/>
        <v>Medium speed diesel  2000 - 2010</v>
      </c>
      <c r="E11" s="1221">
        <v>12.2</v>
      </c>
      <c r="F11" s="1221">
        <v>0.5</v>
      </c>
      <c r="G11" s="1221">
        <v>1.1000000000000001</v>
      </c>
      <c r="H11" s="1221">
        <v>0.42</v>
      </c>
      <c r="I11" s="1221">
        <v>0.24</v>
      </c>
      <c r="J11" s="1221">
        <v>0.23</v>
      </c>
      <c r="K11" s="1221">
        <v>0.24</v>
      </c>
      <c r="L11" s="679"/>
      <c r="M11" s="679"/>
      <c r="N11" s="679" t="s">
        <v>891</v>
      </c>
      <c r="O11" s="679" t="s">
        <v>892</v>
      </c>
      <c r="P11" s="1221" t="str">
        <f t="shared" si="1"/>
        <v>Medium speed diesel  2000 - 2010</v>
      </c>
      <c r="Q11" s="1221">
        <v>648</v>
      </c>
      <c r="R11" s="1222">
        <v>3.1E-2</v>
      </c>
      <c r="S11" s="1222">
        <v>0.01</v>
      </c>
    </row>
    <row r="12" spans="2:19">
      <c r="B12" s="679" t="s">
        <v>889</v>
      </c>
      <c r="C12" s="679" t="s">
        <v>893</v>
      </c>
      <c r="D12" s="1221" t="str">
        <f t="shared" si="0"/>
        <v>Slow speed diesel  2011 - 2015</v>
      </c>
      <c r="E12" s="1221">
        <v>14.4</v>
      </c>
      <c r="F12" s="1221">
        <v>0.6</v>
      </c>
      <c r="G12" s="1221">
        <v>1.4</v>
      </c>
      <c r="H12" s="1221">
        <v>0.38</v>
      </c>
      <c r="I12" s="1221">
        <v>0.24</v>
      </c>
      <c r="J12" s="1221">
        <v>0.23</v>
      </c>
      <c r="K12" s="1221">
        <v>0.24</v>
      </c>
      <c r="L12" s="679"/>
      <c r="M12" s="679"/>
      <c r="N12" s="679" t="s">
        <v>889</v>
      </c>
      <c r="O12" s="679" t="s">
        <v>893</v>
      </c>
      <c r="P12" s="1221" t="str">
        <f t="shared" si="1"/>
        <v>Slow speed diesel  2011 - 2015</v>
      </c>
      <c r="Q12" s="1221">
        <v>589</v>
      </c>
      <c r="R12" s="1222">
        <v>3.1E-2</v>
      </c>
      <c r="S12" s="1222">
        <v>1.2E-2</v>
      </c>
    </row>
    <row r="13" spans="2:19">
      <c r="B13" s="679" t="s">
        <v>891</v>
      </c>
      <c r="C13" s="679" t="s">
        <v>893</v>
      </c>
      <c r="D13" s="1221" t="str">
        <f t="shared" si="0"/>
        <v>Medium speed diesel  2011 - 2015</v>
      </c>
      <c r="E13" s="1221">
        <v>10.5</v>
      </c>
      <c r="F13" s="1221">
        <v>0.5</v>
      </c>
      <c r="G13" s="1221">
        <v>1.1000000000000001</v>
      </c>
      <c r="H13" s="1221">
        <v>0.42</v>
      </c>
      <c r="I13" s="1221">
        <v>0.24</v>
      </c>
      <c r="J13" s="1221">
        <v>0.23</v>
      </c>
      <c r="K13" s="1221">
        <v>0.24</v>
      </c>
      <c r="L13" s="679"/>
      <c r="M13" s="679"/>
      <c r="N13" s="679" t="s">
        <v>891</v>
      </c>
      <c r="O13" s="679" t="s">
        <v>893</v>
      </c>
      <c r="P13" s="1221" t="str">
        <f t="shared" si="1"/>
        <v>Medium speed diesel  2011 - 2015</v>
      </c>
      <c r="Q13" s="1221">
        <v>648</v>
      </c>
      <c r="R13" s="1222">
        <v>3.1E-2</v>
      </c>
      <c r="S13" s="1222">
        <v>0.01</v>
      </c>
    </row>
    <row r="14" spans="2:19">
      <c r="B14" s="679" t="s">
        <v>894</v>
      </c>
      <c r="C14" s="679" t="s">
        <v>895</v>
      </c>
      <c r="D14" s="1221" t="str">
        <f t="shared" si="0"/>
        <v>Lean Burn SI LNG All</v>
      </c>
      <c r="E14" s="1221">
        <v>0.9</v>
      </c>
      <c r="F14" s="1223">
        <f>S12*0.038</f>
        <v>4.5600000000000003E-4</v>
      </c>
      <c r="G14" s="1221">
        <v>1.7</v>
      </c>
      <c r="H14" s="1221">
        <v>0</v>
      </c>
      <c r="I14" s="1221">
        <f>I15</f>
        <v>0.02</v>
      </c>
      <c r="J14" s="1221">
        <f>J15</f>
        <v>0.02</v>
      </c>
      <c r="K14" s="1221">
        <f>K15</f>
        <v>0</v>
      </c>
      <c r="L14" s="679"/>
      <c r="M14" s="679"/>
      <c r="N14" s="679" t="s">
        <v>896</v>
      </c>
      <c r="O14" s="679" t="s">
        <v>895</v>
      </c>
      <c r="P14" s="1221" t="str">
        <f t="shared" si="1"/>
        <v>Gas turbine All</v>
      </c>
      <c r="Q14" s="1221">
        <v>922</v>
      </c>
      <c r="R14" s="1222">
        <v>0.08</v>
      </c>
      <c r="S14" s="1222">
        <v>2E-3</v>
      </c>
    </row>
    <row r="15" spans="2:19">
      <c r="B15" s="679" t="s">
        <v>897</v>
      </c>
      <c r="C15" s="679" t="s">
        <v>895</v>
      </c>
      <c r="D15" s="1221" t="str">
        <f t="shared" si="0"/>
        <v>Low Pressure DF LNG All</v>
      </c>
      <c r="E15" s="1223">
        <v>1.9</v>
      </c>
      <c r="F15" s="1223">
        <f>S13*0.038</f>
        <v>3.8000000000000002E-4</v>
      </c>
      <c r="G15" s="1221">
        <v>1.9</v>
      </c>
      <c r="H15" s="1224">
        <f>5%*H12*F99</f>
        <v>3.5150000000000003E-3</v>
      </c>
      <c r="I15" s="1221">
        <v>0.02</v>
      </c>
      <c r="J15" s="1221">
        <v>0.02</v>
      </c>
      <c r="K15" s="1221">
        <v>0</v>
      </c>
      <c r="L15" s="679"/>
      <c r="M15" s="679"/>
      <c r="N15" s="679" t="s">
        <v>898</v>
      </c>
      <c r="O15" s="679" t="s">
        <v>895</v>
      </c>
      <c r="P15" s="1221" t="str">
        <f t="shared" si="1"/>
        <v>Steamship All</v>
      </c>
      <c r="Q15" s="1221">
        <v>922</v>
      </c>
      <c r="R15" s="1222">
        <v>0.08</v>
      </c>
      <c r="S15" s="1222">
        <v>2E-3</v>
      </c>
    </row>
    <row r="16" spans="2:19">
      <c r="B16" s="679" t="s">
        <v>896</v>
      </c>
      <c r="C16" s="679" t="s">
        <v>899</v>
      </c>
      <c r="D16" s="1221" t="str">
        <f t="shared" si="0"/>
        <v>Gas turbine  All</v>
      </c>
      <c r="E16" s="1221">
        <v>6.1</v>
      </c>
      <c r="F16" s="1221">
        <v>0.1</v>
      </c>
      <c r="G16" s="1221">
        <v>0.2</v>
      </c>
      <c r="H16" s="1221">
        <v>0.6</v>
      </c>
      <c r="I16" s="1221">
        <v>0.1</v>
      </c>
      <c r="J16" s="1221">
        <v>0.04</v>
      </c>
      <c r="K16" s="1221">
        <v>0</v>
      </c>
      <c r="L16" s="679"/>
      <c r="M16" s="679"/>
      <c r="N16" s="679" t="s">
        <v>894</v>
      </c>
      <c r="O16" s="679" t="s">
        <v>895</v>
      </c>
      <c r="P16" s="1221" t="str">
        <f t="shared" si="1"/>
        <v>Lean Burn SI LNG All</v>
      </c>
      <c r="Q16" s="1221">
        <v>472</v>
      </c>
      <c r="R16" s="1222">
        <f>R13</f>
        <v>3.1E-2</v>
      </c>
      <c r="S16" s="1222">
        <v>4.0999999999999996</v>
      </c>
    </row>
    <row r="17" spans="2:20" ht="15.75">
      <c r="B17" s="1201" t="s">
        <v>898</v>
      </c>
      <c r="C17" s="1201" t="s">
        <v>899</v>
      </c>
      <c r="D17" s="1226" t="str">
        <f t="shared" si="0"/>
        <v>Steamship  All</v>
      </c>
      <c r="E17" s="1226">
        <v>2.1</v>
      </c>
      <c r="F17" s="1226">
        <v>0.1</v>
      </c>
      <c r="G17" s="1226">
        <v>0.2</v>
      </c>
      <c r="H17" s="1226">
        <v>0.6</v>
      </c>
      <c r="I17" s="1226">
        <v>0.8</v>
      </c>
      <c r="J17" s="1226">
        <v>0.6</v>
      </c>
      <c r="K17" s="1226">
        <v>0</v>
      </c>
      <c r="L17" s="679"/>
      <c r="M17" s="679"/>
      <c r="N17" s="1201" t="s">
        <v>897</v>
      </c>
      <c r="O17" s="1201" t="s">
        <v>895</v>
      </c>
      <c r="P17" s="1226" t="str">
        <f t="shared" si="1"/>
        <v>Low Pressure DF LNG All</v>
      </c>
      <c r="Q17" s="1226">
        <v>444</v>
      </c>
      <c r="R17" s="1227">
        <f>R13</f>
        <v>3.1E-2</v>
      </c>
      <c r="S17" s="1227">
        <v>5.3</v>
      </c>
      <c r="T17" s="821" t="s">
        <v>1061</v>
      </c>
    </row>
    <row r="18" spans="2:20">
      <c r="B18" s="677" t="s">
        <v>900</v>
      </c>
      <c r="N18" s="679" t="s">
        <v>901</v>
      </c>
    </row>
    <row r="19" spans="2:20">
      <c r="B19" s="677" t="s">
        <v>1120</v>
      </c>
    </row>
    <row r="20" spans="2:20">
      <c r="B20" s="677" t="s">
        <v>902</v>
      </c>
    </row>
    <row r="21" spans="2:20">
      <c r="B21" s="689" t="s">
        <v>903</v>
      </c>
    </row>
    <row r="22" spans="2:20">
      <c r="B22" s="689" t="s">
        <v>904</v>
      </c>
    </row>
    <row r="23" spans="2:20">
      <c r="B23" s="677" t="s">
        <v>1162</v>
      </c>
    </row>
    <row r="24" spans="2:20">
      <c r="N24" s="690" t="s">
        <v>1110</v>
      </c>
    </row>
    <row r="25" spans="2:20" ht="15.75" thickBot="1">
      <c r="B25" s="690" t="s">
        <v>1107</v>
      </c>
      <c r="N25" s="690" t="s">
        <v>905</v>
      </c>
    </row>
    <row r="26" spans="2:20">
      <c r="B26" s="701" t="s">
        <v>906</v>
      </c>
      <c r="C26" s="691" t="s">
        <v>262</v>
      </c>
      <c r="D26" s="691" t="s">
        <v>907</v>
      </c>
      <c r="E26" s="691" t="s">
        <v>130</v>
      </c>
      <c r="F26" s="692" t="s">
        <v>908</v>
      </c>
      <c r="N26" s="1054" t="s">
        <v>909</v>
      </c>
      <c r="O26" s="1055" t="s">
        <v>910</v>
      </c>
      <c r="P26" s="1056" t="s">
        <v>911</v>
      </c>
    </row>
    <row r="27" spans="2:20">
      <c r="B27" s="702">
        <v>0.02</v>
      </c>
      <c r="C27" s="789">
        <v>4.63</v>
      </c>
      <c r="D27" s="789">
        <v>21.18</v>
      </c>
      <c r="E27" s="789">
        <v>9.68</v>
      </c>
      <c r="F27" s="790">
        <v>7.29</v>
      </c>
      <c r="N27" s="694" t="s">
        <v>912</v>
      </c>
      <c r="O27" s="789">
        <v>0.04</v>
      </c>
      <c r="P27" s="790">
        <v>0.06</v>
      </c>
    </row>
    <row r="28" spans="2:20">
      <c r="B28" s="702">
        <v>0.03</v>
      </c>
      <c r="C28" s="789">
        <v>2.92</v>
      </c>
      <c r="D28" s="789">
        <v>11.68</v>
      </c>
      <c r="E28" s="789">
        <v>6.46</v>
      </c>
      <c r="F28" s="790">
        <v>4.33</v>
      </c>
      <c r="N28" s="694" t="s">
        <v>913</v>
      </c>
      <c r="O28" s="789">
        <v>0.04</v>
      </c>
      <c r="P28" s="790">
        <v>0.05</v>
      </c>
    </row>
    <row r="29" spans="2:20">
      <c r="B29" s="702">
        <v>0.04</v>
      </c>
      <c r="C29" s="789">
        <v>2.21</v>
      </c>
      <c r="D29" s="789">
        <v>7.71</v>
      </c>
      <c r="E29" s="789">
        <v>4.8600000000000003</v>
      </c>
      <c r="F29" s="790">
        <v>3.09</v>
      </c>
      <c r="N29" s="694" t="s">
        <v>914</v>
      </c>
      <c r="O29" s="789">
        <v>0.03</v>
      </c>
      <c r="P29" s="790">
        <v>0.03</v>
      </c>
    </row>
    <row r="30" spans="2:20">
      <c r="B30" s="702">
        <v>0.05</v>
      </c>
      <c r="C30" s="789">
        <v>1.83</v>
      </c>
      <c r="D30" s="789">
        <v>5.61</v>
      </c>
      <c r="E30" s="789">
        <v>3.89</v>
      </c>
      <c r="F30" s="790">
        <v>2.44</v>
      </c>
      <c r="N30" s="694" t="s">
        <v>915</v>
      </c>
      <c r="O30" s="789">
        <v>0.03</v>
      </c>
      <c r="P30" s="790">
        <v>0.04</v>
      </c>
    </row>
    <row r="31" spans="2:20">
      <c r="B31" s="702">
        <v>0.06</v>
      </c>
      <c r="C31" s="789">
        <v>1.6</v>
      </c>
      <c r="D31" s="789">
        <v>4.3499999999999996</v>
      </c>
      <c r="E31" s="789">
        <v>3.25</v>
      </c>
      <c r="F31" s="790">
        <v>2.04</v>
      </c>
      <c r="N31" s="694" t="s">
        <v>916</v>
      </c>
      <c r="O31" s="789">
        <v>0.03</v>
      </c>
      <c r="P31" s="790">
        <v>0.04</v>
      </c>
    </row>
    <row r="32" spans="2:20">
      <c r="B32" s="702">
        <v>7.0000000000000007E-2</v>
      </c>
      <c r="C32" s="789">
        <v>1.45</v>
      </c>
      <c r="D32" s="789">
        <v>3.52</v>
      </c>
      <c r="E32" s="789">
        <v>2.79</v>
      </c>
      <c r="F32" s="790">
        <v>1.79</v>
      </c>
      <c r="N32" s="694" t="s">
        <v>917</v>
      </c>
      <c r="O32" s="789">
        <v>0.04</v>
      </c>
      <c r="P32" s="790">
        <v>0.06</v>
      </c>
    </row>
    <row r="33" spans="2:16">
      <c r="B33" s="702">
        <v>0.08</v>
      </c>
      <c r="C33" s="789">
        <v>1.35</v>
      </c>
      <c r="D33" s="789">
        <v>2.95</v>
      </c>
      <c r="E33" s="789">
        <v>2.4500000000000002</v>
      </c>
      <c r="F33" s="790">
        <v>1.61</v>
      </c>
      <c r="N33" s="694" t="s">
        <v>918</v>
      </c>
      <c r="O33" s="789">
        <v>0.02</v>
      </c>
      <c r="P33" s="790">
        <v>0.03</v>
      </c>
    </row>
    <row r="34" spans="2:16">
      <c r="B34" s="702">
        <v>0.09</v>
      </c>
      <c r="C34" s="789">
        <v>1.27</v>
      </c>
      <c r="D34" s="789">
        <v>2.52</v>
      </c>
      <c r="E34" s="789">
        <v>2.1800000000000002</v>
      </c>
      <c r="F34" s="790">
        <v>1.48</v>
      </c>
      <c r="N34" s="694" t="s">
        <v>919</v>
      </c>
      <c r="O34" s="789">
        <v>0.02</v>
      </c>
      <c r="P34" s="790">
        <v>0.02</v>
      </c>
    </row>
    <row r="35" spans="2:16" ht="15.75" thickBot="1">
      <c r="B35" s="702">
        <v>0.1</v>
      </c>
      <c r="C35" s="789">
        <v>1.22</v>
      </c>
      <c r="D35" s="789">
        <v>2.2000000000000002</v>
      </c>
      <c r="E35" s="789">
        <v>1.96</v>
      </c>
      <c r="F35" s="790">
        <v>1.38</v>
      </c>
      <c r="N35" s="697" t="s">
        <v>920</v>
      </c>
      <c r="O35" s="795">
        <v>0.03</v>
      </c>
      <c r="P35" s="796">
        <v>0.05</v>
      </c>
    </row>
    <row r="36" spans="2:16">
      <c r="B36" s="702">
        <v>0.11</v>
      </c>
      <c r="C36" s="789">
        <v>1.17</v>
      </c>
      <c r="D36" s="789">
        <v>1.96</v>
      </c>
      <c r="E36" s="789">
        <v>1.79</v>
      </c>
      <c r="F36" s="790">
        <v>1.3</v>
      </c>
    </row>
    <row r="37" spans="2:16">
      <c r="B37" s="702">
        <v>0.12</v>
      </c>
      <c r="C37" s="789">
        <v>1.1399999999999999</v>
      </c>
      <c r="D37" s="789">
        <v>1.76</v>
      </c>
      <c r="E37" s="789">
        <v>1.64</v>
      </c>
      <c r="F37" s="790">
        <v>1.24</v>
      </c>
    </row>
    <row r="38" spans="2:16">
      <c r="B38" s="702">
        <v>0.13</v>
      </c>
      <c r="C38" s="789">
        <v>1.1100000000000001</v>
      </c>
      <c r="D38" s="789">
        <v>1.6</v>
      </c>
      <c r="E38" s="789">
        <v>1.52</v>
      </c>
      <c r="F38" s="790">
        <v>1.19</v>
      </c>
    </row>
    <row r="39" spans="2:16">
      <c r="B39" s="702">
        <v>0.14000000000000001</v>
      </c>
      <c r="C39" s="789">
        <v>1.08</v>
      </c>
      <c r="D39" s="789">
        <v>1.47</v>
      </c>
      <c r="E39" s="789">
        <v>1.41</v>
      </c>
      <c r="F39" s="790">
        <v>1.1499999999999999</v>
      </c>
    </row>
    <row r="40" spans="2:16">
      <c r="B40" s="702">
        <v>0.15</v>
      </c>
      <c r="C40" s="789">
        <v>1.06</v>
      </c>
      <c r="D40" s="789">
        <v>1.36</v>
      </c>
      <c r="E40" s="789">
        <v>1.32</v>
      </c>
      <c r="F40" s="790">
        <v>1.1100000000000001</v>
      </c>
    </row>
    <row r="41" spans="2:16">
      <c r="B41" s="702">
        <v>0.16</v>
      </c>
      <c r="C41" s="789">
        <v>1.05</v>
      </c>
      <c r="D41" s="789">
        <v>1.26</v>
      </c>
      <c r="E41" s="789">
        <v>1.24</v>
      </c>
      <c r="F41" s="790">
        <v>1.08</v>
      </c>
    </row>
    <row r="42" spans="2:16">
      <c r="B42" s="702">
        <v>0.17</v>
      </c>
      <c r="C42" s="789">
        <v>1.03</v>
      </c>
      <c r="D42" s="789">
        <v>1.6</v>
      </c>
      <c r="E42" s="789">
        <v>1.17</v>
      </c>
      <c r="F42" s="790">
        <v>1.06</v>
      </c>
    </row>
    <row r="43" spans="2:16">
      <c r="B43" s="702">
        <v>0.18</v>
      </c>
      <c r="C43" s="789">
        <v>1.02</v>
      </c>
      <c r="D43" s="789">
        <v>1.18</v>
      </c>
      <c r="E43" s="789">
        <v>1.1100000000000001</v>
      </c>
      <c r="F43" s="790">
        <v>1.04</v>
      </c>
    </row>
    <row r="44" spans="2:16">
      <c r="B44" s="702">
        <v>0.19</v>
      </c>
      <c r="C44" s="789">
        <v>1.01</v>
      </c>
      <c r="D44" s="789">
        <v>1.1100000000000001</v>
      </c>
      <c r="E44" s="789">
        <v>1.05</v>
      </c>
      <c r="F44" s="790">
        <v>1.02</v>
      </c>
    </row>
    <row r="45" spans="2:16" ht="15.75" thickBot="1">
      <c r="B45" s="703">
        <v>0.2</v>
      </c>
      <c r="C45" s="795">
        <v>1</v>
      </c>
      <c r="D45" s="795">
        <v>1</v>
      </c>
      <c r="E45" s="1053">
        <v>1</v>
      </c>
      <c r="F45" s="1052">
        <v>1</v>
      </c>
    </row>
    <row r="48" spans="2:16" ht="15.75" thickBot="1">
      <c r="B48" s="690" t="s">
        <v>1108</v>
      </c>
      <c r="N48" s="690" t="s">
        <v>1106</v>
      </c>
      <c r="O48" s="690"/>
    </row>
    <row r="49" spans="2:21" ht="30">
      <c r="B49" s="701" t="s">
        <v>876</v>
      </c>
      <c r="C49" s="691" t="s">
        <v>877</v>
      </c>
      <c r="D49" s="691" t="s">
        <v>878</v>
      </c>
      <c r="E49" s="691" t="s">
        <v>879</v>
      </c>
      <c r="F49" s="691" t="s">
        <v>921</v>
      </c>
      <c r="G49" s="691" t="s">
        <v>880</v>
      </c>
      <c r="H49" s="691" t="s">
        <v>881</v>
      </c>
      <c r="I49" s="691" t="s">
        <v>882</v>
      </c>
      <c r="J49" s="691" t="s">
        <v>883</v>
      </c>
      <c r="K49" s="692" t="s">
        <v>884</v>
      </c>
      <c r="L49" s="693"/>
      <c r="N49" s="701" t="s">
        <v>876</v>
      </c>
      <c r="O49" s="691" t="s">
        <v>877</v>
      </c>
      <c r="P49" s="704" t="s">
        <v>878</v>
      </c>
      <c r="Q49" s="704" t="s">
        <v>886</v>
      </c>
      <c r="R49" s="704" t="s">
        <v>887</v>
      </c>
      <c r="S49" s="705" t="s">
        <v>888</v>
      </c>
    </row>
    <row r="50" spans="2:21">
      <c r="B50" s="694" t="s">
        <v>891</v>
      </c>
      <c r="C50" s="695" t="s">
        <v>922</v>
      </c>
      <c r="D50" s="789" t="str">
        <f>B50&amp;" "&amp;C50</f>
        <v>Medium speed diesel  ≤ 1999</v>
      </c>
      <c r="E50" s="789">
        <v>13.8</v>
      </c>
      <c r="F50" s="789">
        <v>0.4</v>
      </c>
      <c r="G50" s="789">
        <v>1.1000000000000001</v>
      </c>
      <c r="H50" s="789">
        <v>0.44</v>
      </c>
      <c r="I50" s="789">
        <v>0.24</v>
      </c>
      <c r="J50" s="789">
        <v>0.23</v>
      </c>
      <c r="K50" s="1050">
        <v>0.24</v>
      </c>
      <c r="L50" s="679"/>
      <c r="N50" s="694" t="s">
        <v>891</v>
      </c>
      <c r="O50" s="706" t="s">
        <v>895</v>
      </c>
      <c r="P50" s="695" t="str">
        <f>N50&amp;" "&amp;O50</f>
        <v>Medium speed diesel All</v>
      </c>
      <c r="Q50" s="789">
        <v>683</v>
      </c>
      <c r="R50" s="789">
        <v>2.9000000000000001E-2</v>
      </c>
      <c r="S50" s="790">
        <v>8.0000000000000002E-3</v>
      </c>
    </row>
    <row r="51" spans="2:21">
      <c r="B51" s="694" t="s">
        <v>891</v>
      </c>
      <c r="C51" s="695" t="s">
        <v>892</v>
      </c>
      <c r="D51" s="789" t="str">
        <f t="shared" ref="D51:D54" si="2">B51&amp;" "&amp;C51</f>
        <v>Medium speed diesel  2000 - 2010</v>
      </c>
      <c r="E51" s="789">
        <v>12.2</v>
      </c>
      <c r="F51" s="789">
        <v>0.4</v>
      </c>
      <c r="G51" s="789">
        <v>1.1000000000000001</v>
      </c>
      <c r="H51" s="789">
        <v>0.44</v>
      </c>
      <c r="I51" s="789">
        <v>0.24</v>
      </c>
      <c r="J51" s="789">
        <v>0.23</v>
      </c>
      <c r="K51" s="1050">
        <v>0.24</v>
      </c>
      <c r="L51" s="679"/>
      <c r="N51" s="694" t="s">
        <v>891</v>
      </c>
      <c r="O51" s="695" t="s">
        <v>892</v>
      </c>
      <c r="P51" s="706" t="str">
        <f t="shared" ref="P51:P54" si="3">N51&amp;" "&amp;O51</f>
        <v>Medium speed diesel  2000 - 2010</v>
      </c>
      <c r="Q51" s="789">
        <v>683</v>
      </c>
      <c r="R51" s="789">
        <v>2.9000000000000001E-2</v>
      </c>
      <c r="S51" s="790">
        <v>8.0000000000000002E-3</v>
      </c>
    </row>
    <row r="52" spans="2:21">
      <c r="B52" s="694" t="s">
        <v>891</v>
      </c>
      <c r="C52" s="695" t="s">
        <v>893</v>
      </c>
      <c r="D52" s="789" t="str">
        <f t="shared" si="2"/>
        <v>Medium speed diesel  2011 - 2015</v>
      </c>
      <c r="E52" s="789">
        <v>10.5</v>
      </c>
      <c r="F52" s="789">
        <v>0.4</v>
      </c>
      <c r="G52" s="789">
        <v>1.1000000000000001</v>
      </c>
      <c r="H52" s="789">
        <v>0.44</v>
      </c>
      <c r="I52" s="789">
        <v>0.24</v>
      </c>
      <c r="J52" s="789">
        <v>0.23</v>
      </c>
      <c r="K52" s="1050">
        <v>0.24</v>
      </c>
      <c r="L52" s="679"/>
      <c r="N52" s="694" t="s">
        <v>891</v>
      </c>
      <c r="O52" s="695" t="s">
        <v>893</v>
      </c>
      <c r="P52" s="706" t="str">
        <f t="shared" si="3"/>
        <v>Medium speed diesel  2011 - 2015</v>
      </c>
      <c r="Q52" s="789">
        <v>683</v>
      </c>
      <c r="R52" s="789">
        <v>2.9000000000000001E-2</v>
      </c>
      <c r="S52" s="790">
        <v>8.0000000000000002E-3</v>
      </c>
    </row>
    <row r="53" spans="2:21">
      <c r="B53" s="707" t="s">
        <v>894</v>
      </c>
      <c r="C53" s="708" t="s">
        <v>895</v>
      </c>
      <c r="D53" s="789" t="str">
        <f t="shared" si="2"/>
        <v>Lean Burn SI LNG All</v>
      </c>
      <c r="E53" s="791">
        <f t="shared" ref="E53:K54" si="4">E14</f>
        <v>0.9</v>
      </c>
      <c r="F53" s="797">
        <f>F14</f>
        <v>4.5600000000000003E-4</v>
      </c>
      <c r="G53" s="791">
        <f t="shared" si="4"/>
        <v>1.7</v>
      </c>
      <c r="H53" s="791">
        <f t="shared" si="4"/>
        <v>0</v>
      </c>
      <c r="I53" s="791">
        <f t="shared" si="4"/>
        <v>0.02</v>
      </c>
      <c r="J53" s="791">
        <f t="shared" si="4"/>
        <v>0.02</v>
      </c>
      <c r="K53" s="1051">
        <f t="shared" si="4"/>
        <v>0</v>
      </c>
      <c r="L53" s="679"/>
      <c r="N53" s="694" t="s">
        <v>894</v>
      </c>
      <c r="O53" s="706" t="s">
        <v>895</v>
      </c>
      <c r="P53" s="706" t="str">
        <f t="shared" si="3"/>
        <v>Lean Burn SI LNG All</v>
      </c>
      <c r="Q53" s="789">
        <f>Q16</f>
        <v>472</v>
      </c>
      <c r="R53" s="789">
        <v>2.9000000000000001E-2</v>
      </c>
      <c r="S53" s="790">
        <f t="shared" ref="S53:S54" si="5">S16</f>
        <v>4.0999999999999996</v>
      </c>
    </row>
    <row r="54" spans="2:21" ht="15.75" thickBot="1">
      <c r="B54" s="697" t="s">
        <v>897</v>
      </c>
      <c r="C54" s="698" t="s">
        <v>895</v>
      </c>
      <c r="D54" s="795" t="str">
        <f t="shared" si="2"/>
        <v>Low Pressure DF LNG All</v>
      </c>
      <c r="E54" s="795">
        <f t="shared" si="4"/>
        <v>1.9</v>
      </c>
      <c r="F54" s="798">
        <f t="shared" si="4"/>
        <v>3.8000000000000002E-4</v>
      </c>
      <c r="G54" s="795">
        <f t="shared" si="4"/>
        <v>1.9</v>
      </c>
      <c r="H54" s="795">
        <f t="shared" si="4"/>
        <v>3.5150000000000003E-3</v>
      </c>
      <c r="I54" s="795">
        <f t="shared" si="4"/>
        <v>0.02</v>
      </c>
      <c r="J54" s="795">
        <f t="shared" si="4"/>
        <v>0.02</v>
      </c>
      <c r="K54" s="1052">
        <f t="shared" si="4"/>
        <v>0</v>
      </c>
      <c r="N54" s="697" t="s">
        <v>897</v>
      </c>
      <c r="O54" s="709" t="s">
        <v>895</v>
      </c>
      <c r="P54" s="709" t="str">
        <f t="shared" si="3"/>
        <v>Low Pressure DF LNG All</v>
      </c>
      <c r="Q54" s="795">
        <f>Q17</f>
        <v>444</v>
      </c>
      <c r="R54" s="795">
        <v>2.9000000000000001E-2</v>
      </c>
      <c r="S54" s="796">
        <f t="shared" si="5"/>
        <v>5.3</v>
      </c>
    </row>
    <row r="55" spans="2:21">
      <c r="B55" s="700" t="s">
        <v>923</v>
      </c>
      <c r="C55" s="679"/>
      <c r="D55" s="679"/>
      <c r="E55" s="710"/>
      <c r="F55" s="710"/>
      <c r="G55" s="710"/>
      <c r="H55" s="710"/>
      <c r="I55" s="710"/>
      <c r="J55" s="710"/>
      <c r="K55" s="710"/>
    </row>
    <row r="56" spans="2:21">
      <c r="B56" s="679"/>
      <c r="C56" s="679"/>
      <c r="D56" s="679"/>
      <c r="E56" s="710"/>
      <c r="F56" s="710"/>
      <c r="G56" s="710"/>
      <c r="H56" s="710"/>
      <c r="I56" s="710"/>
      <c r="J56" s="710"/>
      <c r="K56" s="710"/>
    </row>
    <row r="57" spans="2:21" ht="15.75" thickBot="1">
      <c r="B57" s="690" t="s">
        <v>1117</v>
      </c>
      <c r="N57" s="690" t="s">
        <v>1116</v>
      </c>
      <c r="O57" s="690"/>
      <c r="P57" s="690"/>
    </row>
    <row r="58" spans="2:21" ht="30">
      <c r="B58" s="711" t="s">
        <v>876</v>
      </c>
      <c r="C58" s="704" t="s">
        <v>877</v>
      </c>
      <c r="D58" s="704" t="s">
        <v>878</v>
      </c>
      <c r="E58" s="704" t="s">
        <v>879</v>
      </c>
      <c r="F58" s="704" t="s">
        <v>921</v>
      </c>
      <c r="G58" s="704" t="s">
        <v>880</v>
      </c>
      <c r="H58" s="704" t="s">
        <v>881</v>
      </c>
      <c r="I58" s="704" t="s">
        <v>882</v>
      </c>
      <c r="J58" s="704" t="s">
        <v>883</v>
      </c>
      <c r="K58" s="705" t="s">
        <v>884</v>
      </c>
      <c r="L58" s="693"/>
      <c r="N58" s="701" t="s">
        <v>876</v>
      </c>
      <c r="O58" s="691" t="s">
        <v>877</v>
      </c>
      <c r="P58" s="704" t="s">
        <v>878</v>
      </c>
      <c r="Q58" s="704" t="s">
        <v>886</v>
      </c>
      <c r="R58" s="704" t="s">
        <v>887</v>
      </c>
      <c r="S58" s="705" t="s">
        <v>888</v>
      </c>
    </row>
    <row r="59" spans="2:21">
      <c r="B59" s="694" t="s">
        <v>924</v>
      </c>
      <c r="C59" s="695" t="s">
        <v>895</v>
      </c>
      <c r="D59" s="789" t="str">
        <f>B59&amp;" "&amp;C59</f>
        <v>Fuel Oil Aux Boiler All</v>
      </c>
      <c r="E59" s="789">
        <v>2</v>
      </c>
      <c r="F59" s="789">
        <v>0.1</v>
      </c>
      <c r="G59" s="789">
        <v>0.2</v>
      </c>
      <c r="H59" s="789">
        <v>6</v>
      </c>
      <c r="I59" s="789">
        <v>16</v>
      </c>
      <c r="J59" s="789">
        <v>0.15</v>
      </c>
      <c r="K59" s="790">
        <v>0</v>
      </c>
      <c r="L59" s="679"/>
      <c r="N59" s="694" t="s">
        <v>924</v>
      </c>
      <c r="O59" s="706" t="s">
        <v>895</v>
      </c>
      <c r="P59" s="695" t="str">
        <f>N59&amp;" "&amp;O59</f>
        <v>Fuel Oil Aux Boiler All</v>
      </c>
      <c r="Q59" s="695">
        <v>922</v>
      </c>
      <c r="R59" s="695">
        <v>7.4999999999999997E-2</v>
      </c>
      <c r="S59" s="696">
        <v>2E-3</v>
      </c>
    </row>
    <row r="60" spans="2:21" ht="15.75" thickBot="1">
      <c r="B60" s="697" t="s">
        <v>925</v>
      </c>
      <c r="C60" s="698" t="s">
        <v>895</v>
      </c>
      <c r="D60" s="795" t="str">
        <f>B60&amp;" "&amp;C60</f>
        <v>LNG Aux Boiler All</v>
      </c>
      <c r="E60" s="795">
        <f>E59</f>
        <v>2</v>
      </c>
      <c r="F60" s="795">
        <f t="shared" ref="F60:J60" si="6">F59</f>
        <v>0.1</v>
      </c>
      <c r="G60" s="795">
        <f t="shared" si="6"/>
        <v>0.2</v>
      </c>
      <c r="H60" s="795">
        <v>0</v>
      </c>
      <c r="I60" s="795">
        <f t="shared" si="6"/>
        <v>16</v>
      </c>
      <c r="J60" s="795">
        <f t="shared" si="6"/>
        <v>0.15</v>
      </c>
      <c r="K60" s="796">
        <v>0</v>
      </c>
      <c r="L60" s="679"/>
      <c r="N60" s="697" t="s">
        <v>925</v>
      </c>
      <c r="O60" s="709" t="s">
        <v>895</v>
      </c>
      <c r="P60" s="709" t="str">
        <f>N60&amp;" "&amp;O60</f>
        <v>LNG Aux Boiler All</v>
      </c>
      <c r="Q60" s="712">
        <f>Q59*0.0162/0.0232</f>
        <v>643.81034482758616</v>
      </c>
      <c r="R60" s="698">
        <f>R59</f>
        <v>7.4999999999999997E-2</v>
      </c>
      <c r="S60" s="699">
        <f>S59*AVERAGE(S51:S52)/S50</f>
        <v>2E-3</v>
      </c>
    </row>
    <row r="61" spans="2:21">
      <c r="B61" s="677" t="s">
        <v>926</v>
      </c>
      <c r="N61" s="677" t="s">
        <v>926</v>
      </c>
    </row>
    <row r="62" spans="2:21" ht="30" customHeight="1">
      <c r="B62" s="679"/>
      <c r="N62" s="1845" t="s">
        <v>927</v>
      </c>
      <c r="O62" s="1845"/>
      <c r="P62" s="1845"/>
      <c r="Q62" s="1845"/>
      <c r="R62" s="1845"/>
      <c r="S62" s="1845"/>
      <c r="T62" s="1845"/>
      <c r="U62" s="1845"/>
    </row>
    <row r="63" spans="2:21">
      <c r="N63" s="1846" t="s">
        <v>928</v>
      </c>
      <c r="O63" s="1846"/>
      <c r="P63" s="1846"/>
      <c r="Q63" s="1846"/>
      <c r="R63" s="1846"/>
      <c r="S63" s="1846"/>
      <c r="T63" s="1846"/>
      <c r="U63" s="1846"/>
    </row>
    <row r="64" spans="2:21">
      <c r="N64" s="1846"/>
      <c r="O64" s="1846"/>
      <c r="P64" s="1846"/>
      <c r="Q64" s="1846"/>
      <c r="R64" s="1846"/>
      <c r="S64" s="1846"/>
      <c r="T64" s="1846"/>
      <c r="U64" s="1846"/>
    </row>
    <row r="65" spans="2:17">
      <c r="N65" s="679"/>
    </row>
    <row r="66" spans="2:17" ht="15.75" thickBot="1">
      <c r="B66" s="690" t="s">
        <v>1119</v>
      </c>
      <c r="N66" s="690" t="s">
        <v>1118</v>
      </c>
    </row>
    <row r="67" spans="2:17">
      <c r="B67" s="701" t="s">
        <v>909</v>
      </c>
      <c r="C67" s="691" t="s">
        <v>929</v>
      </c>
      <c r="D67" s="691" t="s">
        <v>930</v>
      </c>
      <c r="E67" s="692" t="s">
        <v>931</v>
      </c>
      <c r="N67" s="701" t="s">
        <v>909</v>
      </c>
      <c r="O67" s="691" t="s">
        <v>929</v>
      </c>
      <c r="P67" s="691" t="s">
        <v>930</v>
      </c>
      <c r="Q67" s="692" t="s">
        <v>1114</v>
      </c>
    </row>
    <row r="68" spans="2:17">
      <c r="B68" s="694" t="s">
        <v>912</v>
      </c>
      <c r="C68" s="789">
        <v>590</v>
      </c>
      <c r="D68" s="789">
        <v>1224</v>
      </c>
      <c r="E68" s="790">
        <v>876</v>
      </c>
      <c r="N68" s="694" t="s">
        <v>912</v>
      </c>
      <c r="O68" s="789">
        <v>0</v>
      </c>
      <c r="P68" s="789">
        <v>184</v>
      </c>
      <c r="Q68" s="790">
        <v>314</v>
      </c>
    </row>
    <row r="69" spans="2:17">
      <c r="B69" s="694" t="s">
        <v>913</v>
      </c>
      <c r="C69" s="789">
        <v>266</v>
      </c>
      <c r="D69" s="789">
        <v>384</v>
      </c>
      <c r="E69" s="790">
        <v>157</v>
      </c>
      <c r="N69" s="694" t="s">
        <v>913</v>
      </c>
      <c r="O69" s="789">
        <v>0</v>
      </c>
      <c r="P69" s="789">
        <v>94</v>
      </c>
      <c r="Q69" s="790">
        <v>125</v>
      </c>
    </row>
    <row r="70" spans="2:17">
      <c r="B70" s="694" t="s">
        <v>932</v>
      </c>
      <c r="C70" s="789">
        <v>462</v>
      </c>
      <c r="D70" s="789">
        <v>807</v>
      </c>
      <c r="E70" s="790">
        <v>258</v>
      </c>
      <c r="N70" s="694" t="s">
        <v>932</v>
      </c>
      <c r="O70" s="789">
        <v>0</v>
      </c>
      <c r="P70" s="789">
        <v>103</v>
      </c>
      <c r="Q70" s="790">
        <v>125</v>
      </c>
    </row>
    <row r="71" spans="2:17">
      <c r="B71" s="694" t="s">
        <v>933</v>
      </c>
      <c r="C71" s="789">
        <v>305</v>
      </c>
      <c r="D71" s="789">
        <v>1223</v>
      </c>
      <c r="E71" s="790">
        <v>136</v>
      </c>
      <c r="N71" s="694" t="s">
        <v>933</v>
      </c>
      <c r="O71" s="789">
        <v>0</v>
      </c>
      <c r="P71" s="789">
        <v>94</v>
      </c>
      <c r="Q71" s="790">
        <v>134</v>
      </c>
    </row>
    <row r="72" spans="2:17">
      <c r="B72" s="694" t="s">
        <v>934</v>
      </c>
      <c r="C72" s="1057">
        <v>266</v>
      </c>
      <c r="D72" s="789">
        <v>1275</v>
      </c>
      <c r="E72" s="790">
        <v>157</v>
      </c>
      <c r="N72" s="694" t="s">
        <v>934</v>
      </c>
      <c r="O72" s="789">
        <v>0</v>
      </c>
      <c r="P72" s="1057">
        <v>134</v>
      </c>
      <c r="Q72" s="1058">
        <v>134</v>
      </c>
    </row>
    <row r="73" spans="2:17">
      <c r="B73" s="694" t="s">
        <v>935</v>
      </c>
      <c r="C73" s="789">
        <v>892</v>
      </c>
      <c r="D73" s="789">
        <v>1275</v>
      </c>
      <c r="E73" s="790">
        <v>536</v>
      </c>
      <c r="N73" s="694" t="s">
        <v>935</v>
      </c>
      <c r="O73" s="789">
        <v>0</v>
      </c>
      <c r="P73" s="789">
        <v>213</v>
      </c>
      <c r="Q73" s="790">
        <v>273</v>
      </c>
    </row>
    <row r="74" spans="2:17">
      <c r="B74" s="694" t="s">
        <v>936</v>
      </c>
      <c r="C74" s="789">
        <v>1280</v>
      </c>
      <c r="D74" s="789">
        <v>1911</v>
      </c>
      <c r="E74" s="790">
        <v>945</v>
      </c>
      <c r="N74" s="694" t="s">
        <v>936</v>
      </c>
      <c r="O74" s="789">
        <v>0</v>
      </c>
      <c r="P74" s="789">
        <v>282</v>
      </c>
      <c r="Q74" s="790">
        <v>361</v>
      </c>
    </row>
    <row r="75" spans="2:17">
      <c r="B75" s="694" t="s">
        <v>937</v>
      </c>
      <c r="C75" s="789">
        <v>888</v>
      </c>
      <c r="D75" s="789">
        <v>1685</v>
      </c>
      <c r="E75" s="790">
        <v>965</v>
      </c>
      <c r="N75" s="694" t="s">
        <v>937</v>
      </c>
      <c r="O75" s="789">
        <v>0</v>
      </c>
      <c r="P75" s="789">
        <v>328</v>
      </c>
      <c r="Q75" s="790">
        <v>420</v>
      </c>
    </row>
    <row r="76" spans="2:17">
      <c r="B76" s="694" t="s">
        <v>938</v>
      </c>
      <c r="C76" s="789">
        <v>1499</v>
      </c>
      <c r="D76" s="789">
        <v>2528</v>
      </c>
      <c r="E76" s="790">
        <v>1196</v>
      </c>
      <c r="N76" s="694" t="s">
        <v>938</v>
      </c>
      <c r="O76" s="789">
        <v>0</v>
      </c>
      <c r="P76" s="789">
        <v>371</v>
      </c>
      <c r="Q76" s="790">
        <v>477</v>
      </c>
    </row>
    <row r="77" spans="2:17">
      <c r="B77" s="694" t="s">
        <v>939</v>
      </c>
      <c r="C77" s="789">
        <v>1444</v>
      </c>
      <c r="D77" s="789">
        <v>2458</v>
      </c>
      <c r="E77" s="790">
        <v>1202</v>
      </c>
      <c r="N77" s="694" t="s">
        <v>939</v>
      </c>
      <c r="O77" s="789">
        <v>0</v>
      </c>
      <c r="P77" s="789">
        <v>473</v>
      </c>
      <c r="Q77" s="790">
        <v>579</v>
      </c>
    </row>
    <row r="78" spans="2:17">
      <c r="B78" s="694" t="s">
        <v>940</v>
      </c>
      <c r="C78" s="789">
        <v>1598</v>
      </c>
      <c r="D78" s="789">
        <v>2665</v>
      </c>
      <c r="E78" s="790">
        <v>1461</v>
      </c>
      <c r="N78" s="694" t="s">
        <v>940</v>
      </c>
      <c r="O78" s="789">
        <v>0</v>
      </c>
      <c r="P78" s="789">
        <v>567</v>
      </c>
      <c r="Q78" s="790">
        <v>615</v>
      </c>
    </row>
    <row r="79" spans="2:17">
      <c r="B79" s="694" t="s">
        <v>941</v>
      </c>
      <c r="C79" s="789">
        <v>1332</v>
      </c>
      <c r="D79" s="789">
        <v>2675</v>
      </c>
      <c r="E79" s="790">
        <v>1325</v>
      </c>
      <c r="N79" s="694" t="s">
        <v>941</v>
      </c>
      <c r="O79" s="789">
        <v>0</v>
      </c>
      <c r="P79" s="789">
        <v>470</v>
      </c>
      <c r="Q79" s="790">
        <v>623</v>
      </c>
    </row>
    <row r="80" spans="2:17">
      <c r="B80" s="694" t="s">
        <v>942</v>
      </c>
      <c r="C80" s="789">
        <v>1497</v>
      </c>
      <c r="D80" s="789">
        <v>4769</v>
      </c>
      <c r="E80" s="790">
        <v>1449</v>
      </c>
      <c r="N80" s="694" t="s">
        <v>942</v>
      </c>
      <c r="O80" s="789">
        <v>0</v>
      </c>
      <c r="P80" s="789">
        <v>506</v>
      </c>
      <c r="Q80" s="790">
        <v>668</v>
      </c>
    </row>
    <row r="81" spans="2:17">
      <c r="B81" s="694" t="s">
        <v>943</v>
      </c>
      <c r="C81" s="789">
        <v>1495</v>
      </c>
      <c r="D81" s="789">
        <v>4551</v>
      </c>
      <c r="E81" s="790">
        <v>1383</v>
      </c>
      <c r="N81" s="694" t="s">
        <v>943</v>
      </c>
      <c r="O81" s="789">
        <v>0</v>
      </c>
      <c r="P81" s="789">
        <v>613</v>
      </c>
      <c r="Q81" s="790">
        <v>677</v>
      </c>
    </row>
    <row r="82" spans="2:17">
      <c r="B82" s="694" t="s">
        <v>944</v>
      </c>
      <c r="C82" s="789">
        <v>1662</v>
      </c>
      <c r="D82" s="789">
        <v>2617</v>
      </c>
      <c r="E82" s="790">
        <v>887</v>
      </c>
      <c r="N82" s="694" t="s">
        <v>944</v>
      </c>
      <c r="O82" s="789">
        <v>0</v>
      </c>
      <c r="P82" s="789">
        <v>458</v>
      </c>
      <c r="Q82" s="790">
        <v>581</v>
      </c>
    </row>
    <row r="83" spans="2:17">
      <c r="B83" s="694" t="s">
        <v>915</v>
      </c>
      <c r="C83" s="789" t="s">
        <v>945</v>
      </c>
      <c r="D83" s="789" t="s">
        <v>945</v>
      </c>
      <c r="E83" s="790" t="s">
        <v>945</v>
      </c>
      <c r="N83" s="694" t="s">
        <v>915</v>
      </c>
      <c r="O83" s="789">
        <v>0</v>
      </c>
      <c r="P83" s="789">
        <v>361</v>
      </c>
      <c r="Q83" s="790">
        <v>306</v>
      </c>
    </row>
    <row r="84" spans="2:17">
      <c r="B84" s="694" t="s">
        <v>916</v>
      </c>
      <c r="C84" s="789">
        <v>471</v>
      </c>
      <c r="D84" s="789">
        <v>1096</v>
      </c>
      <c r="E84" s="790">
        <v>829</v>
      </c>
      <c r="N84" s="694" t="s">
        <v>916</v>
      </c>
      <c r="O84" s="789"/>
      <c r="P84" s="789">
        <v>124</v>
      </c>
      <c r="Q84" s="790">
        <v>134</v>
      </c>
    </row>
    <row r="85" spans="2:17">
      <c r="B85" s="694" t="s">
        <v>917</v>
      </c>
      <c r="C85" s="789">
        <v>79</v>
      </c>
      <c r="D85" s="789">
        <v>208</v>
      </c>
      <c r="E85" s="790">
        <v>102</v>
      </c>
      <c r="N85" s="694" t="s">
        <v>917</v>
      </c>
      <c r="O85" s="789">
        <v>0</v>
      </c>
      <c r="P85" s="789">
        <v>0</v>
      </c>
      <c r="Q85" s="790">
        <v>0</v>
      </c>
    </row>
    <row r="86" spans="2:17">
      <c r="B86" s="694" t="s">
        <v>918</v>
      </c>
      <c r="C86" s="789">
        <v>1247</v>
      </c>
      <c r="D86" s="789">
        <v>1168</v>
      </c>
      <c r="E86" s="790">
        <v>900</v>
      </c>
      <c r="N86" s="694" t="s">
        <v>918</v>
      </c>
      <c r="O86" s="789">
        <v>0</v>
      </c>
      <c r="P86" s="789">
        <v>237</v>
      </c>
      <c r="Q86" s="790">
        <v>304</v>
      </c>
    </row>
    <row r="87" spans="2:17">
      <c r="B87" s="694" t="s">
        <v>919</v>
      </c>
      <c r="C87" s="789">
        <v>132</v>
      </c>
      <c r="D87" s="789">
        <v>396</v>
      </c>
      <c r="E87" s="790">
        <v>229</v>
      </c>
      <c r="N87" s="694" t="s">
        <v>919</v>
      </c>
      <c r="O87" s="789">
        <v>0</v>
      </c>
      <c r="P87" s="789">
        <v>148</v>
      </c>
      <c r="Q87" s="790">
        <v>259</v>
      </c>
    </row>
    <row r="88" spans="2:17">
      <c r="B88" s="694" t="s">
        <v>946</v>
      </c>
      <c r="C88" s="789">
        <v>556</v>
      </c>
      <c r="D88" s="789">
        <v>628</v>
      </c>
      <c r="E88" s="790">
        <v>909</v>
      </c>
      <c r="N88" s="694" t="s">
        <v>946</v>
      </c>
      <c r="O88" s="789">
        <v>0</v>
      </c>
      <c r="P88" s="789">
        <v>438</v>
      </c>
      <c r="Q88" s="790">
        <v>5030</v>
      </c>
    </row>
    <row r="89" spans="2:17">
      <c r="B89" s="694" t="s">
        <v>947</v>
      </c>
      <c r="C89" s="789">
        <v>417</v>
      </c>
      <c r="D89" s="789">
        <v>583</v>
      </c>
      <c r="E89" s="790">
        <v>1271</v>
      </c>
      <c r="N89" s="694" t="s">
        <v>947</v>
      </c>
      <c r="O89" s="789">
        <v>0</v>
      </c>
      <c r="P89" s="789">
        <v>136</v>
      </c>
      <c r="Q89" s="790">
        <v>568</v>
      </c>
    </row>
    <row r="90" spans="2:17">
      <c r="B90" s="694" t="s">
        <v>948</v>
      </c>
      <c r="C90" s="789">
        <v>560</v>
      </c>
      <c r="D90" s="789">
        <v>600</v>
      </c>
      <c r="E90" s="790">
        <v>900</v>
      </c>
      <c r="N90" s="694" t="s">
        <v>948</v>
      </c>
      <c r="O90" s="789">
        <v>0</v>
      </c>
      <c r="P90" s="789">
        <v>144</v>
      </c>
      <c r="Q90" s="790">
        <v>2586</v>
      </c>
    </row>
    <row r="91" spans="2:17">
      <c r="B91" s="694" t="s">
        <v>949</v>
      </c>
      <c r="C91" s="789">
        <v>488</v>
      </c>
      <c r="D91" s="789">
        <v>600</v>
      </c>
      <c r="E91" s="790">
        <v>379</v>
      </c>
      <c r="N91" s="694" t="s">
        <v>949</v>
      </c>
      <c r="O91" s="789">
        <v>0</v>
      </c>
      <c r="P91" s="789">
        <v>351</v>
      </c>
      <c r="Q91" s="790">
        <v>3421</v>
      </c>
    </row>
    <row r="92" spans="2:17" ht="15.75" thickBot="1">
      <c r="B92" s="697" t="s">
        <v>950</v>
      </c>
      <c r="C92" s="795">
        <v>858</v>
      </c>
      <c r="D92" s="795">
        <v>1289</v>
      </c>
      <c r="E92" s="796">
        <v>2902</v>
      </c>
      <c r="N92" s="697" t="s">
        <v>950</v>
      </c>
      <c r="O92" s="795">
        <v>0</v>
      </c>
      <c r="P92" s="795">
        <v>191</v>
      </c>
      <c r="Q92" s="796">
        <v>5843</v>
      </c>
    </row>
    <row r="93" spans="2:17">
      <c r="N93" s="677" t="s">
        <v>1115</v>
      </c>
    </row>
    <row r="95" spans="2:17" ht="15.75" thickBot="1">
      <c r="B95" s="690" t="s">
        <v>951</v>
      </c>
    </row>
    <row r="96" spans="2:17">
      <c r="B96" s="701" t="s">
        <v>952</v>
      </c>
      <c r="C96" s="691" t="s">
        <v>879</v>
      </c>
      <c r="D96" s="691" t="s">
        <v>921</v>
      </c>
      <c r="E96" s="691" t="s">
        <v>880</v>
      </c>
      <c r="F96" s="691" t="s">
        <v>881</v>
      </c>
      <c r="G96" s="691" t="s">
        <v>882</v>
      </c>
      <c r="H96" s="691" t="s">
        <v>883</v>
      </c>
      <c r="I96" s="691" t="s">
        <v>884</v>
      </c>
      <c r="J96" s="691" t="s">
        <v>886</v>
      </c>
      <c r="K96" s="691" t="s">
        <v>887</v>
      </c>
      <c r="L96" s="692" t="s">
        <v>888</v>
      </c>
    </row>
    <row r="97" spans="2:12">
      <c r="B97" s="694" t="s">
        <v>953</v>
      </c>
      <c r="C97" s="789">
        <v>1</v>
      </c>
      <c r="D97" s="789">
        <v>1</v>
      </c>
      <c r="E97" s="789">
        <v>1</v>
      </c>
      <c r="F97" s="789">
        <v>1</v>
      </c>
      <c r="G97" s="789">
        <v>1</v>
      </c>
      <c r="H97" s="789">
        <v>1</v>
      </c>
      <c r="I97" s="789">
        <v>1</v>
      </c>
      <c r="J97" s="789">
        <v>1</v>
      </c>
      <c r="K97" s="789">
        <v>1</v>
      </c>
      <c r="L97" s="790">
        <v>1</v>
      </c>
    </row>
    <row r="98" spans="2:12">
      <c r="B98" s="694" t="s">
        <v>954</v>
      </c>
      <c r="C98" s="789">
        <v>1</v>
      </c>
      <c r="D98" s="789">
        <v>1</v>
      </c>
      <c r="E98" s="789">
        <v>1</v>
      </c>
      <c r="F98" s="789">
        <v>0.55500000000000005</v>
      </c>
      <c r="G98" s="789">
        <v>0.82</v>
      </c>
      <c r="H98" s="789">
        <v>0.82</v>
      </c>
      <c r="I98" s="789">
        <v>0.82</v>
      </c>
      <c r="J98" s="789">
        <v>1</v>
      </c>
      <c r="K98" s="789">
        <v>1</v>
      </c>
      <c r="L98" s="790">
        <v>1</v>
      </c>
    </row>
    <row r="99" spans="2:12">
      <c r="B99" s="694" t="s">
        <v>955</v>
      </c>
      <c r="C99" s="789">
        <v>0.94</v>
      </c>
      <c r="D99" s="789">
        <v>1</v>
      </c>
      <c r="E99" s="789">
        <v>1</v>
      </c>
      <c r="F99" s="789">
        <v>0.185</v>
      </c>
      <c r="G99" s="789">
        <v>0.25</v>
      </c>
      <c r="H99" s="789">
        <v>0.25</v>
      </c>
      <c r="I99" s="789">
        <v>0.25</v>
      </c>
      <c r="J99" s="789">
        <v>1</v>
      </c>
      <c r="K99" s="789">
        <v>0.94</v>
      </c>
      <c r="L99" s="790">
        <v>1</v>
      </c>
    </row>
    <row r="100" spans="2:12">
      <c r="B100" s="694" t="s">
        <v>956</v>
      </c>
      <c r="C100" s="789">
        <v>0.94</v>
      </c>
      <c r="D100" s="789">
        <v>1</v>
      </c>
      <c r="E100" s="789">
        <v>1</v>
      </c>
      <c r="F100" s="789">
        <v>0.55500000000000005</v>
      </c>
      <c r="G100" s="789">
        <v>0.47</v>
      </c>
      <c r="H100" s="789">
        <v>0.47</v>
      </c>
      <c r="I100" s="789">
        <v>0.47</v>
      </c>
      <c r="J100" s="789">
        <v>1</v>
      </c>
      <c r="K100" s="789">
        <v>0.94</v>
      </c>
      <c r="L100" s="790">
        <v>1</v>
      </c>
    </row>
    <row r="101" spans="2:12">
      <c r="B101" s="694" t="s">
        <v>957</v>
      </c>
      <c r="C101" s="789">
        <v>0.94</v>
      </c>
      <c r="D101" s="789">
        <v>1</v>
      </c>
      <c r="E101" s="789">
        <v>1</v>
      </c>
      <c r="F101" s="789">
        <v>3.6999999999999998E-2</v>
      </c>
      <c r="G101" s="789">
        <v>0.17</v>
      </c>
      <c r="H101" s="789">
        <v>0.17</v>
      </c>
      <c r="I101" s="789">
        <v>0.17</v>
      </c>
      <c r="J101" s="789">
        <v>1</v>
      </c>
      <c r="K101" s="789">
        <v>0.94</v>
      </c>
      <c r="L101" s="790">
        <v>1</v>
      </c>
    </row>
    <row r="102" spans="2:12">
      <c r="B102" s="694" t="s">
        <v>958</v>
      </c>
      <c r="C102" s="789">
        <v>0.94</v>
      </c>
      <c r="D102" s="789">
        <v>1</v>
      </c>
      <c r="E102" s="789">
        <v>1</v>
      </c>
      <c r="F102" s="789">
        <v>0.111</v>
      </c>
      <c r="G102" s="789">
        <v>0.21</v>
      </c>
      <c r="H102" s="789">
        <v>0.21</v>
      </c>
      <c r="I102" s="789">
        <v>0.21</v>
      </c>
      <c r="J102" s="789">
        <v>1</v>
      </c>
      <c r="K102" s="789">
        <v>0.94</v>
      </c>
      <c r="L102" s="790">
        <v>1</v>
      </c>
    </row>
    <row r="103" spans="2:12">
      <c r="B103" s="694" t="s">
        <v>959</v>
      </c>
      <c r="C103" s="789">
        <v>0.94</v>
      </c>
      <c r="D103" s="789">
        <v>1</v>
      </c>
      <c r="E103" s="789">
        <v>1</v>
      </c>
      <c r="F103" s="789">
        <v>0.14799999999999999</v>
      </c>
      <c r="G103" s="789">
        <v>0.23</v>
      </c>
      <c r="H103" s="789">
        <v>0.23</v>
      </c>
      <c r="I103" s="789">
        <v>0.23</v>
      </c>
      <c r="J103" s="789">
        <v>1</v>
      </c>
      <c r="K103" s="789">
        <v>0.94</v>
      </c>
      <c r="L103" s="790">
        <v>1</v>
      </c>
    </row>
    <row r="104" spans="2:12">
      <c r="B104" s="707" t="s">
        <v>960</v>
      </c>
      <c r="C104" s="791">
        <f>C101</f>
        <v>0.94</v>
      </c>
      <c r="D104" s="791">
        <f t="shared" ref="D104:L104" si="7">D101</f>
        <v>1</v>
      </c>
      <c r="E104" s="791">
        <f t="shared" si="7"/>
        <v>1</v>
      </c>
      <c r="F104" s="792">
        <f>F101-(F99-F101)/0.4*(0.1-0.0015)</f>
        <v>5.5499999999999994E-4</v>
      </c>
      <c r="G104" s="793">
        <f t="shared" ref="G104:I104" si="8">G101-(G99-G101)/0.4*(0.1-0.0015)</f>
        <v>0.15030000000000002</v>
      </c>
      <c r="H104" s="793">
        <f t="shared" si="8"/>
        <v>0.15030000000000002</v>
      </c>
      <c r="I104" s="793">
        <f t="shared" si="8"/>
        <v>0.15030000000000002</v>
      </c>
      <c r="J104" s="791">
        <f t="shared" si="7"/>
        <v>1</v>
      </c>
      <c r="K104" s="791">
        <f t="shared" si="7"/>
        <v>0.94</v>
      </c>
      <c r="L104" s="794">
        <f t="shared" si="7"/>
        <v>1</v>
      </c>
    </row>
    <row r="105" spans="2:12" ht="15.75" thickBot="1">
      <c r="B105" s="697" t="s">
        <v>347</v>
      </c>
      <c r="C105" s="795">
        <v>1</v>
      </c>
      <c r="D105" s="795">
        <v>1</v>
      </c>
      <c r="E105" s="795">
        <v>1</v>
      </c>
      <c r="F105" s="795">
        <v>1</v>
      </c>
      <c r="G105" s="795">
        <v>1</v>
      </c>
      <c r="H105" s="795">
        <v>1</v>
      </c>
      <c r="I105" s="795">
        <v>1</v>
      </c>
      <c r="J105" s="795">
        <v>1</v>
      </c>
      <c r="K105" s="795">
        <v>1</v>
      </c>
      <c r="L105" s="796">
        <v>1</v>
      </c>
    </row>
    <row r="106" spans="2:12">
      <c r="B106" s="713" t="s">
        <v>961</v>
      </c>
    </row>
    <row r="107" spans="2:12">
      <c r="B107" s="714" t="s">
        <v>962</v>
      </c>
    </row>
    <row r="108" spans="2:12" ht="15.75" thickBot="1"/>
    <row r="109" spans="2:12" ht="30">
      <c r="B109" s="1054" t="s">
        <v>963</v>
      </c>
      <c r="C109" s="1055" t="s">
        <v>964</v>
      </c>
      <c r="D109" s="1055" t="s">
        <v>202</v>
      </c>
      <c r="E109" s="1056" t="s">
        <v>20</v>
      </c>
    </row>
    <row r="110" spans="2:12">
      <c r="B110" s="694" t="s">
        <v>965</v>
      </c>
      <c r="C110" s="799">
        <f>Q13*(12/44)/Fuel_Specs!$F$18</f>
        <v>203.60284876413908</v>
      </c>
      <c r="D110" s="695" t="s">
        <v>1161</v>
      </c>
      <c r="E110" s="696" t="s">
        <v>1121</v>
      </c>
    </row>
    <row r="111" spans="2:12">
      <c r="B111" s="694" t="s">
        <v>966</v>
      </c>
      <c r="C111" s="799">
        <f>Q52*(12/44)/Fuel_Specs!$F$18</f>
        <v>214.59991621281941</v>
      </c>
      <c r="D111" s="695" t="s">
        <v>1161</v>
      </c>
      <c r="E111" s="696" t="s">
        <v>1121</v>
      </c>
    </row>
    <row r="112" spans="2:12" ht="15.75" thickBot="1">
      <c r="B112" s="697" t="s">
        <v>240</v>
      </c>
      <c r="C112" s="1053">
        <f>Q59*(12/44)/Fuel_Specs!$F$18</f>
        <v>289.69417679095096</v>
      </c>
      <c r="D112" s="715" t="s">
        <v>1161</v>
      </c>
      <c r="E112" s="696" t="s">
        <v>1121</v>
      </c>
      <c r="F112" s="710"/>
      <c r="G112" s="710"/>
      <c r="H112" s="710"/>
      <c r="I112" s="710"/>
    </row>
  </sheetData>
  <sheetProtection password="C8A2" sheet="1" objects="1" scenarios="1"/>
  <mergeCells count="3">
    <mergeCell ref="B4:R4"/>
    <mergeCell ref="N62:U62"/>
    <mergeCell ref="N63:U64"/>
  </mergeCells>
  <hyperlinks>
    <hyperlink ref="B21" r:id="rId1"/>
    <hyperlink ref="B22" r:id="rId2"/>
  </hyperlinks>
  <pageMargins left="0.7" right="0.7" top="0.75" bottom="0.75" header="0.3" footer="0.3"/>
  <pageSetup paperSize="9" scale="50" fitToHeight="0" orientation="landscape" r:id="rId3"/>
  <headerFooter>
    <oddHeader>&amp;CTacoma LNG Facility DSEIS Life Cycle Analsis GHG Emission Calculations Scenario A</oddHeader>
    <oddFooter>Page &amp;P of &amp;N</oddFooter>
  </headerFooter>
  <rowBreaks count="2" manualBreakCount="2">
    <brk id="56" max="20" man="1"/>
    <brk id="108"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CFFCC"/>
  </sheetPr>
  <dimension ref="A1:W85"/>
  <sheetViews>
    <sheetView showGridLines="0" zoomScaleNormal="100" workbookViewId="0"/>
  </sheetViews>
  <sheetFormatPr defaultColWidth="9.140625" defaultRowHeight="15"/>
  <cols>
    <col min="2" max="2" width="44.140625" customWidth="1"/>
    <col min="3" max="4" width="8.140625" style="185" customWidth="1"/>
    <col min="5" max="5" width="15.5703125" customWidth="1"/>
    <col min="6" max="6" width="16.85546875" customWidth="1"/>
    <col min="7" max="7" width="16" customWidth="1"/>
    <col min="8" max="8" width="9.140625" hidden="1" customWidth="1"/>
    <col min="9" max="9" width="12.7109375" hidden="1" customWidth="1"/>
    <col min="10" max="10" width="11.140625" hidden="1" customWidth="1"/>
    <col min="11" max="12" width="9.140625" hidden="1" customWidth="1"/>
    <col min="13" max="13" width="39.5703125" hidden="1" customWidth="1"/>
    <col min="14" max="17" width="0" hidden="1" customWidth="1"/>
  </cols>
  <sheetData>
    <row r="1" spans="2:15">
      <c r="C1" s="191"/>
      <c r="D1" s="191"/>
      <c r="I1" s="190"/>
      <c r="M1" s="190"/>
    </row>
    <row r="2" spans="2:15" s="218" customFormat="1" ht="72" customHeight="1" thickBot="1">
      <c r="B2" s="270" t="s">
        <v>1470</v>
      </c>
      <c r="C2" s="234" t="s">
        <v>559</v>
      </c>
      <c r="D2" s="234" t="s">
        <v>560</v>
      </c>
      <c r="E2" s="234" t="s">
        <v>364</v>
      </c>
      <c r="F2" s="1655" t="s">
        <v>540</v>
      </c>
      <c r="G2" s="1655" t="s">
        <v>480</v>
      </c>
      <c r="M2" s="190"/>
    </row>
    <row r="3" spans="2:15" s="218" customFormat="1" ht="15.75" thickTop="1">
      <c r="B3" s="353" t="s">
        <v>1481</v>
      </c>
      <c r="C3" s="354"/>
      <c r="D3" s="354"/>
      <c r="E3" s="354"/>
      <c r="F3" s="1656"/>
      <c r="G3" s="1656"/>
      <c r="M3" s="190"/>
    </row>
    <row r="4" spans="2:15">
      <c r="B4" s="226" t="s">
        <v>315</v>
      </c>
      <c r="C4" s="1065"/>
      <c r="E4" s="180"/>
      <c r="F4" s="235"/>
      <c r="G4" s="1657"/>
      <c r="I4" s="190"/>
      <c r="M4" s="190"/>
      <c r="N4" t="s">
        <v>1545</v>
      </c>
    </row>
    <row r="5" spans="2:15">
      <c r="B5" s="285" t="s">
        <v>483</v>
      </c>
      <c r="C5" s="287"/>
      <c r="D5" s="1257"/>
      <c r="E5" s="286">
        <f>SUM(E6:E9)</f>
        <v>1580.7997202170586</v>
      </c>
      <c r="F5" s="1389">
        <f>SUM(F6:F9)</f>
        <v>63231.988808682348</v>
      </c>
      <c r="G5" s="1389">
        <f>SUM(G6:G9)</f>
        <v>17.811827833431646</v>
      </c>
      <c r="I5" s="190"/>
      <c r="M5" s="190"/>
      <c r="N5" s="178">
        <f>E5/1000</f>
        <v>1.5807997202170587</v>
      </c>
      <c r="O5" t="s">
        <v>1547</v>
      </c>
    </row>
    <row r="6" spans="2:15">
      <c r="B6" s="349" t="s">
        <v>871</v>
      </c>
      <c r="C6" s="221"/>
      <c r="D6" s="221"/>
      <c r="E6" s="284">
        <f>F6/40</f>
        <v>182.23740559146981</v>
      </c>
      <c r="F6" s="343">
        <f>'Construction Equipment'!F46</f>
        <v>7289.4962236587926</v>
      </c>
      <c r="G6" s="1658">
        <f>E6/$C$21</f>
        <v>2.0533792179320542</v>
      </c>
      <c r="I6" s="190"/>
      <c r="M6" s="190"/>
      <c r="N6" s="178">
        <f>N5-(E8/1000)</f>
        <v>1.5242604026170588</v>
      </c>
      <c r="O6" t="s">
        <v>1546</v>
      </c>
    </row>
    <row r="7" spans="2:15">
      <c r="B7" s="349" t="s">
        <v>1208</v>
      </c>
      <c r="C7" s="221"/>
      <c r="D7" s="221"/>
      <c r="E7" s="284">
        <f>F7/40</f>
        <v>20.302462388768895</v>
      </c>
      <c r="F7" s="343">
        <f>'Construction Equipment'!F68</f>
        <v>812.09849555075573</v>
      </c>
      <c r="G7" s="1658">
        <f>E7/$C$21</f>
        <v>0.2287601395917622</v>
      </c>
      <c r="I7" s="190"/>
      <c r="M7" s="190"/>
      <c r="N7" s="178">
        <f>E13/1000</f>
        <v>25.738513169999997</v>
      </c>
      <c r="O7" t="s">
        <v>1548</v>
      </c>
    </row>
    <row r="8" spans="2:15">
      <c r="B8" s="349" t="s">
        <v>1241</v>
      </c>
      <c r="C8" s="221"/>
      <c r="D8" s="221"/>
      <c r="E8" s="284">
        <f>F8/40</f>
        <v>56.53931759999999</v>
      </c>
      <c r="F8" s="343">
        <f>Upstream!G42</f>
        <v>2261.5727039999997</v>
      </c>
      <c r="G8" s="1658">
        <f>E8/$C$21</f>
        <v>0.63706273352112663</v>
      </c>
      <c r="I8" s="190"/>
      <c r="M8" s="190"/>
      <c r="N8" s="178">
        <f>N7+(E8/1000)</f>
        <v>25.795052487599996</v>
      </c>
      <c r="O8" t="s">
        <v>1549</v>
      </c>
    </row>
    <row r="9" spans="2:15">
      <c r="B9" s="349" t="s">
        <v>1209</v>
      </c>
      <c r="C9" s="1258"/>
      <c r="D9" s="1258"/>
      <c r="E9" s="284">
        <f>F9/40</f>
        <v>1321.72053463682</v>
      </c>
      <c r="F9" s="343">
        <f>'Construction Material&amp;Power'!F34</f>
        <v>52868.821385472802</v>
      </c>
      <c r="G9" s="1658">
        <f>E9/$C$21</f>
        <v>14.892625742386704</v>
      </c>
      <c r="M9" s="190"/>
    </row>
    <row r="10" spans="2:15">
      <c r="B10" s="514" t="s">
        <v>314</v>
      </c>
      <c r="C10" s="1246"/>
      <c r="D10" s="1259"/>
      <c r="E10" s="515"/>
      <c r="F10" s="1494"/>
      <c r="G10" s="1659"/>
      <c r="I10" s="221"/>
      <c r="J10" t="s">
        <v>242</v>
      </c>
      <c r="M10" s="190"/>
    </row>
    <row r="11" spans="2:15" s="187" customFormat="1">
      <c r="B11" s="1272" t="s">
        <v>1210</v>
      </c>
      <c r="C11" s="287"/>
      <c r="D11" s="1257"/>
      <c r="E11" s="286">
        <f>SUM(E12:E16)</f>
        <v>103948.95591486589</v>
      </c>
      <c r="F11" s="1490">
        <f>SUM(F12:F16)</f>
        <v>4157958.236594636</v>
      </c>
      <c r="G11" s="1389">
        <f t="shared" ref="G11" si="0">SUM(G12:G16)</f>
        <v>1171.2558412942635</v>
      </c>
      <c r="H11"/>
      <c r="I11" s="1638">
        <v>207844.23174584669</v>
      </c>
      <c r="J11" s="187" t="s">
        <v>1417</v>
      </c>
      <c r="L11" s="183">
        <f>E12+E15</f>
        <v>78067.193764014242</v>
      </c>
      <c r="M11" s="190"/>
    </row>
    <row r="12" spans="2:15">
      <c r="B12" s="1273" t="s">
        <v>204</v>
      </c>
      <c r="C12" s="186"/>
      <c r="D12" s="1257"/>
      <c r="E12" s="284">
        <f>G12*$C$21</f>
        <v>77207.970401514249</v>
      </c>
      <c r="F12" s="1493">
        <f>E12*40</f>
        <v>3088318.8160605701</v>
      </c>
      <c r="G12" s="343">
        <f>Upstream!G21</f>
        <v>869.94896227058314</v>
      </c>
      <c r="I12" s="1639">
        <v>154504.40472602547</v>
      </c>
      <c r="J12" t="s">
        <v>233</v>
      </c>
      <c r="L12" s="1384" t="s">
        <v>1327</v>
      </c>
      <c r="M12" s="190"/>
    </row>
    <row r="13" spans="2:15">
      <c r="B13" s="1273" t="s">
        <v>1211</v>
      </c>
      <c r="C13" s="186"/>
      <c r="D13" s="1257"/>
      <c r="E13" s="284">
        <f>G13*$C$21</f>
        <v>25738.513169999998</v>
      </c>
      <c r="F13" s="1493">
        <f>E13*40</f>
        <v>1029540.5267999999</v>
      </c>
      <c r="G13" s="343">
        <f>Upstream!G47</f>
        <v>290.011416</v>
      </c>
      <c r="I13" s="1639">
        <v>51476.982619785835</v>
      </c>
      <c r="J13" t="s">
        <v>1244</v>
      </c>
      <c r="L13" s="183">
        <f>E13+E15</f>
        <v>26597.736532499999</v>
      </c>
      <c r="M13" s="190"/>
    </row>
    <row r="14" spans="2:15">
      <c r="B14" s="1274" t="s">
        <v>1212</v>
      </c>
      <c r="C14" s="186"/>
      <c r="D14" s="1257"/>
      <c r="E14" s="284">
        <f>G14*$C$21</f>
        <v>143.24898085164725</v>
      </c>
      <c r="F14" s="1493">
        <f>E14*40</f>
        <v>5729.9592340658901</v>
      </c>
      <c r="G14" s="343">
        <f>Upstream!G112</f>
        <v>1.6140730236805323</v>
      </c>
      <c r="I14" s="1640">
        <v>143.24898085164722</v>
      </c>
      <c r="J14" t="s">
        <v>1418</v>
      </c>
      <c r="L14" s="183">
        <f>E5+M12</f>
        <v>1580.7997202170586</v>
      </c>
      <c r="M14" s="190"/>
    </row>
    <row r="15" spans="2:15">
      <c r="B15" s="1273" t="s">
        <v>1213</v>
      </c>
      <c r="C15" s="201"/>
      <c r="D15" s="1257"/>
      <c r="E15" s="284">
        <f>G15*$C$21</f>
        <v>859.22336250000001</v>
      </c>
      <c r="F15" s="1493">
        <f>E15*40</f>
        <v>34368.934500000003</v>
      </c>
      <c r="G15" s="343">
        <f>Upstream!G52</f>
        <v>9.6813900000000004</v>
      </c>
      <c r="I15" s="1640">
        <v>1718.4452654973018</v>
      </c>
      <c r="M15" s="190"/>
    </row>
    <row r="16" spans="2:15">
      <c r="B16" s="1273" t="s">
        <v>1320</v>
      </c>
      <c r="C16" s="201"/>
      <c r="D16" s="1257"/>
      <c r="E16" s="1412">
        <f>Upstream!G121</f>
        <v>0</v>
      </c>
      <c r="F16" s="1493">
        <f>E16*40</f>
        <v>0</v>
      </c>
      <c r="G16" s="1660">
        <f>E16/$C$21</f>
        <v>0</v>
      </c>
      <c r="I16" s="1640">
        <v>1.1501536864284998</v>
      </c>
      <c r="M16" s="190"/>
    </row>
    <row r="17" spans="1:23" s="187" customFormat="1">
      <c r="B17" s="1272" t="s">
        <v>1419</v>
      </c>
      <c r="C17" s="287"/>
      <c r="D17" s="1257"/>
      <c r="E17" s="286">
        <f t="shared" ref="E17" si="1">SUM(E18:E20)</f>
        <v>52250.761722437543</v>
      </c>
      <c r="F17" s="1490">
        <f>SUM(F18:F20)</f>
        <v>2090030.4688975015</v>
      </c>
      <c r="G17" s="1389">
        <f>SUM(G18:G20)</f>
        <v>588.74097715422579</v>
      </c>
      <c r="H17"/>
      <c r="I17" s="1638">
        <v>108997.63936802724</v>
      </c>
      <c r="M17" s="190"/>
    </row>
    <row r="18" spans="1:23">
      <c r="B18" s="1274" t="s">
        <v>365</v>
      </c>
      <c r="C18" s="1276"/>
      <c r="D18" s="231"/>
      <c r="E18" s="344">
        <f>'PSE LNG Operations'!G138</f>
        <v>46713.836104521208</v>
      </c>
      <c r="F18" s="1493">
        <f>E18*40</f>
        <v>1868553.4441808483</v>
      </c>
      <c r="G18" s="343">
        <f>E18/$C$21</f>
        <v>526.35308286784459</v>
      </c>
      <c r="I18" s="1638">
        <v>94333.446429205142</v>
      </c>
      <c r="J18" s="187"/>
      <c r="M18" s="190"/>
    </row>
    <row r="19" spans="1:23">
      <c r="B19" s="1275" t="s">
        <v>1343</v>
      </c>
      <c r="C19" s="186"/>
      <c r="E19" s="344">
        <f>'PSE LNG Operations'!G139</f>
        <v>941.85740880000003</v>
      </c>
      <c r="F19" s="1493">
        <f>E19*40</f>
        <v>37674.296352000005</v>
      </c>
      <c r="G19" s="343">
        <f>E19/C21</f>
        <v>10.612477845633803</v>
      </c>
      <c r="I19" s="1638">
        <v>941.85740880000003</v>
      </c>
      <c r="J19" s="187"/>
      <c r="M19" s="190"/>
    </row>
    <row r="20" spans="1:23">
      <c r="B20" s="1274" t="s">
        <v>1542</v>
      </c>
      <c r="E20" s="344">
        <f>'PSE LNG Operations'!G140</f>
        <v>4595.0682091163326</v>
      </c>
      <c r="F20" s="1493">
        <f>E20*40</f>
        <v>183802.7283646533</v>
      </c>
      <c r="G20" s="343">
        <f>E20/C21</f>
        <v>51.775416440747406</v>
      </c>
      <c r="I20" s="1640">
        <v>13722.335530022096</v>
      </c>
    </row>
    <row r="21" spans="1:23" s="187" customFormat="1">
      <c r="B21" s="1272" t="s">
        <v>1337</v>
      </c>
      <c r="C21" s="287">
        <f>SUM(C22:C29)</f>
        <v>88.75</v>
      </c>
      <c r="D21" s="1257">
        <f>Fuel_Specs!$C$25*C21/1000</f>
        <v>6847.5573258871791</v>
      </c>
      <c r="E21" s="286">
        <f>SUM(E22:E30)</f>
        <v>529858.89173971047</v>
      </c>
      <c r="F21" s="1490">
        <f>E21*40</f>
        <v>21194355.669588417</v>
      </c>
      <c r="G21" s="1389">
        <f>IF(E21=0,0,E21/C21)</f>
        <v>5970.2410336868788</v>
      </c>
      <c r="H21" s="359">
        <f>E21*1000000/D21/1000</f>
        <v>77379.256065017486</v>
      </c>
      <c r="I21" s="1640">
        <v>1082002.4419004549</v>
      </c>
      <c r="J21"/>
      <c r="M21" s="190"/>
    </row>
    <row r="22" spans="1:23" s="182" customFormat="1">
      <c r="B22" s="1275" t="s">
        <v>369</v>
      </c>
      <c r="C22" s="246">
        <f>'Direct End use'!E22</f>
        <v>9.7260273972602747</v>
      </c>
      <c r="D22" s="398">
        <f>Fuel_Specs!$C$25*C22/1000</f>
        <v>750.41724119311561</v>
      </c>
      <c r="E22" s="343">
        <f>'Direct End use'!H48</f>
        <v>43853.636910170695</v>
      </c>
      <c r="F22" s="1493">
        <f t="shared" ref="F22:F27" si="2">E22*40</f>
        <v>1754145.4764068278</v>
      </c>
      <c r="G22" s="343">
        <f t="shared" ref="G22:G24" si="3">IF(E22=0,0,E22/$C$21)</f>
        <v>494.12548631178248</v>
      </c>
      <c r="H22" s="359">
        <f t="shared" ref="H22:H29" si="4">E22*1000000/D22/1000</f>
        <v>58439.005000000005</v>
      </c>
      <c r="I22" s="1640">
        <v>43853.636910170688</v>
      </c>
      <c r="J22"/>
      <c r="M22" s="190"/>
    </row>
    <row r="23" spans="1:23">
      <c r="B23" s="1275" t="s">
        <v>1423</v>
      </c>
      <c r="C23" s="246">
        <f>'Direct End use'!E25</f>
        <v>0</v>
      </c>
      <c r="D23" s="398">
        <f>Fuel_Specs!$C$25*C23/1000</f>
        <v>0</v>
      </c>
      <c r="E23" s="1468">
        <f>'Direct End use'!H51+'Direct End use'!E53</f>
        <v>0</v>
      </c>
      <c r="F23" s="1493">
        <f t="shared" si="2"/>
        <v>0</v>
      </c>
      <c r="G23" s="343">
        <f t="shared" si="3"/>
        <v>0</v>
      </c>
      <c r="H23" s="359" t="e">
        <f t="shared" si="4"/>
        <v>#DIV/0!</v>
      </c>
      <c r="I23" s="1640">
        <v>8129.4972873958041</v>
      </c>
      <c r="M23" s="190"/>
    </row>
    <row r="24" spans="1:23">
      <c r="B24" s="1275" t="s">
        <v>371</v>
      </c>
      <c r="C24" s="242">
        <f>'Direct End use'!E28</f>
        <v>0</v>
      </c>
      <c r="D24" s="398">
        <f>Fuel_Specs!$C$25*C24/1000</f>
        <v>0</v>
      </c>
      <c r="E24" s="343">
        <f>'Direct End use'!H56</f>
        <v>0</v>
      </c>
      <c r="F24" s="1493">
        <f t="shared" si="2"/>
        <v>0</v>
      </c>
      <c r="G24" s="343">
        <f t="shared" si="3"/>
        <v>0</v>
      </c>
      <c r="H24" s="359" t="e">
        <f t="shared" si="4"/>
        <v>#DIV/0!</v>
      </c>
      <c r="I24" s="1640">
        <v>17862.044151279966</v>
      </c>
      <c r="M24" s="190"/>
    </row>
    <row r="25" spans="1:23">
      <c r="B25" s="1275" t="s">
        <v>1249</v>
      </c>
      <c r="C25" s="242">
        <f>'Direct End use'!E31</f>
        <v>37.93150684931507</v>
      </c>
      <c r="D25" s="398">
        <f>Fuel_Specs!$C$25*C25/1000</f>
        <v>2926.6272406531507</v>
      </c>
      <c r="E25" s="343">
        <f>'Direct End use'!H59</f>
        <v>225992.874114973</v>
      </c>
      <c r="F25" s="1493">
        <f t="shared" si="2"/>
        <v>9039714.9645989202</v>
      </c>
      <c r="G25" s="343">
        <f>IF(E25=0,0,E25/$C$21)</f>
        <v>2546.3985815771607</v>
      </c>
      <c r="H25" s="359">
        <f t="shared" si="4"/>
        <v>77219.56215528732</v>
      </c>
      <c r="I25" s="1640">
        <v>226180.66081226279</v>
      </c>
      <c r="M25" s="190"/>
    </row>
    <row r="26" spans="1:23">
      <c r="B26" s="1249" t="s">
        <v>1420</v>
      </c>
      <c r="C26" s="186"/>
      <c r="D26" s="186"/>
      <c r="E26" s="1253">
        <f>'Direct End use'!H60</f>
        <v>7611.3968521576162</v>
      </c>
      <c r="F26" s="1495">
        <f t="shared" ref="F26" si="5">E26*40</f>
        <v>304455.87408630463</v>
      </c>
      <c r="G26" s="1661">
        <f t="shared" ref="G26" si="6">IF(E26=0,0,E26/$C$21)</f>
        <v>85.762218052480179</v>
      </c>
      <c r="H26" s="359"/>
      <c r="I26" s="1640">
        <v>7611.3968521576062</v>
      </c>
      <c r="M26" s="190"/>
    </row>
    <row r="27" spans="1:23">
      <c r="B27" s="1275" t="s">
        <v>372</v>
      </c>
      <c r="C27" s="242">
        <f>'Direct End use'!E35</f>
        <v>0</v>
      </c>
      <c r="D27" s="398">
        <f>'Direct End use'!F35</f>
        <v>0</v>
      </c>
      <c r="E27" s="343">
        <f>'Direct End use'!H63</f>
        <v>0</v>
      </c>
      <c r="F27" s="1493">
        <f t="shared" si="2"/>
        <v>0</v>
      </c>
      <c r="G27" s="343">
        <f>IF(E27=0,0,E27/$C$21)</f>
        <v>0</v>
      </c>
      <c r="H27" s="359" t="e">
        <f t="shared" si="4"/>
        <v>#DIV/0!</v>
      </c>
      <c r="I27" s="1640">
        <v>10575.307570764762</v>
      </c>
      <c r="K27" s="235"/>
      <c r="L27" s="235"/>
      <c r="M27" s="235"/>
      <c r="N27" s="235"/>
      <c r="O27" s="235"/>
      <c r="P27" s="235"/>
      <c r="Q27" s="235"/>
      <c r="R27" s="235"/>
      <c r="S27" s="235"/>
      <c r="T27" s="235"/>
      <c r="U27" s="235"/>
      <c r="V27" s="235"/>
      <c r="W27" s="235"/>
    </row>
    <row r="28" spans="1:23">
      <c r="B28" s="1249" t="s">
        <v>1421</v>
      </c>
      <c r="C28" s="186"/>
      <c r="D28" s="186"/>
      <c r="E28" s="1253">
        <f>'Direct End use'!H64</f>
        <v>0</v>
      </c>
      <c r="F28" s="1495">
        <f t="shared" ref="F28" si="7">E28*40</f>
        <v>0</v>
      </c>
      <c r="G28" s="1661">
        <f t="shared" ref="G28" si="8">IF(E28=0,0,E28/$C$21)</f>
        <v>0</v>
      </c>
      <c r="H28" s="359"/>
      <c r="I28" s="1640">
        <v>356.17433987660633</v>
      </c>
      <c r="K28" s="235"/>
      <c r="L28" s="235"/>
      <c r="M28" s="235"/>
      <c r="N28" s="235"/>
      <c r="O28" s="235"/>
      <c r="P28" s="235"/>
      <c r="Q28" s="235"/>
      <c r="R28" s="235"/>
      <c r="S28" s="235"/>
      <c r="T28" s="235"/>
      <c r="U28" s="235"/>
      <c r="V28" s="235"/>
      <c r="W28" s="235"/>
    </row>
    <row r="29" spans="1:23">
      <c r="B29" s="1275" t="s">
        <v>1342</v>
      </c>
      <c r="C29" s="242">
        <f>'Direct End use'!E39</f>
        <v>41.092465753424655</v>
      </c>
      <c r="D29" s="398">
        <f>Fuel_Specs!$C$25*C29/1000</f>
        <v>3170.512844040913</v>
      </c>
      <c r="E29" s="343">
        <f>'Direct End use'!H68</f>
        <v>244185.17672562422</v>
      </c>
      <c r="F29" s="1493">
        <f>E29*40</f>
        <v>9767407.0690249689</v>
      </c>
      <c r="G29" s="343">
        <f>IF(E29=0,0,E29/$C$21)</f>
        <v>2751.38227296478</v>
      </c>
      <c r="H29" s="359">
        <f t="shared" si="4"/>
        <v>77017.564267111738</v>
      </c>
      <c r="I29" s="1640">
        <v>743098.22793407843</v>
      </c>
      <c r="M29" s="190"/>
    </row>
    <row r="30" spans="1:23">
      <c r="B30" s="1249" t="s">
        <v>1422</v>
      </c>
      <c r="C30" s="186"/>
      <c r="D30" s="186"/>
      <c r="E30" s="1253">
        <f>'Direct End use'!H69</f>
        <v>8215.807136784968</v>
      </c>
      <c r="F30" s="1495">
        <f t="shared" ref="F30" si="9">E30*40</f>
        <v>328632.28547139873</v>
      </c>
      <c r="G30" s="1661">
        <f t="shared" ref="G30" si="10">IF(E30=0,0,E30/$C$21)</f>
        <v>92.572474780675691</v>
      </c>
      <c r="H30" s="359"/>
      <c r="I30" s="1640">
        <v>24335.496042468367</v>
      </c>
      <c r="M30" s="190"/>
    </row>
    <row r="31" spans="1:23" s="187" customFormat="1" ht="15.75" thickBot="1">
      <c r="A31"/>
      <c r="B31" s="351" t="s">
        <v>1471</v>
      </c>
      <c r="C31" s="1260"/>
      <c r="D31" s="1260"/>
      <c r="E31" s="352">
        <f>E5+E11+E17+E21</f>
        <v>687639.40909723099</v>
      </c>
      <c r="F31" s="1496">
        <f>F5+F11+F17+F21</f>
        <v>27505576.363889236</v>
      </c>
      <c r="G31" s="1662">
        <f>G5+G11+G17+G21</f>
        <v>7748.0496799687999</v>
      </c>
      <c r="H31" s="187">
        <f>E31/D21*1000</f>
        <v>100421.12484368862</v>
      </c>
      <c r="I31" s="1638">
        <v>1400425.112734546</v>
      </c>
      <c r="M31" s="190"/>
    </row>
    <row r="32" spans="1:23">
      <c r="B32" s="182"/>
      <c r="C32" s="199"/>
      <c r="D32" s="199"/>
      <c r="E32" s="182"/>
      <c r="F32" s="343"/>
      <c r="G32" s="182"/>
      <c r="M32" s="190"/>
    </row>
    <row r="33" spans="2:13">
      <c r="B33" s="355" t="s">
        <v>482</v>
      </c>
      <c r="C33" s="199"/>
      <c r="D33" s="199"/>
      <c r="E33" s="182"/>
      <c r="F33" s="182"/>
      <c r="G33" s="182"/>
      <c r="M33" s="190"/>
    </row>
    <row r="34" spans="2:13" ht="63" customHeight="1" thickBot="1">
      <c r="B34" s="270" t="s">
        <v>1470</v>
      </c>
      <c r="C34" s="234" t="s">
        <v>559</v>
      </c>
      <c r="D34" s="234" t="s">
        <v>560</v>
      </c>
      <c r="E34" s="234" t="s">
        <v>364</v>
      </c>
      <c r="F34" s="1572" t="s">
        <v>540</v>
      </c>
      <c r="G34" s="1572" t="s">
        <v>480</v>
      </c>
      <c r="H34" s="1498" t="s">
        <v>1438</v>
      </c>
    </row>
    <row r="35" spans="2:13" ht="15.75" thickTop="1">
      <c r="B35" s="227" t="s">
        <v>484</v>
      </c>
      <c r="C35" s="186"/>
      <c r="D35" s="186"/>
      <c r="E35" s="186"/>
      <c r="F35" s="1573"/>
      <c r="G35" s="1573"/>
      <c r="I35" s="186"/>
    </row>
    <row r="36" spans="2:13">
      <c r="B36" s="285" t="s">
        <v>481</v>
      </c>
      <c r="C36" s="287"/>
      <c r="D36" s="287"/>
      <c r="E36" s="516">
        <f>SUM(E37:E42)</f>
        <v>125245.26871105208</v>
      </c>
      <c r="F36" s="1574">
        <f>SUM(F37:F42)</f>
        <v>5009810.7484420836</v>
      </c>
      <c r="G36" s="1575">
        <f>SUM(G37:G42)</f>
        <v>1411.2142953357979</v>
      </c>
      <c r="I36" s="186"/>
      <c r="M36" s="190"/>
    </row>
    <row r="37" spans="2:13">
      <c r="B37" s="350" t="s">
        <v>1253</v>
      </c>
      <c r="C37" s="1261"/>
      <c r="D37" s="1497">
        <f>D45</f>
        <v>750.41724119311561</v>
      </c>
      <c r="E37" s="517">
        <f>Upstream!G65*D45/1000+Upstream!H136</f>
        <v>16127.437194226499</v>
      </c>
      <c r="F37" s="1576">
        <f>E37*40</f>
        <v>645097.48776905995</v>
      </c>
      <c r="G37" s="1576">
        <f>E37/$C$21</f>
        <v>181.71760218846759</v>
      </c>
      <c r="H37" s="359">
        <f>E37*1000000/D37/1000</f>
        <v>21491.293521701209</v>
      </c>
      <c r="I37" s="242"/>
      <c r="M37" s="190"/>
    </row>
    <row r="38" spans="2:13">
      <c r="B38" s="1249" t="s">
        <v>378</v>
      </c>
      <c r="C38" s="1262"/>
      <c r="D38" s="1497">
        <f t="shared" ref="D38:D42" si="11">D46</f>
        <v>0</v>
      </c>
      <c r="E38" s="517">
        <f>Upstream!H138+Upstream!H137</f>
        <v>0</v>
      </c>
      <c r="F38" s="1576">
        <f t="shared" ref="F38:F42" si="12">E38*40</f>
        <v>0</v>
      </c>
      <c r="G38" s="1577">
        <f t="shared" ref="G38:G42" si="13">E38/$C$21</f>
        <v>0</v>
      </c>
      <c r="H38" s="359" t="e">
        <f t="shared" ref="H38:H42" si="14">E38*1000000/D38/1000</f>
        <v>#DIV/0!</v>
      </c>
      <c r="I38" s="242"/>
      <c r="M38" s="190"/>
    </row>
    <row r="39" spans="2:13">
      <c r="B39" s="1250" t="s">
        <v>1344</v>
      </c>
      <c r="C39" s="1262"/>
      <c r="D39" s="1497">
        <f t="shared" si="11"/>
        <v>0</v>
      </c>
      <c r="E39" s="517">
        <f>Upstream!H139</f>
        <v>0</v>
      </c>
      <c r="F39" s="1576">
        <f t="shared" si="12"/>
        <v>0</v>
      </c>
      <c r="G39" s="1576">
        <f t="shared" si="13"/>
        <v>0</v>
      </c>
      <c r="H39" s="359" t="e">
        <f t="shared" si="14"/>
        <v>#DIV/0!</v>
      </c>
      <c r="I39" s="242"/>
      <c r="M39" s="190"/>
    </row>
    <row r="40" spans="2:13">
      <c r="B40" s="1249" t="s">
        <v>541</v>
      </c>
      <c r="C40" s="186"/>
      <c r="D40" s="1497">
        <f t="shared" si="11"/>
        <v>3014.4260578727453</v>
      </c>
      <c r="E40" s="517">
        <f>Upstream!H140</f>
        <v>52447.902060917644</v>
      </c>
      <c r="F40" s="1576">
        <f t="shared" si="12"/>
        <v>2097916.0824367059</v>
      </c>
      <c r="G40" s="1576">
        <f t="shared" si="13"/>
        <v>590.96227674273405</v>
      </c>
      <c r="H40" s="359">
        <f t="shared" si="14"/>
        <v>17398.967847939079</v>
      </c>
      <c r="I40" s="242"/>
      <c r="M40" s="190"/>
    </row>
    <row r="41" spans="2:13">
      <c r="B41" s="1249" t="s">
        <v>379</v>
      </c>
      <c r="C41" s="1262"/>
      <c r="D41" s="1497">
        <f t="shared" si="11"/>
        <v>0</v>
      </c>
      <c r="E41" s="517">
        <f>Upstream!H141</f>
        <v>0</v>
      </c>
      <c r="F41" s="1576">
        <f t="shared" si="12"/>
        <v>0</v>
      </c>
      <c r="G41" s="1576">
        <f t="shared" si="13"/>
        <v>0</v>
      </c>
      <c r="H41" s="183" t="e">
        <f t="shared" si="14"/>
        <v>#DIV/0!</v>
      </c>
      <c r="I41" s="186"/>
      <c r="M41" s="190"/>
    </row>
    <row r="42" spans="2:13">
      <c r="B42" s="1249" t="s">
        <v>1345</v>
      </c>
      <c r="C42" s="201"/>
      <c r="D42" s="1497">
        <f t="shared" si="11"/>
        <v>3257.0857048063649</v>
      </c>
      <c r="E42" s="517">
        <f>Upstream!H142</f>
        <v>56669.929455907935</v>
      </c>
      <c r="F42" s="1576">
        <f t="shared" si="12"/>
        <v>2266797.1782363174</v>
      </c>
      <c r="G42" s="1576">
        <f t="shared" si="13"/>
        <v>638.53441640459641</v>
      </c>
      <c r="H42" s="183">
        <f t="shared" si="14"/>
        <v>17398.967847939079</v>
      </c>
      <c r="I42" s="186"/>
      <c r="M42" s="190"/>
    </row>
    <row r="43" spans="2:13">
      <c r="B43" s="1251" t="s">
        <v>381</v>
      </c>
      <c r="C43" s="1246"/>
      <c r="D43" s="1259"/>
      <c r="E43" s="515"/>
      <c r="F43" s="1578"/>
      <c r="G43" s="1579"/>
      <c r="H43" s="183"/>
      <c r="I43" s="221"/>
      <c r="M43" s="190"/>
    </row>
    <row r="44" spans="2:13" s="187" customFormat="1">
      <c r="B44" s="1252" t="s">
        <v>1318</v>
      </c>
      <c r="C44" s="1642">
        <f>SUM(C45:C50)</f>
        <v>50.571307495092498</v>
      </c>
      <c r="D44" s="1257">
        <f>SUM(D45:D50)</f>
        <v>7021.9290038722265</v>
      </c>
      <c r="E44" s="286">
        <f>SUM(E45:E50)</f>
        <v>602291.17428655364</v>
      </c>
      <c r="F44" s="1580">
        <f>SUM(F45:F50)</f>
        <v>24091646.971462145</v>
      </c>
      <c r="G44" s="1580">
        <f>IF(E44=0,0,E44/C21)</f>
        <v>6786.3794285808863</v>
      </c>
      <c r="H44" s="327"/>
      <c r="I44" s="1279"/>
      <c r="M44" s="190"/>
    </row>
    <row r="45" spans="2:13">
      <c r="B45" s="1250" t="s">
        <v>1472</v>
      </c>
      <c r="C45" s="186">
        <f>'Direct End use'!E23</f>
        <v>5.8873099129972575</v>
      </c>
      <c r="D45" s="284">
        <f>'Direct End use'!F23</f>
        <v>750.41724119311561</v>
      </c>
      <c r="E45" s="284">
        <f>'Direct End use'!H49</f>
        <v>58890.503999524844</v>
      </c>
      <c r="F45" s="1581">
        <f>E45*40</f>
        <v>2355620.1599809937</v>
      </c>
      <c r="G45" s="1581">
        <f t="shared" ref="G45:G50" si="15">IF(E45=0,0,E45/$C$21)</f>
        <v>663.55497464253347</v>
      </c>
      <c r="H45" s="183">
        <f>E45/D45*1000</f>
        <v>78477.013542349712</v>
      </c>
      <c r="I45" s="1279"/>
      <c r="M45" s="201"/>
    </row>
    <row r="46" spans="2:13">
      <c r="B46" s="1249" t="s">
        <v>1424</v>
      </c>
      <c r="C46" s="186">
        <f>'Direct End use'!E25</f>
        <v>0</v>
      </c>
      <c r="D46" s="1253">
        <f>'Direct End use'!F25</f>
        <v>0</v>
      </c>
      <c r="E46" s="1253">
        <f>'Direct End use'!H52+'Direct End use'!E54</f>
        <v>0</v>
      </c>
      <c r="F46" s="1582">
        <f t="shared" ref="F46:F50" si="16">E46*40</f>
        <v>0</v>
      </c>
      <c r="G46" s="1583">
        <f t="shared" si="15"/>
        <v>0</v>
      </c>
      <c r="H46" s="183" t="e">
        <f t="shared" ref="H46:H50" si="17">E46/D46*1000</f>
        <v>#DIV/0!</v>
      </c>
      <c r="I46" s="1279"/>
      <c r="M46" s="201"/>
    </row>
    <row r="47" spans="2:13">
      <c r="B47" s="1249" t="s">
        <v>371</v>
      </c>
      <c r="C47" s="186">
        <f>'Direct End use'!E29</f>
        <v>0</v>
      </c>
      <c r="D47" s="1253">
        <f>'Direct End use'!F29</f>
        <v>0</v>
      </c>
      <c r="E47" s="1253">
        <f>'Direct End use'!H57</f>
        <v>0</v>
      </c>
      <c r="F47" s="1582">
        <f t="shared" si="16"/>
        <v>0</v>
      </c>
      <c r="G47" s="1582">
        <f t="shared" si="15"/>
        <v>0</v>
      </c>
      <c r="H47" s="183" t="e">
        <f t="shared" si="17"/>
        <v>#DIV/0!</v>
      </c>
      <c r="I47" s="1279"/>
      <c r="M47" s="186"/>
    </row>
    <row r="48" spans="2:13">
      <c r="B48" s="1249" t="s">
        <v>1346</v>
      </c>
      <c r="C48" s="186">
        <f>'Direct End use'!E33</f>
        <v>21.477533930965627</v>
      </c>
      <c r="D48" s="1253">
        <f>'Direct End use'!F33</f>
        <v>3014.4260578727453</v>
      </c>
      <c r="E48" s="1253">
        <f>'Direct End use'!H61</f>
        <v>261324.62525741154</v>
      </c>
      <c r="F48" s="1582">
        <f t="shared" si="16"/>
        <v>10452985.010296462</v>
      </c>
      <c r="G48" s="1582">
        <f t="shared" si="15"/>
        <v>2944.5028198018199</v>
      </c>
      <c r="H48" s="183">
        <f t="shared" si="17"/>
        <v>86691.337004240893</v>
      </c>
      <c r="I48" s="1279"/>
      <c r="J48" s="183">
        <f>SUM(D48:D50)</f>
        <v>6271.5117626791107</v>
      </c>
      <c r="K48" t="s">
        <v>1485</v>
      </c>
      <c r="M48" s="186"/>
    </row>
    <row r="49" spans="2:17">
      <c r="B49" s="1249" t="s">
        <v>372</v>
      </c>
      <c r="C49" s="186">
        <f>'Direct End use'!E37</f>
        <v>0</v>
      </c>
      <c r="D49" s="1253">
        <f>'Direct End use'!F37</f>
        <v>0</v>
      </c>
      <c r="E49" s="1253">
        <f>'Direct End use'!H66</f>
        <v>0</v>
      </c>
      <c r="F49" s="1582">
        <f t="shared" si="16"/>
        <v>0</v>
      </c>
      <c r="G49" s="1582">
        <f t="shared" si="15"/>
        <v>0</v>
      </c>
      <c r="H49" s="183" t="e">
        <f t="shared" si="17"/>
        <v>#DIV/0!</v>
      </c>
      <c r="I49" s="1279"/>
      <c r="J49">
        <v>90000</v>
      </c>
      <c r="K49" t="s">
        <v>1500</v>
      </c>
      <c r="M49" s="186"/>
    </row>
    <row r="50" spans="2:17">
      <c r="B50" s="1249" t="s">
        <v>1347</v>
      </c>
      <c r="C50" s="201">
        <f>'Direct End use'!E41</f>
        <v>23.206463651129614</v>
      </c>
      <c r="D50" s="1253">
        <f>'Direct End use'!F41</f>
        <v>3257.0857048063649</v>
      </c>
      <c r="E50" s="1253">
        <f>'Direct End use'!H70</f>
        <v>282076.04502961721</v>
      </c>
      <c r="F50" s="1582">
        <f t="shared" si="16"/>
        <v>11283041.801184688</v>
      </c>
      <c r="G50" s="1582">
        <f t="shared" si="15"/>
        <v>3178.3216341365319</v>
      </c>
      <c r="H50" s="183">
        <f t="shared" si="17"/>
        <v>86603.814143842654</v>
      </c>
      <c r="I50" s="186"/>
      <c r="J50">
        <f>(5000-1000)/1000000*120/42</f>
        <v>1.1428571428571429E-2</v>
      </c>
      <c r="K50" t="s">
        <v>1501</v>
      </c>
      <c r="M50" s="186"/>
    </row>
    <row r="51" spans="2:17" s="187" customFormat="1">
      <c r="B51" s="348" t="s">
        <v>485</v>
      </c>
      <c r="C51" s="1584"/>
      <c r="D51" s="1584"/>
      <c r="E51" s="1585">
        <f>E36+E44</f>
        <v>727536.44299760577</v>
      </c>
      <c r="F51" s="1698">
        <f>F36+F44</f>
        <v>29101457.719904229</v>
      </c>
      <c r="G51" s="1698">
        <f>G36+G44</f>
        <v>8197.5937239166851</v>
      </c>
      <c r="H51" s="183">
        <f>E51/D44*1000</f>
        <v>103609.19949438501</v>
      </c>
      <c r="I51" s="287"/>
      <c r="J51" s="1253">
        <f>J48*J49/1000*J50</f>
        <v>6450.6978130413709</v>
      </c>
      <c r="M51" s="288"/>
    </row>
    <row r="52" spans="2:17">
      <c r="B52" s="289" t="s">
        <v>486</v>
      </c>
      <c r="C52" s="1263"/>
      <c r="D52" s="1263"/>
      <c r="E52" s="290">
        <f>E31-E51</f>
        <v>-39897.033900374779</v>
      </c>
      <c r="F52" s="1697">
        <f>F31-F51</f>
        <v>-1595881.356014993</v>
      </c>
      <c r="G52" s="1697">
        <f>G31-G51</f>
        <v>-449.54404394788526</v>
      </c>
    </row>
    <row r="53" spans="2:17">
      <c r="B53" s="357" t="s">
        <v>487</v>
      </c>
      <c r="C53" s="1264"/>
      <c r="D53" s="1264"/>
      <c r="E53" s="356">
        <f>-(1-E31/E51)</f>
        <v>-5.4838536659401527E-2</v>
      </c>
      <c r="F53" s="1643">
        <f>-(1-F31/F51)</f>
        <v>-5.4838536659401527E-2</v>
      </c>
      <c r="G53" s="1643">
        <f>-(1-G31/G51)</f>
        <v>-5.4838536659401527E-2</v>
      </c>
    </row>
    <row r="56" spans="2:17" ht="15.75" thickBot="1">
      <c r="B56" s="187" t="s">
        <v>1413</v>
      </c>
    </row>
    <row r="57" spans="2:17">
      <c r="M57" s="1663" t="s">
        <v>1508</v>
      </c>
      <c r="N57" s="1664"/>
      <c r="O57" s="1664"/>
      <c r="P57" s="1664"/>
      <c r="Q57" s="1665"/>
    </row>
    <row r="58" spans="2:17" ht="30.75" thickBot="1">
      <c r="B58" s="270" t="str">
        <f>B2</f>
        <v>Life Cycle Step</v>
      </c>
      <c r="C58" s="234" t="s">
        <v>559</v>
      </c>
      <c r="D58" s="234" t="s">
        <v>560</v>
      </c>
      <c r="E58" s="234" t="s">
        <v>364</v>
      </c>
      <c r="F58" s="1488" t="s">
        <v>540</v>
      </c>
      <c r="G58" s="1488" t="s">
        <v>480</v>
      </c>
      <c r="H58" s="180" t="s">
        <v>1485</v>
      </c>
      <c r="I58" s="1257">
        <v>13695.103020307119</v>
      </c>
      <c r="J58" s="1257">
        <v>6847.5573258871791</v>
      </c>
      <c r="M58" s="1666"/>
      <c r="N58" s="182" t="s">
        <v>1507</v>
      </c>
      <c r="O58" s="182"/>
      <c r="P58" s="182" t="s">
        <v>1506</v>
      </c>
      <c r="Q58" s="1667"/>
    </row>
    <row r="59" spans="2:17" ht="30.75" thickTop="1">
      <c r="B59" s="353" t="s">
        <v>1428</v>
      </c>
      <c r="E59" s="185"/>
      <c r="F59" s="1489"/>
      <c r="G59" s="1489"/>
      <c r="I59" t="s">
        <v>375</v>
      </c>
      <c r="J59" t="s">
        <v>374</v>
      </c>
      <c r="K59" t="s">
        <v>506</v>
      </c>
      <c r="L59" t="s">
        <v>376</v>
      </c>
      <c r="M59" s="1666"/>
      <c r="N59" s="182" t="s">
        <v>1428</v>
      </c>
      <c r="O59" s="182" t="s">
        <v>1495</v>
      </c>
      <c r="P59" s="182" t="s">
        <v>1428</v>
      </c>
      <c r="Q59" s="1667" t="s">
        <v>1495</v>
      </c>
    </row>
    <row r="60" spans="2:17">
      <c r="B60" s="1467" t="s">
        <v>1074</v>
      </c>
      <c r="C60" s="287"/>
      <c r="D60" s="1257"/>
      <c r="E60" s="1257">
        <f>E5</f>
        <v>1580.7997202170586</v>
      </c>
      <c r="F60" s="1490">
        <f>F5</f>
        <v>63231.988808682348</v>
      </c>
      <c r="G60" s="1490">
        <f>G5</f>
        <v>17.811827833431646</v>
      </c>
      <c r="I60" s="1654">
        <v>1580.7997202170586</v>
      </c>
      <c r="J60" s="1620">
        <v>1580.7997202170586</v>
      </c>
      <c r="K60" s="1625"/>
      <c r="L60" s="1620"/>
      <c r="M60" s="1668" t="s">
        <v>1074</v>
      </c>
      <c r="N60" s="230">
        <f>E60</f>
        <v>1580.7997202170586</v>
      </c>
      <c r="O60" s="182"/>
      <c r="P60" s="182">
        <v>1580.7997202170586</v>
      </c>
      <c r="Q60" s="1669"/>
    </row>
    <row r="61" spans="2:17">
      <c r="B61" s="1467" t="str">
        <f>B11</f>
        <v>Upstream Life cycle</v>
      </c>
      <c r="C61" s="287"/>
      <c r="D61" s="1257"/>
      <c r="E61" s="1257">
        <f>E11</f>
        <v>103948.95591486589</v>
      </c>
      <c r="F61" s="1490">
        <f>F11</f>
        <v>4157958.236594636</v>
      </c>
      <c r="G61" s="1490">
        <f>G11</f>
        <v>1171.2558412942635</v>
      </c>
      <c r="I61" s="1654">
        <v>207537.74443042814</v>
      </c>
      <c r="J61" s="1620">
        <v>103840.0097000181</v>
      </c>
      <c r="K61" s="1626">
        <f t="shared" ref="K61:L63" si="18">I61/I$58*1000</f>
        <v>15154.157228513788</v>
      </c>
      <c r="L61" s="1625">
        <f t="shared" si="18"/>
        <v>15164.53309670751</v>
      </c>
      <c r="M61" s="1668" t="s">
        <v>1210</v>
      </c>
      <c r="N61" s="230">
        <f t="shared" ref="N61:N71" si="19">E61</f>
        <v>103948.95591486589</v>
      </c>
      <c r="O61" s="230">
        <f>E75</f>
        <v>125245.26871105208</v>
      </c>
      <c r="P61" s="182">
        <v>103948.95591486589</v>
      </c>
      <c r="Q61" s="1669">
        <v>125245.26871105208</v>
      </c>
    </row>
    <row r="62" spans="2:17">
      <c r="B62" s="1467" t="str">
        <f>B17</f>
        <v>Direct LNG Plant</v>
      </c>
      <c r="C62" s="287"/>
      <c r="D62" s="1257"/>
      <c r="E62" s="1257">
        <f>E17</f>
        <v>52250.761722437543</v>
      </c>
      <c r="F62" s="1490">
        <f>F17</f>
        <v>2090030.4688975015</v>
      </c>
      <c r="G62" s="1490">
        <f>G17</f>
        <v>588.74097715422579</v>
      </c>
      <c r="I62" s="1654">
        <v>136398.66048584582</v>
      </c>
      <c r="J62" s="1620">
        <v>61484.418040248624</v>
      </c>
      <c r="K62" s="1626">
        <f t="shared" si="18"/>
        <v>9959.6666256247718</v>
      </c>
      <c r="L62" s="1625">
        <f t="shared" si="18"/>
        <v>8979.0293259476457</v>
      </c>
      <c r="M62" s="1668" t="s">
        <v>1499</v>
      </c>
      <c r="N62" s="230">
        <f t="shared" si="19"/>
        <v>52250.761722437543</v>
      </c>
      <c r="O62" s="182"/>
      <c r="P62" s="182">
        <v>52251.631037533654</v>
      </c>
      <c r="Q62" s="1669"/>
    </row>
    <row r="63" spans="2:17">
      <c r="B63" s="1467" t="str">
        <f t="shared" ref="B63:G63" si="20">B21</f>
        <v xml:space="preserve"> End Use LNG</v>
      </c>
      <c r="C63" s="287">
        <f t="shared" si="20"/>
        <v>88.75</v>
      </c>
      <c r="D63" s="1257">
        <f t="shared" si="20"/>
        <v>6847.5573258871791</v>
      </c>
      <c r="E63" s="1257">
        <f t="shared" si="20"/>
        <v>529858.89173971047</v>
      </c>
      <c r="F63" s="1490">
        <f t="shared" si="20"/>
        <v>21194355.669588417</v>
      </c>
      <c r="G63" s="1490">
        <f t="shared" si="20"/>
        <v>5970.2410336868788</v>
      </c>
      <c r="H63" t="s">
        <v>1486</v>
      </c>
      <c r="I63" s="1654">
        <v>991472.38714722381</v>
      </c>
      <c r="J63" s="1620">
        <v>540486.47499231296</v>
      </c>
      <c r="K63" s="1626">
        <f t="shared" si="18"/>
        <v>72396.124781030652</v>
      </c>
      <c r="L63" s="1625">
        <f t="shared" si="18"/>
        <v>78931.281516841729</v>
      </c>
      <c r="M63" s="1668" t="s">
        <v>1337</v>
      </c>
      <c r="N63" s="230"/>
      <c r="O63" s="182"/>
      <c r="P63" s="182"/>
      <c r="Q63" s="1669"/>
    </row>
    <row r="64" spans="2:17">
      <c r="B64" s="184" t="str">
        <f>B22</f>
        <v>On-site Peak Shaving</v>
      </c>
      <c r="C64" s="1587">
        <f>C22</f>
        <v>9.7260273972602747</v>
      </c>
      <c r="D64" s="1589">
        <f t="shared" ref="D64:E64" si="21">D22</f>
        <v>750.41724119311561</v>
      </c>
      <c r="E64" s="1590">
        <f t="shared" si="21"/>
        <v>43853.636910170695</v>
      </c>
      <c r="F64" s="1490"/>
      <c r="G64" s="1490"/>
      <c r="I64" s="1654">
        <v>43853.636910170688</v>
      </c>
      <c r="J64" s="1621">
        <v>43853.636910170695</v>
      </c>
      <c r="K64" s="1626">
        <f>E64/D64*1000</f>
        <v>58439.005000000012</v>
      </c>
      <c r="L64" s="1621">
        <v>58439.005000000012</v>
      </c>
      <c r="M64" s="1670" t="s">
        <v>369</v>
      </c>
      <c r="N64" s="230">
        <f t="shared" si="19"/>
        <v>43853.636910170695</v>
      </c>
      <c r="O64" s="230">
        <f>E77</f>
        <v>58890.503999524844</v>
      </c>
      <c r="P64" s="182">
        <v>43853.636910170695</v>
      </c>
      <c r="Q64" s="1669">
        <v>58890.503999524844</v>
      </c>
    </row>
    <row r="65" spans="2:17">
      <c r="B65" s="184" t="str">
        <f t="shared" ref="B65:E72" si="22">B23</f>
        <v>Gig harbor LNG</v>
      </c>
      <c r="C65" s="1587">
        <f t="shared" si="22"/>
        <v>0</v>
      </c>
      <c r="D65" s="1589">
        <f t="shared" si="22"/>
        <v>0</v>
      </c>
      <c r="E65" s="1590">
        <f t="shared" si="22"/>
        <v>0</v>
      </c>
      <c r="F65" s="1490"/>
      <c r="G65" s="1490"/>
      <c r="I65" s="1654">
        <v>8129.4972873958041</v>
      </c>
      <c r="J65" s="1621">
        <v>0</v>
      </c>
      <c r="K65" s="1626" t="e">
        <f t="shared" ref="K65:K71" si="23">E65/D65*1000</f>
        <v>#DIV/0!</v>
      </c>
      <c r="L65" s="1621"/>
      <c r="M65" s="1670" t="s">
        <v>1423</v>
      </c>
      <c r="N65" s="230">
        <f t="shared" si="19"/>
        <v>0</v>
      </c>
      <c r="O65" s="230">
        <f t="shared" ref="O65:O67" si="24">E78</f>
        <v>0</v>
      </c>
      <c r="P65" s="182">
        <v>0</v>
      </c>
      <c r="Q65" s="1669">
        <v>0</v>
      </c>
    </row>
    <row r="66" spans="2:17">
      <c r="B66" s="184" t="str">
        <f t="shared" si="22"/>
        <v>On-road Trucking</v>
      </c>
      <c r="C66" s="1587">
        <f t="shared" si="22"/>
        <v>0</v>
      </c>
      <c r="D66" s="1589">
        <f t="shared" si="22"/>
        <v>0</v>
      </c>
      <c r="E66" s="1590">
        <f t="shared" si="22"/>
        <v>0</v>
      </c>
      <c r="F66" s="1490"/>
      <c r="G66" s="1490"/>
      <c r="I66" s="1654">
        <v>17862.044151279966</v>
      </c>
      <c r="J66" s="1621">
        <v>0</v>
      </c>
      <c r="K66" s="1626" t="e">
        <f t="shared" si="23"/>
        <v>#DIV/0!</v>
      </c>
      <c r="L66" s="1621"/>
      <c r="M66" s="1670" t="s">
        <v>371</v>
      </c>
      <c r="N66" s="230">
        <f t="shared" si="19"/>
        <v>0</v>
      </c>
      <c r="O66" s="230">
        <f t="shared" si="24"/>
        <v>0</v>
      </c>
      <c r="P66" s="182">
        <v>0</v>
      </c>
      <c r="Q66" s="1669">
        <v>0</v>
      </c>
    </row>
    <row r="67" spans="2:17">
      <c r="B67" s="184" t="str">
        <f t="shared" si="22"/>
        <v>TOTE Marine</v>
      </c>
      <c r="C67" s="1587">
        <f t="shared" si="22"/>
        <v>37.93150684931507</v>
      </c>
      <c r="D67" s="1589">
        <f t="shared" si="22"/>
        <v>2926.6272406531507</v>
      </c>
      <c r="E67" s="1590">
        <f t="shared" si="22"/>
        <v>225992.874114973</v>
      </c>
      <c r="F67" s="1490"/>
      <c r="G67" s="1490"/>
      <c r="I67" s="1654">
        <v>226164.58996947008</v>
      </c>
      <c r="J67" s="1621">
        <v>226164.58996947034</v>
      </c>
      <c r="K67" s="1626">
        <f t="shared" si="23"/>
        <v>77219.56215528732</v>
      </c>
      <c r="L67" s="1621">
        <v>77278.235788919948</v>
      </c>
      <c r="M67" s="1670" t="s">
        <v>1249</v>
      </c>
      <c r="N67" s="230">
        <f t="shared" si="19"/>
        <v>225992.874114973</v>
      </c>
      <c r="O67" s="230">
        <f t="shared" si="24"/>
        <v>261324.62525741154</v>
      </c>
      <c r="P67" s="182">
        <v>225992.874114973</v>
      </c>
      <c r="Q67" s="1669">
        <v>261324.62525741154</v>
      </c>
    </row>
    <row r="68" spans="2:17">
      <c r="B68" s="184" t="str">
        <f t="shared" si="22"/>
        <v>TOTE Marine Diesel Pilot fuel</v>
      </c>
      <c r="C68" s="1587">
        <f t="shared" si="22"/>
        <v>0</v>
      </c>
      <c r="D68" s="1589">
        <f t="shared" si="22"/>
        <v>0</v>
      </c>
      <c r="E68" s="1590">
        <f t="shared" si="22"/>
        <v>7611.3968521576162</v>
      </c>
      <c r="F68" s="1490"/>
      <c r="G68" s="1490"/>
      <c r="I68" s="1654">
        <v>7611.3968521576062</v>
      </c>
      <c r="J68" s="1621">
        <v>7611.3968521576162</v>
      </c>
      <c r="K68" s="1626"/>
      <c r="L68" s="1621"/>
      <c r="M68" s="1670"/>
      <c r="N68" s="230"/>
      <c r="O68" s="182"/>
      <c r="P68" s="182"/>
      <c r="Q68" s="1669"/>
    </row>
    <row r="69" spans="2:17">
      <c r="B69" s="184" t="str">
        <f t="shared" si="22"/>
        <v>Truck-to-Ship Bunkering</v>
      </c>
      <c r="C69" s="1587">
        <f t="shared" si="22"/>
        <v>0</v>
      </c>
      <c r="D69" s="1589">
        <f t="shared" si="22"/>
        <v>0</v>
      </c>
      <c r="E69" s="1590">
        <f t="shared" si="22"/>
        <v>0</v>
      </c>
      <c r="F69" s="1490"/>
      <c r="G69" s="1490"/>
      <c r="I69" s="1654">
        <v>10575.307570764762</v>
      </c>
      <c r="J69" s="1621">
        <v>0</v>
      </c>
      <c r="K69" s="1626" t="e">
        <f t="shared" si="23"/>
        <v>#DIV/0!</v>
      </c>
      <c r="L69" s="1621"/>
      <c r="M69" s="1670" t="s">
        <v>1498</v>
      </c>
      <c r="N69" s="230">
        <f>E69</f>
        <v>0</v>
      </c>
      <c r="O69" s="230">
        <f>E81</f>
        <v>0</v>
      </c>
      <c r="P69" s="182">
        <v>0</v>
      </c>
      <c r="Q69" s="1669">
        <v>0</v>
      </c>
    </row>
    <row r="70" spans="2:17">
      <c r="B70" s="184" t="str">
        <f t="shared" si="22"/>
        <v>Truck-to-Ship Bunkering Pilot Fuel</v>
      </c>
      <c r="C70" s="1587"/>
      <c r="D70" s="1589"/>
      <c r="E70" s="1590">
        <f t="shared" si="22"/>
        <v>0</v>
      </c>
      <c r="F70" s="1490"/>
      <c r="G70" s="1490"/>
      <c r="I70" s="1654">
        <v>356.17433987660633</v>
      </c>
      <c r="J70" s="1621">
        <v>0</v>
      </c>
      <c r="K70" s="1626"/>
      <c r="L70" s="1621"/>
      <c r="M70" s="1670" t="s">
        <v>1496</v>
      </c>
      <c r="N70" s="230">
        <f t="shared" si="19"/>
        <v>0</v>
      </c>
      <c r="O70" s="230"/>
      <c r="P70" s="182">
        <v>0</v>
      </c>
      <c r="Q70" s="1669"/>
    </row>
    <row r="71" spans="2:17">
      <c r="B71" s="184" t="str">
        <f t="shared" si="22"/>
        <v>Other Marine LNG  (by Bunker Barge)</v>
      </c>
      <c r="C71" s="1587">
        <f t="shared" si="22"/>
        <v>41.092465753424655</v>
      </c>
      <c r="D71" s="1589">
        <f t="shared" si="22"/>
        <v>3170.512844040913</v>
      </c>
      <c r="E71" s="1590">
        <f t="shared" si="22"/>
        <v>244185.17672562422</v>
      </c>
      <c r="F71" s="1490"/>
      <c r="G71" s="1490"/>
      <c r="I71" s="1654">
        <v>652520.6885984703</v>
      </c>
      <c r="J71" s="1621">
        <v>254619.76662760071</v>
      </c>
      <c r="K71" s="1626">
        <f t="shared" si="23"/>
        <v>77017.564267111738</v>
      </c>
      <c r="L71" s="1627">
        <v>80308.70056437944</v>
      </c>
      <c r="M71" s="1670" t="s">
        <v>1497</v>
      </c>
      <c r="N71" s="230">
        <f t="shared" si="19"/>
        <v>244185.17672562422</v>
      </c>
      <c r="O71" s="230">
        <f>E82</f>
        <v>282076.04502961721</v>
      </c>
      <c r="P71" s="182">
        <f>244185.176725624</f>
        <v>244185.17672562401</v>
      </c>
      <c r="Q71" s="1669">
        <v>282076.04502961721</v>
      </c>
    </row>
    <row r="72" spans="2:17">
      <c r="B72" s="184" t="str">
        <f t="shared" si="22"/>
        <v>Other Marine Diesel  Pilot Fuel</v>
      </c>
      <c r="C72" s="1587"/>
      <c r="D72" s="1587"/>
      <c r="E72" s="1590">
        <f t="shared" si="22"/>
        <v>8215.807136784968</v>
      </c>
      <c r="F72" s="1490"/>
      <c r="G72" s="1490"/>
      <c r="I72" s="1654">
        <v>24399.05146763795</v>
      </c>
      <c r="J72" s="1621">
        <v>8237.0846329135456</v>
      </c>
      <c r="K72" s="1626"/>
      <c r="L72" s="1621"/>
      <c r="M72" s="1670" t="s">
        <v>1496</v>
      </c>
      <c r="N72" s="230">
        <f>E72+E70+E68</f>
        <v>15827.203988942583</v>
      </c>
      <c r="O72" s="182"/>
      <c r="P72" s="182">
        <f>8215.80713678497+7611</f>
        <v>15826.80713678497</v>
      </c>
      <c r="Q72" s="1669"/>
    </row>
    <row r="73" spans="2:17" ht="15.75" thickBot="1">
      <c r="B73" s="193" t="s">
        <v>211</v>
      </c>
      <c r="C73" s="1263">
        <f t="shared" ref="C73:D73" si="25">SUM(C60:C63)</f>
        <v>88.75</v>
      </c>
      <c r="D73" s="1588">
        <f t="shared" si="25"/>
        <v>6847.5573258871791</v>
      </c>
      <c r="E73" s="1588">
        <f>SUM(E60:E63)</f>
        <v>687639.40909723099</v>
      </c>
      <c r="F73" s="1491">
        <f t="shared" ref="F73:G73" si="26">SUM(F60:F63)</f>
        <v>27505576.363889236</v>
      </c>
      <c r="G73" s="1491">
        <f t="shared" si="26"/>
        <v>7748.0496799687999</v>
      </c>
      <c r="I73" s="1654">
        <v>1336989.5917837149</v>
      </c>
      <c r="J73" s="1622">
        <v>707391.70245279674</v>
      </c>
      <c r="K73" s="1626"/>
      <c r="L73" s="1622"/>
      <c r="M73" s="1671" t="s">
        <v>1431</v>
      </c>
      <c r="N73" s="1672">
        <f>SUM(N60:N72)</f>
        <v>687639.40909723099</v>
      </c>
      <c r="O73" s="1672">
        <f t="shared" ref="O73:Q73" si="27">SUM(O60:O72)</f>
        <v>727536.44299760566</v>
      </c>
      <c r="P73" s="1672">
        <f t="shared" si="27"/>
        <v>687639.88156016928</v>
      </c>
      <c r="Q73" s="1673">
        <f t="shared" si="27"/>
        <v>727536.44299760566</v>
      </c>
    </row>
    <row r="74" spans="2:17">
      <c r="B74" s="187" t="str">
        <f>B33</f>
        <v>NO ACTION</v>
      </c>
      <c r="E74" s="185"/>
      <c r="F74" s="1489"/>
      <c r="G74" s="1489"/>
      <c r="I74" s="1654"/>
      <c r="J74" s="1623"/>
      <c r="K74" s="1626"/>
      <c r="L74" s="1623"/>
    </row>
    <row r="75" spans="2:17">
      <c r="B75" t="s">
        <v>1426</v>
      </c>
      <c r="C75" s="287"/>
      <c r="D75" s="1257"/>
      <c r="E75" s="1257">
        <f>E36</f>
        <v>125245.26871105208</v>
      </c>
      <c r="F75" s="1490">
        <f>F36</f>
        <v>5009810.7484420836</v>
      </c>
      <c r="G75" s="1490">
        <f>G36</f>
        <v>1411.2142953357979</v>
      </c>
      <c r="I75" s="1654">
        <v>248199.96165491489</v>
      </c>
      <c r="J75" s="1620">
        <v>125393.89982113826</v>
      </c>
      <c r="K75" s="1626">
        <f>E75/D76*1000</f>
        <v>17836.305186507278</v>
      </c>
      <c r="L75" s="1620">
        <v>17835.773790435371</v>
      </c>
    </row>
    <row r="76" spans="2:17">
      <c r="B76" t="str">
        <f t="shared" ref="B76:G76" si="28">B44</f>
        <v>Total End Use Diesel /Fuel Oil/LNG</v>
      </c>
      <c r="C76" s="287">
        <f t="shared" si="28"/>
        <v>50.571307495092498</v>
      </c>
      <c r="D76" s="1257">
        <f t="shared" si="28"/>
        <v>7021.9290038722265</v>
      </c>
      <c r="E76" s="1257">
        <f t="shared" si="28"/>
        <v>602291.17428655364</v>
      </c>
      <c r="F76" s="1490">
        <f t="shared" si="28"/>
        <v>24091646.971462145</v>
      </c>
      <c r="G76" s="1490">
        <f t="shared" si="28"/>
        <v>6786.3794285808863</v>
      </c>
      <c r="I76" s="1654">
        <v>1197628.946200537</v>
      </c>
      <c r="J76" s="1620">
        <v>603021.70165363466</v>
      </c>
      <c r="K76" s="1626">
        <f>E76/D76*1000</f>
        <v>85772.894307877737</v>
      </c>
      <c r="L76" s="1620">
        <v>85772.582850992505</v>
      </c>
    </row>
    <row r="77" spans="2:17">
      <c r="B77" s="184" t="str">
        <f>B45</f>
        <v>Diesel Peak Shaving for Power</v>
      </c>
      <c r="C77" s="1587">
        <f>C45</f>
        <v>5.8873099129972575</v>
      </c>
      <c r="D77" s="1590">
        <f t="shared" ref="D77:E77" si="29">D45</f>
        <v>750.41724119311561</v>
      </c>
      <c r="E77" s="1590">
        <f t="shared" si="29"/>
        <v>58890.503999524844</v>
      </c>
      <c r="F77" s="1490"/>
      <c r="G77" s="1490"/>
      <c r="I77" s="1654">
        <v>58890.503999524837</v>
      </c>
      <c r="J77" s="1621">
        <v>58890.503999524844</v>
      </c>
      <c r="K77" s="1626">
        <f t="shared" ref="K77:K82" si="30">E77/D77*1000</f>
        <v>78477.013542349712</v>
      </c>
      <c r="L77" s="1621">
        <v>78477.013542349712</v>
      </c>
      <c r="N77" s="183"/>
    </row>
    <row r="78" spans="2:17">
      <c r="B78" s="184" t="str">
        <f t="shared" ref="B78:E82" si="31">B46</f>
        <v>Gig  harbor LNG</v>
      </c>
      <c r="C78" s="1587">
        <f t="shared" si="31"/>
        <v>0</v>
      </c>
      <c r="D78" s="1590">
        <f t="shared" si="31"/>
        <v>0</v>
      </c>
      <c r="E78" s="1590">
        <f t="shared" si="31"/>
        <v>0</v>
      </c>
      <c r="F78" s="1490"/>
      <c r="G78" s="1490"/>
      <c r="I78" s="1654">
        <v>8168.4707595681939</v>
      </c>
      <c r="J78" s="1621">
        <v>0</v>
      </c>
      <c r="K78" s="1626" t="e">
        <f t="shared" si="30"/>
        <v>#DIV/0!</v>
      </c>
      <c r="L78" s="1621"/>
      <c r="N78" s="183"/>
    </row>
    <row r="79" spans="2:17">
      <c r="B79" s="184" t="str">
        <f t="shared" si="31"/>
        <v>On-road Trucking</v>
      </c>
      <c r="C79" s="1587">
        <f t="shared" si="31"/>
        <v>0</v>
      </c>
      <c r="D79" s="1590">
        <f t="shared" si="31"/>
        <v>0</v>
      </c>
      <c r="E79" s="1590">
        <f t="shared" si="31"/>
        <v>0</v>
      </c>
      <c r="F79" s="1490"/>
      <c r="G79" s="1490"/>
      <c r="I79" s="1654">
        <v>19315.926792699673</v>
      </c>
      <c r="J79" s="1621">
        <v>0</v>
      </c>
      <c r="K79" s="1626" t="e">
        <f t="shared" si="30"/>
        <v>#DIV/0!</v>
      </c>
      <c r="L79" s="1621"/>
    </row>
    <row r="80" spans="2:17">
      <c r="B80" s="184" t="str">
        <f t="shared" si="31"/>
        <v>TOTE Marine Diesel</v>
      </c>
      <c r="C80" s="1587">
        <f t="shared" si="31"/>
        <v>21.477533930965627</v>
      </c>
      <c r="D80" s="1590">
        <f t="shared" si="31"/>
        <v>3014.4260578727453</v>
      </c>
      <c r="E80" s="1590">
        <f t="shared" si="31"/>
        <v>261324.62525741154</v>
      </c>
      <c r="F80" s="1490"/>
      <c r="G80" s="1490"/>
      <c r="I80" s="1654">
        <v>261324.62525741121</v>
      </c>
      <c r="J80" s="1621">
        <v>261324.62525741154</v>
      </c>
      <c r="K80" s="1626">
        <f t="shared" si="30"/>
        <v>86691.337004240893</v>
      </c>
      <c r="L80" s="1621">
        <v>86691.337004240893</v>
      </c>
    </row>
    <row r="81" spans="2:12">
      <c r="B81" s="184" t="str">
        <f t="shared" si="31"/>
        <v>Truck-to-Ship Bunkering</v>
      </c>
      <c r="C81" s="1587">
        <f t="shared" si="31"/>
        <v>0</v>
      </c>
      <c r="D81" s="1590">
        <f t="shared" si="31"/>
        <v>0</v>
      </c>
      <c r="E81" s="1590">
        <f t="shared" si="31"/>
        <v>0</v>
      </c>
      <c r="F81" s="1490"/>
      <c r="G81" s="1490"/>
      <c r="I81" s="1654">
        <v>12228.652335763485</v>
      </c>
      <c r="J81" s="1621">
        <v>0</v>
      </c>
      <c r="K81" s="1626" t="e">
        <f t="shared" si="30"/>
        <v>#DIV/0!</v>
      </c>
      <c r="L81" s="1621"/>
    </row>
    <row r="82" spans="2:12">
      <c r="B82" s="184" t="str">
        <f t="shared" si="31"/>
        <v>Other Marine Diesel  (by Bunker Barge)</v>
      </c>
      <c r="C82" s="1587">
        <f t="shared" si="31"/>
        <v>23.206463651129614</v>
      </c>
      <c r="D82" s="1590">
        <f t="shared" si="31"/>
        <v>3257.0857048063649</v>
      </c>
      <c r="E82" s="1590">
        <f t="shared" si="31"/>
        <v>282076.04502961721</v>
      </c>
      <c r="F82" s="1490"/>
      <c r="G82" s="1490"/>
      <c r="I82" s="1654">
        <v>837700.76705556957</v>
      </c>
      <c r="J82" s="1621">
        <v>282806.57239669835</v>
      </c>
      <c r="K82" s="1626">
        <f t="shared" si="30"/>
        <v>86603.814143842654</v>
      </c>
      <c r="L82" s="1621">
        <v>86600.970022830064</v>
      </c>
    </row>
    <row r="83" spans="2:12">
      <c r="B83" s="193" t="s">
        <v>211</v>
      </c>
      <c r="C83" s="1263">
        <f>SUM(C75:C76)</f>
        <v>50.571307495092498</v>
      </c>
      <c r="D83" s="1588">
        <f t="shared" ref="D83:G83" si="32">SUM(D75:D76)</f>
        <v>7021.9290038722265</v>
      </c>
      <c r="E83" s="1588">
        <f t="shared" si="32"/>
        <v>727536.44299760577</v>
      </c>
      <c r="F83" s="1491">
        <f t="shared" si="32"/>
        <v>29101457.719904229</v>
      </c>
      <c r="G83" s="1491">
        <f t="shared" si="32"/>
        <v>8197.5937239166851</v>
      </c>
      <c r="J83" s="1622">
        <v>728415.60147477291</v>
      </c>
      <c r="L83" s="1622"/>
    </row>
    <row r="84" spans="2:12">
      <c r="B84" s="1591" t="s">
        <v>1431</v>
      </c>
      <c r="C84" s="1592"/>
      <c r="D84" s="1594">
        <f>-(1-E73/E83)</f>
        <v>-5.4838536659401527E-2</v>
      </c>
      <c r="E84" s="1593">
        <f>E73-E83</f>
        <v>-39897.033900374779</v>
      </c>
      <c r="F84" s="1699">
        <f t="shared" ref="F84:G84" si="33">F73-F83</f>
        <v>-1595881.356014993</v>
      </c>
      <c r="G84" s="1699">
        <f t="shared" si="33"/>
        <v>-449.54404394788526</v>
      </c>
      <c r="J84" s="1624">
        <v>-21023.899021976162</v>
      </c>
      <c r="L84" s="1624"/>
    </row>
    <row r="85" spans="2:12">
      <c r="C85"/>
      <c r="D85"/>
      <c r="F85" s="1492">
        <f t="shared" ref="F85:G85" si="34">-(1-F73/F83)</f>
        <v>-5.4838536659401527E-2</v>
      </c>
      <c r="G85" s="1492">
        <f t="shared" si="34"/>
        <v>-5.4838536659401527E-2</v>
      </c>
    </row>
  </sheetData>
  <sheetProtection password="C8A2" sheet="1" objects="1" scenarios="1"/>
  <pageMargins left="0.7" right="0.7" top="0.75" bottom="0.75" header="0.3" footer="0.3"/>
  <pageSetup paperSize="9" scale="50" orientation="landscape" r:id="rId1"/>
  <headerFooter>
    <oddHeader>&amp;CTacoma LNG Facility DSEIS Life Cycle Analsis GHG Emission Calculations Scenario A</oddHeader>
    <oddFooter>Page &amp;P of &amp;N</oddFooter>
  </headerFooter>
  <colBreaks count="1" manualBreakCount="1">
    <brk id="7"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50"/>
  </sheetPr>
  <dimension ref="A1:AG25"/>
  <sheetViews>
    <sheetView zoomScale="85" zoomScaleNormal="85" zoomScaleSheetLayoutView="100" zoomScalePageLayoutView="85" workbookViewId="0">
      <selection activeCell="B1" sqref="B1"/>
    </sheetView>
  </sheetViews>
  <sheetFormatPr defaultColWidth="9.140625" defaultRowHeight="15"/>
  <cols>
    <col min="1" max="1" width="29.28515625" style="541" customWidth="1"/>
    <col min="2" max="2" width="9.28515625" style="541" customWidth="1"/>
    <col min="3" max="5" width="11.5703125" style="538" customWidth="1"/>
    <col min="6" max="6" width="11.5703125" style="541" customWidth="1"/>
    <col min="7" max="8" width="11.5703125" style="538" customWidth="1"/>
    <col min="9" max="11" width="9.28515625" style="538" customWidth="1"/>
    <col min="12" max="12" width="9.28515625" style="541" customWidth="1"/>
    <col min="13" max="13" width="1.5703125" style="538" bestFit="1" customWidth="1"/>
    <col min="14" max="15" width="9.28515625" style="538" bestFit="1" customWidth="1"/>
    <col min="16" max="20" width="9.140625" style="538"/>
    <col min="21" max="21" width="12" style="538" bestFit="1" customWidth="1"/>
    <col min="22" max="24" width="9.140625" style="538"/>
    <col min="25" max="16384" width="9.140625" style="539"/>
  </cols>
  <sheetData>
    <row r="1" spans="1:33">
      <c r="A1" s="534" t="s">
        <v>579</v>
      </c>
      <c r="B1" s="535"/>
      <c r="C1" s="536"/>
      <c r="D1" s="536"/>
      <c r="E1" s="536"/>
      <c r="F1" s="535"/>
      <c r="G1" s="536"/>
      <c r="H1" s="537"/>
      <c r="I1" s="537"/>
      <c r="J1" s="537"/>
      <c r="K1" s="537"/>
      <c r="L1" s="535"/>
    </row>
    <row r="2" spans="1:33">
      <c r="A2" s="540">
        <v>0.799393301232598</v>
      </c>
      <c r="H2" s="537"/>
      <c r="I2" s="537"/>
      <c r="J2" s="537"/>
      <c r="K2" s="537"/>
    </row>
    <row r="3" spans="1:33" s="538" customFormat="1">
      <c r="H3" s="542"/>
      <c r="I3" s="543"/>
      <c r="J3" s="543"/>
      <c r="K3" s="543"/>
      <c r="Y3" s="539"/>
      <c r="Z3" s="539"/>
      <c r="AA3" s="539"/>
      <c r="AB3" s="539"/>
      <c r="AC3" s="539"/>
      <c r="AD3" s="539"/>
      <c r="AE3" s="539"/>
      <c r="AF3" s="539"/>
      <c r="AG3" s="539"/>
    </row>
    <row r="4" spans="1:33" s="538" customFormat="1" ht="17.25">
      <c r="A4" s="1848" t="s">
        <v>580</v>
      </c>
      <c r="B4" s="1848" t="s">
        <v>581</v>
      </c>
      <c r="C4" s="544" t="s">
        <v>582</v>
      </c>
      <c r="D4" s="545"/>
      <c r="E4" s="545"/>
      <c r="F4" s="545"/>
      <c r="G4" s="546"/>
      <c r="H4" s="547"/>
      <c r="I4" s="548"/>
      <c r="J4" s="548"/>
      <c r="K4" s="548"/>
      <c r="L4" s="1848" t="s">
        <v>233</v>
      </c>
      <c r="M4" s="549"/>
      <c r="Y4" s="539"/>
      <c r="Z4" s="539"/>
      <c r="AA4" s="539"/>
      <c r="AB4" s="539"/>
      <c r="AC4" s="539"/>
      <c r="AD4" s="539"/>
      <c r="AE4" s="539"/>
      <c r="AF4" s="539"/>
      <c r="AG4" s="539"/>
    </row>
    <row r="5" spans="1:33" s="538" customFormat="1" ht="45.75" thickBot="1">
      <c r="A5" s="1849"/>
      <c r="B5" s="1849"/>
      <c r="C5" s="550" t="s">
        <v>583</v>
      </c>
      <c r="D5" s="550" t="s">
        <v>584</v>
      </c>
      <c r="E5" s="550" t="s">
        <v>585</v>
      </c>
      <c r="F5" s="550" t="s">
        <v>586</v>
      </c>
      <c r="G5" s="550" t="s">
        <v>587</v>
      </c>
      <c r="H5" s="550" t="s">
        <v>588</v>
      </c>
      <c r="I5" s="550" t="s">
        <v>589</v>
      </c>
      <c r="J5" s="550" t="s">
        <v>590</v>
      </c>
      <c r="K5" s="550" t="s">
        <v>591</v>
      </c>
      <c r="L5" s="1849"/>
      <c r="M5" s="541"/>
      <c r="N5" s="541"/>
      <c r="O5" s="541"/>
      <c r="P5" s="541"/>
      <c r="Q5" s="541"/>
      <c r="R5" s="541"/>
      <c r="S5" s="541"/>
      <c r="T5" s="541"/>
      <c r="U5" s="541"/>
      <c r="V5" s="541"/>
      <c r="W5" s="541"/>
      <c r="X5" s="541"/>
      <c r="Y5" s="539"/>
      <c r="Z5" s="539"/>
      <c r="AA5" s="539"/>
      <c r="AB5" s="539"/>
      <c r="AC5" s="539"/>
      <c r="AD5" s="539"/>
      <c r="AE5" s="539"/>
      <c r="AF5" s="539"/>
      <c r="AG5" s="539"/>
    </row>
    <row r="6" spans="1:33" s="538" customFormat="1" ht="15.75" thickTop="1">
      <c r="A6" s="551"/>
      <c r="B6" s="551"/>
      <c r="C6" s="551"/>
      <c r="D6" s="551"/>
      <c r="E6" s="551"/>
      <c r="F6" s="551"/>
      <c r="G6" s="551"/>
      <c r="H6" s="552"/>
      <c r="I6" s="551"/>
      <c r="J6" s="551"/>
      <c r="K6" s="551"/>
      <c r="L6" s="551"/>
      <c r="M6" s="541"/>
      <c r="N6" s="541"/>
      <c r="O6" s="541"/>
      <c r="S6" s="541"/>
      <c r="T6" s="541"/>
      <c r="U6" s="541"/>
      <c r="V6" s="541"/>
      <c r="W6" s="541"/>
      <c r="X6" s="541"/>
      <c r="Y6" s="539"/>
      <c r="Z6" s="539"/>
      <c r="AA6" s="539"/>
      <c r="AB6" s="539"/>
      <c r="AC6" s="539"/>
      <c r="AD6" s="539"/>
      <c r="AE6" s="539"/>
      <c r="AF6" s="539"/>
      <c r="AG6" s="539"/>
    </row>
    <row r="7" spans="1:33" s="538" customFormat="1">
      <c r="A7" s="553" t="s">
        <v>592</v>
      </c>
      <c r="B7" s="554">
        <v>1092.953013546987</v>
      </c>
      <c r="C7" s="554">
        <v>346.23717985554839</v>
      </c>
      <c r="D7" s="554">
        <v>466.33610909845947</v>
      </c>
      <c r="E7" s="554">
        <v>1644.1750560155813</v>
      </c>
      <c r="F7" s="554">
        <v>864.47497351433378</v>
      </c>
      <c r="G7" s="554">
        <v>1824.5610612756359</v>
      </c>
      <c r="H7" s="554">
        <v>1143.7958220361359</v>
      </c>
      <c r="I7" s="554">
        <v>506</v>
      </c>
      <c r="J7" s="554">
        <v>506</v>
      </c>
      <c r="K7" s="554">
        <v>222.64</v>
      </c>
      <c r="L7" s="554">
        <v>138000</v>
      </c>
      <c r="M7" s="541"/>
      <c r="N7" s="541"/>
      <c r="O7" s="541"/>
      <c r="S7" s="541"/>
      <c r="T7" s="541"/>
      <c r="U7" s="541"/>
      <c r="V7" s="541"/>
      <c r="W7" s="541"/>
      <c r="X7" s="541"/>
      <c r="Y7" s="539"/>
      <c r="Z7" s="539"/>
      <c r="AA7" s="539"/>
      <c r="AB7" s="539"/>
      <c r="AC7" s="539"/>
      <c r="AD7" s="539"/>
      <c r="AE7" s="539"/>
      <c r="AF7" s="539"/>
      <c r="AG7" s="539"/>
    </row>
    <row r="8" spans="1:33" s="538" customFormat="1">
      <c r="A8" s="555" t="s">
        <v>593</v>
      </c>
      <c r="B8" s="556">
        <v>4.6091924175538819E-2</v>
      </c>
      <c r="C8" s="556">
        <v>0.10126895175657308</v>
      </c>
      <c r="D8" s="556">
        <v>9.117505691797996E-2</v>
      </c>
      <c r="E8" s="556">
        <v>8.787460055544935E-2</v>
      </c>
      <c r="F8" s="556">
        <v>9.7307698556057434E-2</v>
      </c>
      <c r="G8" s="556">
        <v>8.6622386649299124E-2</v>
      </c>
      <c r="H8" s="556">
        <v>4.9390038631467341E-2</v>
      </c>
      <c r="I8" s="556">
        <v>5.8439999999999999E-2</v>
      </c>
      <c r="J8" s="556">
        <v>5.8560000000000001E-2</v>
      </c>
      <c r="K8" s="556">
        <v>6.744E-2</v>
      </c>
      <c r="L8" s="556"/>
      <c r="M8" s="541"/>
      <c r="N8" s="541"/>
      <c r="O8" s="541"/>
      <c r="S8" s="541"/>
      <c r="T8" s="541"/>
      <c r="U8" s="541"/>
      <c r="V8" s="541"/>
      <c r="W8" s="541"/>
      <c r="X8" s="541"/>
      <c r="Y8" s="539"/>
      <c r="Z8" s="539"/>
      <c r="AA8" s="539"/>
      <c r="AB8" s="539"/>
      <c r="AC8" s="539"/>
      <c r="AD8" s="539"/>
      <c r="AE8" s="539"/>
      <c r="AF8" s="539"/>
      <c r="AG8" s="539"/>
    </row>
    <row r="9" spans="1:33" s="538" customFormat="1" ht="17.25">
      <c r="A9" s="555" t="s">
        <v>594</v>
      </c>
      <c r="B9" s="557">
        <v>24.795171026156947</v>
      </c>
      <c r="C9" s="554">
        <v>336.87458824993291</v>
      </c>
      <c r="D9" s="554">
        <v>911.72258587687475</v>
      </c>
      <c r="E9" s="554">
        <v>523.91654973154107</v>
      </c>
      <c r="F9" s="554">
        <v>249.93794879712377</v>
      </c>
      <c r="G9" s="554">
        <v>587.2286661244068</v>
      </c>
      <c r="H9" s="554">
        <v>16.770121337302225</v>
      </c>
      <c r="I9" s="554">
        <v>0</v>
      </c>
      <c r="J9" s="554">
        <v>0</v>
      </c>
      <c r="K9" s="554">
        <v>0</v>
      </c>
      <c r="L9" s="557">
        <v>15</v>
      </c>
      <c r="M9" s="558"/>
      <c r="N9" s="541"/>
      <c r="O9" s="541"/>
      <c r="S9" s="541"/>
      <c r="T9" s="541"/>
      <c r="U9" s="541"/>
      <c r="V9" s="541"/>
      <c r="W9" s="541"/>
      <c r="X9" s="541"/>
      <c r="Y9" s="539"/>
      <c r="Z9" s="539"/>
      <c r="AA9" s="539"/>
      <c r="AB9" s="539"/>
      <c r="AC9" s="539"/>
      <c r="AD9" s="539"/>
      <c r="AE9" s="539"/>
      <c r="AF9" s="539"/>
      <c r="AG9" s="539"/>
    </row>
    <row r="10" spans="1:33" s="538" customFormat="1">
      <c r="A10" s="555" t="s">
        <v>595</v>
      </c>
      <c r="B10" s="559" t="s">
        <v>596</v>
      </c>
      <c r="C10" s="560">
        <v>9.5983657774938627E-2</v>
      </c>
      <c r="D10" s="561">
        <v>0.14373965861351329</v>
      </c>
      <c r="E10" s="561">
        <v>0.50587162903882654</v>
      </c>
      <c r="F10" s="561">
        <v>0.24189374112487722</v>
      </c>
      <c r="G10" s="561">
        <v>0.57573269935898719</v>
      </c>
      <c r="H10" s="561">
        <v>0.17223700359430283</v>
      </c>
      <c r="I10" s="562">
        <v>1.0156311215023474E-3</v>
      </c>
      <c r="J10" s="562">
        <v>1.0156311215023474E-3</v>
      </c>
      <c r="K10" s="562">
        <v>1.0156311215023474E-3</v>
      </c>
      <c r="L10" s="559"/>
      <c r="M10" s="558"/>
      <c r="N10" s="541"/>
      <c r="O10" s="541"/>
      <c r="S10" s="541"/>
      <c r="T10" s="541"/>
      <c r="U10" s="541"/>
      <c r="V10" s="541"/>
      <c r="W10" s="541"/>
      <c r="X10" s="541"/>
      <c r="Y10" s="539"/>
      <c r="Z10" s="539"/>
      <c r="AA10" s="539"/>
      <c r="AB10" s="539"/>
      <c r="AC10" s="539"/>
      <c r="AD10" s="539"/>
      <c r="AE10" s="539"/>
      <c r="AF10" s="539"/>
      <c r="AG10" s="539"/>
    </row>
    <row r="11" spans="1:33" s="538" customFormat="1" ht="17.25">
      <c r="A11" s="563" t="s">
        <v>597</v>
      </c>
      <c r="B11" s="564">
        <v>2980</v>
      </c>
      <c r="C11" s="564">
        <f t="shared" ref="C11:K15" si="0">$B11</f>
        <v>2980</v>
      </c>
      <c r="D11" s="564">
        <f t="shared" si="0"/>
        <v>2980</v>
      </c>
      <c r="E11" s="564">
        <f t="shared" si="0"/>
        <v>2980</v>
      </c>
      <c r="F11" s="564">
        <f>$B11</f>
        <v>2980</v>
      </c>
      <c r="G11" s="564">
        <f>$B11</f>
        <v>2980</v>
      </c>
      <c r="H11" s="564">
        <f t="shared" ref="H11:K11" si="1">$B11</f>
        <v>2980</v>
      </c>
      <c r="I11" s="564">
        <f t="shared" si="1"/>
        <v>2980</v>
      </c>
      <c r="J11" s="564">
        <f t="shared" si="1"/>
        <v>2980</v>
      </c>
      <c r="K11" s="564">
        <f t="shared" si="1"/>
        <v>2980</v>
      </c>
      <c r="L11" s="564"/>
      <c r="M11" s="541"/>
      <c r="N11" s="541"/>
      <c r="O11" s="541"/>
      <c r="S11" s="541"/>
      <c r="T11" s="541"/>
      <c r="U11" s="541"/>
      <c r="V11" s="541"/>
      <c r="W11" s="541"/>
      <c r="X11" s="541"/>
      <c r="Y11" s="539"/>
      <c r="Z11" s="539"/>
      <c r="AA11" s="539"/>
      <c r="AB11" s="539"/>
      <c r="AC11" s="539"/>
      <c r="AD11" s="539"/>
      <c r="AE11" s="539"/>
      <c r="AF11" s="539"/>
      <c r="AG11" s="539"/>
    </row>
    <row r="12" spans="1:33" s="538" customFormat="1" ht="17.25">
      <c r="A12" s="563" t="s">
        <v>598</v>
      </c>
      <c r="B12" s="564">
        <v>144</v>
      </c>
      <c r="C12" s="564">
        <f t="shared" si="0"/>
        <v>144</v>
      </c>
      <c r="D12" s="564">
        <f t="shared" si="0"/>
        <v>144</v>
      </c>
      <c r="E12" s="564">
        <f t="shared" si="0"/>
        <v>144</v>
      </c>
      <c r="F12" s="564">
        <f t="shared" si="0"/>
        <v>144</v>
      </c>
      <c r="G12" s="564">
        <f t="shared" si="0"/>
        <v>144</v>
      </c>
      <c r="H12" s="564">
        <f t="shared" si="0"/>
        <v>144</v>
      </c>
      <c r="I12" s="564">
        <f t="shared" si="0"/>
        <v>144</v>
      </c>
      <c r="J12" s="564">
        <f t="shared" si="0"/>
        <v>144</v>
      </c>
      <c r="K12" s="564">
        <f t="shared" si="0"/>
        <v>144</v>
      </c>
      <c r="L12" s="564"/>
      <c r="M12" s="541"/>
      <c r="N12" s="541"/>
      <c r="O12" s="541"/>
      <c r="S12" s="541"/>
      <c r="T12" s="541"/>
      <c r="U12" s="541"/>
      <c r="V12" s="541"/>
      <c r="W12" s="541"/>
      <c r="X12" s="541"/>
      <c r="Y12" s="539"/>
      <c r="Z12" s="539"/>
      <c r="AA12" s="539"/>
      <c r="AB12" s="539"/>
      <c r="AC12" s="539"/>
      <c r="AD12" s="539"/>
      <c r="AE12" s="539"/>
      <c r="AF12" s="539"/>
      <c r="AG12" s="539"/>
    </row>
    <row r="13" spans="1:33" s="538" customFormat="1" ht="17.25">
      <c r="A13" s="563" t="s">
        <v>599</v>
      </c>
      <c r="B13" s="564">
        <v>986</v>
      </c>
      <c r="C13" s="564">
        <f t="shared" si="0"/>
        <v>986</v>
      </c>
      <c r="D13" s="564">
        <f t="shared" si="0"/>
        <v>986</v>
      </c>
      <c r="E13" s="564">
        <f t="shared" si="0"/>
        <v>986</v>
      </c>
      <c r="F13" s="564">
        <f t="shared" si="0"/>
        <v>986</v>
      </c>
      <c r="G13" s="564">
        <f t="shared" si="0"/>
        <v>986</v>
      </c>
      <c r="H13" s="564">
        <f t="shared" si="0"/>
        <v>986</v>
      </c>
      <c r="I13" s="564">
        <f t="shared" si="0"/>
        <v>986</v>
      </c>
      <c r="J13" s="564">
        <f t="shared" si="0"/>
        <v>986</v>
      </c>
      <c r="K13" s="564">
        <f t="shared" si="0"/>
        <v>986</v>
      </c>
      <c r="L13" s="564"/>
      <c r="M13" s="541"/>
      <c r="N13" s="541"/>
      <c r="O13" s="541"/>
      <c r="S13" s="541"/>
      <c r="T13" s="541"/>
      <c r="U13" s="541"/>
      <c r="V13" s="541"/>
      <c r="W13" s="541"/>
      <c r="X13" s="541"/>
      <c r="Y13" s="539"/>
      <c r="Z13" s="539"/>
      <c r="AA13" s="539"/>
      <c r="AB13" s="539"/>
      <c r="AC13" s="539"/>
      <c r="AD13" s="539"/>
      <c r="AE13" s="539"/>
      <c r="AF13" s="539"/>
      <c r="AG13" s="539"/>
    </row>
    <row r="14" spans="1:33" s="538" customFormat="1" ht="17.25">
      <c r="A14" s="563" t="s">
        <v>600</v>
      </c>
      <c r="B14" s="564">
        <v>165</v>
      </c>
      <c r="C14" s="564">
        <f t="shared" si="0"/>
        <v>165</v>
      </c>
      <c r="D14" s="564">
        <f t="shared" si="0"/>
        <v>165</v>
      </c>
      <c r="E14" s="564">
        <f t="shared" si="0"/>
        <v>165</v>
      </c>
      <c r="F14" s="564">
        <f t="shared" si="0"/>
        <v>165</v>
      </c>
      <c r="G14" s="564">
        <f t="shared" si="0"/>
        <v>165</v>
      </c>
      <c r="H14" s="564">
        <f t="shared" si="0"/>
        <v>165</v>
      </c>
      <c r="I14" s="564">
        <f t="shared" si="0"/>
        <v>165</v>
      </c>
      <c r="J14" s="564">
        <f t="shared" si="0"/>
        <v>165</v>
      </c>
      <c r="K14" s="564">
        <f t="shared" si="0"/>
        <v>165</v>
      </c>
      <c r="L14" s="564"/>
      <c r="M14" s="541"/>
      <c r="N14" s="541"/>
      <c r="O14" s="541"/>
      <c r="S14" s="541"/>
      <c r="T14" s="541"/>
      <c r="U14" s="541"/>
      <c r="V14" s="541"/>
      <c r="W14" s="541"/>
      <c r="X14" s="541"/>
      <c r="Y14" s="539"/>
      <c r="Z14" s="539"/>
      <c r="AA14" s="539"/>
      <c r="AB14" s="539"/>
      <c r="AC14" s="539"/>
      <c r="AD14" s="539"/>
      <c r="AE14" s="539"/>
      <c r="AF14" s="539"/>
      <c r="AG14" s="539"/>
    </row>
    <row r="15" spans="1:33" s="538" customFormat="1" ht="17.25">
      <c r="A15" s="563" t="s">
        <v>601</v>
      </c>
      <c r="B15" s="564">
        <v>2570</v>
      </c>
      <c r="C15" s="564">
        <f t="shared" si="0"/>
        <v>2570</v>
      </c>
      <c r="D15" s="564">
        <f t="shared" si="0"/>
        <v>2570</v>
      </c>
      <c r="E15" s="564">
        <f t="shared" si="0"/>
        <v>2570</v>
      </c>
      <c r="F15" s="564">
        <f t="shared" si="0"/>
        <v>2570</v>
      </c>
      <c r="G15" s="564">
        <f t="shared" si="0"/>
        <v>2570</v>
      </c>
      <c r="H15" s="564">
        <f t="shared" si="0"/>
        <v>2570</v>
      </c>
      <c r="I15" s="564">
        <f t="shared" si="0"/>
        <v>2570</v>
      </c>
      <c r="J15" s="564">
        <f t="shared" si="0"/>
        <v>2570</v>
      </c>
      <c r="K15" s="564">
        <f t="shared" si="0"/>
        <v>2570</v>
      </c>
      <c r="L15" s="564"/>
      <c r="M15" s="541"/>
      <c r="N15" s="541"/>
      <c r="O15" s="541"/>
      <c r="S15" s="541"/>
      <c r="T15" s="541"/>
      <c r="U15" s="541"/>
      <c r="V15" s="541"/>
      <c r="W15" s="541"/>
      <c r="X15" s="541"/>
      <c r="Y15" s="539"/>
      <c r="Z15" s="539"/>
      <c r="AA15" s="539"/>
      <c r="AB15" s="539"/>
      <c r="AC15" s="539"/>
      <c r="AD15" s="539"/>
      <c r="AE15" s="539"/>
      <c r="AF15" s="539"/>
      <c r="AG15" s="539"/>
    </row>
    <row r="16" spans="1:33" s="538" customFormat="1">
      <c r="A16" s="565"/>
      <c r="B16" s="566"/>
      <c r="C16" s="566"/>
      <c r="D16" s="566"/>
      <c r="E16" s="566"/>
      <c r="F16" s="566"/>
      <c r="G16" s="566"/>
      <c r="H16" s="567"/>
      <c r="I16" s="567"/>
      <c r="J16" s="567"/>
      <c r="K16" s="567"/>
      <c r="L16" s="566"/>
      <c r="M16" s="541"/>
      <c r="N16" s="541"/>
      <c r="O16" s="541"/>
      <c r="S16" s="541"/>
      <c r="T16" s="541"/>
      <c r="U16" s="541"/>
      <c r="V16" s="541"/>
      <c r="W16" s="541"/>
      <c r="X16" s="541"/>
      <c r="Y16" s="539"/>
      <c r="Z16" s="539"/>
      <c r="AA16" s="539"/>
      <c r="AB16" s="539"/>
      <c r="AC16" s="539"/>
      <c r="AD16" s="539"/>
      <c r="AE16" s="539"/>
      <c r="AF16" s="539"/>
      <c r="AG16" s="539"/>
    </row>
    <row r="17" spans="1:33" s="538" customFormat="1">
      <c r="A17" s="541"/>
      <c r="B17" s="541"/>
      <c r="F17" s="541"/>
      <c r="L17" s="541"/>
      <c r="M17" s="541"/>
      <c r="N17" s="541"/>
      <c r="O17" s="541"/>
      <c r="S17" s="541"/>
      <c r="T17" s="541"/>
      <c r="U17" s="541"/>
      <c r="V17" s="541"/>
      <c r="W17" s="541"/>
      <c r="X17" s="541"/>
      <c r="Y17" s="539"/>
      <c r="Z17" s="539"/>
      <c r="AA17" s="539"/>
      <c r="AB17" s="539"/>
      <c r="AC17" s="539"/>
      <c r="AD17" s="539"/>
      <c r="AE17" s="539"/>
      <c r="AF17" s="539"/>
      <c r="AG17" s="539"/>
    </row>
    <row r="18" spans="1:33" s="538" customFormat="1">
      <c r="A18" s="568" t="s">
        <v>602</v>
      </c>
      <c r="B18" s="541"/>
      <c r="F18" s="541"/>
      <c r="L18" s="541"/>
      <c r="M18" s="541"/>
      <c r="N18" s="541"/>
      <c r="O18" s="541"/>
      <c r="S18" s="541"/>
      <c r="T18" s="541"/>
      <c r="U18" s="541"/>
      <c r="V18" s="541"/>
      <c r="W18" s="541"/>
      <c r="X18" s="541"/>
      <c r="Y18" s="539"/>
      <c r="Z18" s="539"/>
      <c r="AA18" s="539"/>
      <c r="AB18" s="539"/>
      <c r="AC18" s="539"/>
      <c r="AD18" s="539"/>
      <c r="AE18" s="539"/>
      <c r="AF18" s="539"/>
      <c r="AG18" s="539"/>
    </row>
    <row r="19" spans="1:33" s="538" customFormat="1" ht="17.25">
      <c r="A19" s="1850" t="s">
        <v>603</v>
      </c>
      <c r="B19" s="1850"/>
      <c r="C19" s="1850"/>
      <c r="D19" s="1850"/>
      <c r="E19" s="1850"/>
      <c r="F19" s="1850"/>
      <c r="G19" s="1850"/>
      <c r="L19" s="541"/>
      <c r="M19" s="549"/>
      <c r="N19" s="541"/>
      <c r="O19" s="541"/>
      <c r="S19" s="541"/>
      <c r="T19" s="541"/>
      <c r="U19" s="541"/>
      <c r="V19" s="541"/>
      <c r="W19" s="541"/>
      <c r="X19" s="541"/>
      <c r="Y19" s="539"/>
      <c r="Z19" s="539"/>
      <c r="AA19" s="539"/>
      <c r="AB19" s="539"/>
      <c r="AC19" s="539"/>
      <c r="AD19" s="539"/>
      <c r="AE19" s="539"/>
      <c r="AF19" s="539"/>
      <c r="AG19" s="539"/>
    </row>
    <row r="20" spans="1:33" s="538" customFormat="1" ht="17.25">
      <c r="A20" s="1851" t="s">
        <v>604</v>
      </c>
      <c r="B20" s="1851"/>
      <c r="C20" s="1851"/>
      <c r="D20" s="1851"/>
      <c r="E20" s="1851"/>
      <c r="F20" s="1851"/>
      <c r="G20" s="1851"/>
      <c r="H20" s="1851"/>
      <c r="I20" s="1851"/>
      <c r="J20" s="1851"/>
      <c r="K20" s="1851"/>
      <c r="L20" s="541"/>
      <c r="M20" s="549"/>
      <c r="N20" s="569"/>
      <c r="O20" s="541"/>
      <c r="S20" s="541"/>
      <c r="T20" s="541"/>
      <c r="U20" s="541"/>
      <c r="V20" s="541"/>
      <c r="W20" s="541"/>
      <c r="X20" s="541"/>
      <c r="Y20" s="539"/>
      <c r="Z20" s="539"/>
      <c r="AA20" s="539"/>
      <c r="AB20" s="539"/>
      <c r="AC20" s="539"/>
      <c r="AD20" s="539"/>
      <c r="AE20" s="539"/>
      <c r="AF20" s="539"/>
      <c r="AG20" s="539"/>
    </row>
    <row r="21" spans="1:33" s="538" customFormat="1" ht="30.75" customHeight="1">
      <c r="A21" s="1851"/>
      <c r="B21" s="1851"/>
      <c r="C21" s="1851"/>
      <c r="D21" s="1851"/>
      <c r="E21" s="1851"/>
      <c r="F21" s="1851"/>
      <c r="G21" s="1851"/>
      <c r="H21" s="1851"/>
      <c r="I21" s="1851"/>
      <c r="J21" s="1851"/>
      <c r="K21" s="1851"/>
      <c r="L21" s="541"/>
      <c r="M21" s="549"/>
      <c r="N21" s="541"/>
      <c r="O21" s="541"/>
      <c r="S21" s="541"/>
      <c r="T21" s="541"/>
      <c r="U21" s="541"/>
      <c r="V21" s="541"/>
      <c r="W21" s="541"/>
      <c r="X21" s="541"/>
      <c r="Y21" s="539"/>
      <c r="Z21" s="539"/>
      <c r="AA21" s="539"/>
      <c r="AB21" s="539"/>
      <c r="AC21" s="539"/>
      <c r="AD21" s="539"/>
      <c r="AE21" s="539"/>
      <c r="AF21" s="539"/>
      <c r="AG21" s="539"/>
    </row>
    <row r="22" spans="1:33" s="538" customFormat="1" ht="17.25">
      <c r="A22" s="1847" t="s">
        <v>605</v>
      </c>
      <c r="B22" s="1847"/>
      <c r="C22" s="1847"/>
      <c r="D22" s="1847"/>
      <c r="E22" s="1847"/>
      <c r="F22" s="1847"/>
      <c r="G22" s="1847"/>
      <c r="H22" s="1847"/>
      <c r="I22" s="1847"/>
      <c r="J22" s="1847"/>
      <c r="K22" s="1847"/>
      <c r="L22" s="541"/>
      <c r="M22" s="549"/>
      <c r="N22" s="570"/>
      <c r="O22" s="570"/>
      <c r="S22" s="541"/>
      <c r="T22" s="541"/>
      <c r="U22" s="541"/>
      <c r="V22" s="541"/>
      <c r="W22" s="541"/>
      <c r="X22" s="541"/>
      <c r="Y22" s="539"/>
      <c r="Z22" s="539"/>
      <c r="AA22" s="539"/>
      <c r="AB22" s="539"/>
      <c r="AC22" s="539"/>
      <c r="AD22" s="539"/>
      <c r="AE22" s="539"/>
      <c r="AF22" s="539"/>
      <c r="AG22" s="539"/>
    </row>
    <row r="23" spans="1:33" s="538" customFormat="1">
      <c r="A23" s="1847"/>
      <c r="B23" s="1847"/>
      <c r="C23" s="1847"/>
      <c r="D23" s="1847"/>
      <c r="E23" s="1847"/>
      <c r="F23" s="1847"/>
      <c r="G23" s="1847"/>
      <c r="H23" s="1847"/>
      <c r="I23" s="1847"/>
      <c r="J23" s="1847"/>
      <c r="K23" s="1847"/>
      <c r="L23" s="541"/>
      <c r="M23" s="570"/>
      <c r="N23" s="570"/>
      <c r="O23" s="570"/>
      <c r="S23" s="541"/>
      <c r="T23" s="541"/>
      <c r="U23" s="541"/>
      <c r="V23" s="541"/>
      <c r="W23" s="541"/>
      <c r="X23" s="541"/>
      <c r="Y23" s="539"/>
      <c r="Z23" s="539"/>
      <c r="AA23" s="539"/>
      <c r="AB23" s="539"/>
      <c r="AC23" s="539"/>
      <c r="AD23" s="539"/>
      <c r="AE23" s="539"/>
      <c r="AF23" s="539"/>
      <c r="AG23" s="539"/>
    </row>
    <row r="24" spans="1:33" s="538" customFormat="1">
      <c r="A24" s="570"/>
      <c r="B24" s="570"/>
      <c r="C24" s="571"/>
      <c r="D24" s="571"/>
      <c r="E24" s="571"/>
      <c r="F24" s="570"/>
      <c r="G24" s="571"/>
      <c r="H24" s="572"/>
      <c r="I24" s="571"/>
      <c r="J24" s="571"/>
      <c r="K24" s="571"/>
      <c r="L24" s="541"/>
      <c r="M24" s="570"/>
      <c r="N24" s="570"/>
      <c r="O24" s="570"/>
      <c r="S24" s="541"/>
      <c r="T24" s="541"/>
      <c r="U24" s="541"/>
      <c r="V24" s="541"/>
      <c r="W24" s="541"/>
      <c r="X24" s="541"/>
      <c r="Y24" s="539"/>
      <c r="Z24" s="539"/>
      <c r="AA24" s="539"/>
      <c r="AB24" s="539"/>
      <c r="AC24" s="539"/>
      <c r="AD24" s="539"/>
      <c r="AE24" s="539"/>
      <c r="AF24" s="539"/>
      <c r="AG24" s="539"/>
    </row>
    <row r="25" spans="1:33">
      <c r="C25" s="573"/>
    </row>
  </sheetData>
  <sheetProtection password="C8A2" sheet="1" objects="1" scenarios="1"/>
  <mergeCells count="6">
    <mergeCell ref="A22:K23"/>
    <mergeCell ref="A4:A5"/>
    <mergeCell ref="B4:B5"/>
    <mergeCell ref="L4:L5"/>
    <mergeCell ref="A19:G19"/>
    <mergeCell ref="A20:K21"/>
  </mergeCells>
  <pageMargins left="0.7" right="0.7" top="0.75" bottom="0.75" header="0.3" footer="0.3"/>
  <pageSetup paperSize="9" scale="50" fitToHeight="0" orientation="landscape" r:id="rId1"/>
  <headerFooter>
    <oddHeader>&amp;CTacoma LNG Facility DSEIS Life Cycle Analsis GHG Emission Calculations Scenario A</oddHead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Q11"/>
  <sheetViews>
    <sheetView zoomScaleNormal="100" zoomScaleSheetLayoutView="80" workbookViewId="0">
      <selection activeCell="B1" sqref="B1"/>
    </sheetView>
  </sheetViews>
  <sheetFormatPr defaultColWidth="9.140625" defaultRowHeight="15"/>
  <cols>
    <col min="1" max="16384" width="9.140625" style="676"/>
  </cols>
  <sheetData>
    <row r="1" spans="1:43">
      <c r="A1" s="1749" t="s">
        <v>1554</v>
      </c>
    </row>
    <row r="2" spans="1:43" s="803" customFormat="1">
      <c r="A2" s="802" t="s">
        <v>1049</v>
      </c>
      <c r="AN2" s="804"/>
      <c r="AO2" s="804"/>
      <c r="AP2" s="804"/>
      <c r="AQ2" s="804"/>
    </row>
    <row r="3" spans="1:43" s="803" customFormat="1">
      <c r="A3" s="805" t="s">
        <v>1048</v>
      </c>
      <c r="AN3" s="804"/>
      <c r="AO3" s="804"/>
      <c r="AP3" s="804"/>
      <c r="AQ3" s="804"/>
    </row>
    <row r="4" spans="1:43" s="803" customFormat="1">
      <c r="A4" s="806"/>
      <c r="B4" s="807" t="s">
        <v>78</v>
      </c>
      <c r="C4" s="808"/>
      <c r="D4" s="808"/>
      <c r="E4" s="808"/>
      <c r="F4" s="808"/>
      <c r="G4" s="808"/>
      <c r="H4" s="807" t="s">
        <v>88</v>
      </c>
      <c r="I4" s="808"/>
      <c r="J4" s="807" t="s">
        <v>1047</v>
      </c>
      <c r="K4" s="808"/>
      <c r="L4" s="808"/>
      <c r="M4" s="807" t="s">
        <v>233</v>
      </c>
      <c r="N4" s="808"/>
      <c r="O4" s="808"/>
      <c r="P4" s="808"/>
      <c r="Q4" s="808"/>
      <c r="R4" s="808"/>
      <c r="S4" s="808"/>
      <c r="T4" s="808"/>
      <c r="U4" s="807" t="s">
        <v>231</v>
      </c>
      <c r="V4" s="808"/>
      <c r="W4" s="808"/>
      <c r="X4" s="807" t="s">
        <v>1046</v>
      </c>
      <c r="Y4" s="808"/>
      <c r="Z4" s="808"/>
      <c r="AA4" s="808"/>
      <c r="AB4" s="807" t="s">
        <v>31</v>
      </c>
      <c r="AC4" s="809" t="s">
        <v>1045</v>
      </c>
      <c r="AD4" s="807" t="s">
        <v>1044</v>
      </c>
      <c r="AE4" s="808"/>
      <c r="AF4" s="810"/>
      <c r="AG4" s="803" t="s">
        <v>1043</v>
      </c>
    </row>
    <row r="5" spans="1:43" s="803" customFormat="1">
      <c r="B5" s="811" t="s">
        <v>240</v>
      </c>
      <c r="C5" s="805" t="s">
        <v>876</v>
      </c>
      <c r="D5" s="805" t="s">
        <v>1042</v>
      </c>
      <c r="E5" s="805" t="s">
        <v>1032</v>
      </c>
      <c r="F5" s="805" t="s">
        <v>1033</v>
      </c>
      <c r="G5" s="805" t="s">
        <v>1041</v>
      </c>
      <c r="H5" s="811" t="s">
        <v>240</v>
      </c>
      <c r="I5" s="805" t="s">
        <v>1040</v>
      </c>
      <c r="J5" s="811" t="s">
        <v>1038</v>
      </c>
      <c r="K5" s="805" t="s">
        <v>1040</v>
      </c>
      <c r="L5" s="805" t="s">
        <v>1039</v>
      </c>
      <c r="M5" s="811" t="s">
        <v>1038</v>
      </c>
      <c r="N5" s="805" t="s">
        <v>1032</v>
      </c>
      <c r="O5" s="805" t="s">
        <v>876</v>
      </c>
      <c r="P5" s="805" t="s">
        <v>1037</v>
      </c>
      <c r="Q5" s="805" t="s">
        <v>1033</v>
      </c>
      <c r="R5" s="805" t="s">
        <v>298</v>
      </c>
      <c r="S5" s="805" t="s">
        <v>1036</v>
      </c>
      <c r="T5" s="805" t="s">
        <v>1035</v>
      </c>
      <c r="U5" s="811" t="s">
        <v>876</v>
      </c>
      <c r="V5" s="805" t="s">
        <v>1034</v>
      </c>
      <c r="W5" s="805" t="s">
        <v>1033</v>
      </c>
      <c r="X5" s="811" t="s">
        <v>240</v>
      </c>
      <c r="Y5" s="805" t="s">
        <v>876</v>
      </c>
      <c r="Z5" s="805" t="s">
        <v>1032</v>
      </c>
      <c r="AA5" s="805" t="s">
        <v>1031</v>
      </c>
      <c r="AB5" s="811" t="s">
        <v>240</v>
      </c>
      <c r="AC5" s="812" t="s">
        <v>240</v>
      </c>
      <c r="AD5" s="811" t="s">
        <v>915</v>
      </c>
      <c r="AE5" s="805" t="s">
        <v>1030</v>
      </c>
      <c r="AF5" s="810"/>
    </row>
    <row r="6" spans="1:43" s="803" customFormat="1">
      <c r="A6" s="813" t="s">
        <v>266</v>
      </c>
      <c r="B6" s="814">
        <v>16.5</v>
      </c>
      <c r="C6" s="815">
        <v>20</v>
      </c>
      <c r="D6" s="815">
        <v>2.9</v>
      </c>
      <c r="E6" s="815">
        <v>2.9</v>
      </c>
      <c r="F6" s="815">
        <v>9.7503313393272926</v>
      </c>
      <c r="G6" s="815">
        <v>95</v>
      </c>
      <c r="H6" s="814">
        <v>4.3</v>
      </c>
      <c r="I6" s="815">
        <v>4.3</v>
      </c>
      <c r="J6" s="814">
        <v>13.8</v>
      </c>
      <c r="K6" s="815">
        <v>13.8</v>
      </c>
      <c r="L6" s="815">
        <v>12.1</v>
      </c>
      <c r="M6" s="814">
        <v>10</v>
      </c>
      <c r="N6" s="815">
        <v>10</v>
      </c>
      <c r="O6" s="815">
        <v>81.3</v>
      </c>
      <c r="P6" s="815">
        <v>56.3</v>
      </c>
      <c r="Q6" s="815">
        <v>77.127655913386434</v>
      </c>
      <c r="R6" s="815">
        <v>8.4</v>
      </c>
      <c r="S6" s="815">
        <v>16</v>
      </c>
      <c r="T6" s="815">
        <v>8.1</v>
      </c>
      <c r="U6" s="814">
        <v>10</v>
      </c>
      <c r="V6" s="815">
        <v>13.6</v>
      </c>
      <c r="W6" s="815">
        <v>9.7503313393272926</v>
      </c>
      <c r="X6" s="814">
        <v>6.34</v>
      </c>
      <c r="Y6" s="815">
        <v>15</v>
      </c>
      <c r="Z6" s="815">
        <v>6</v>
      </c>
      <c r="AA6" s="815">
        <v>15</v>
      </c>
      <c r="AB6" s="814">
        <v>2.9</v>
      </c>
      <c r="AC6" s="816">
        <v>6.2</v>
      </c>
      <c r="AD6" s="814">
        <v>31.3</v>
      </c>
      <c r="AE6" s="815">
        <v>35.799999999999997</v>
      </c>
      <c r="AF6" s="810"/>
    </row>
    <row r="7" spans="1:43" s="803" customFormat="1">
      <c r="A7" s="817" t="s">
        <v>267</v>
      </c>
      <c r="B7" s="818">
        <v>42.8</v>
      </c>
      <c r="C7" s="819">
        <v>42.8</v>
      </c>
      <c r="D7" s="819">
        <v>68</v>
      </c>
      <c r="E7" s="819">
        <v>68</v>
      </c>
      <c r="F7" s="819">
        <v>83.701687144034096</v>
      </c>
      <c r="G7" s="819">
        <v>5</v>
      </c>
      <c r="H7" s="818">
        <v>8.1</v>
      </c>
      <c r="I7" s="819">
        <v>8.1</v>
      </c>
      <c r="J7" s="818">
        <v>32.6</v>
      </c>
      <c r="K7" s="819">
        <v>32.6</v>
      </c>
      <c r="L7" s="819">
        <v>33.9</v>
      </c>
      <c r="M7" s="818">
        <v>25</v>
      </c>
      <c r="N7" s="819">
        <v>25</v>
      </c>
      <c r="O7" s="819">
        <v>18.100000000000001</v>
      </c>
      <c r="P7" s="819">
        <v>34.9</v>
      </c>
      <c r="Q7" s="819">
        <v>21.073859686555764</v>
      </c>
      <c r="R7" s="819">
        <v>88.6</v>
      </c>
      <c r="S7" s="819">
        <v>66</v>
      </c>
      <c r="T7" s="819">
        <v>88</v>
      </c>
      <c r="U7" s="818">
        <v>32</v>
      </c>
      <c r="V7" s="819">
        <v>86.4</v>
      </c>
      <c r="W7" s="819">
        <v>83.701687144034096</v>
      </c>
      <c r="X7" s="818">
        <v>4.4000000000000004</v>
      </c>
      <c r="Y7" s="819">
        <v>39</v>
      </c>
      <c r="Z7" s="819">
        <v>4</v>
      </c>
      <c r="AA7" s="819">
        <v>39</v>
      </c>
      <c r="AB7" s="818">
        <v>2.1</v>
      </c>
      <c r="AC7" s="820">
        <v>79.900000000000006</v>
      </c>
      <c r="AD7" s="818">
        <v>30.3</v>
      </c>
      <c r="AE7" s="819">
        <v>26</v>
      </c>
      <c r="AF7" s="810"/>
    </row>
    <row r="11" spans="1:43" ht="18.75">
      <c r="A11" s="717"/>
    </row>
  </sheetData>
  <sheetProtection password="C8A2" sheet="1" objects="1" scenarios="1"/>
  <pageMargins left="0.7" right="0.7" top="0.75" bottom="0.75" header="0.3" footer="0.3"/>
  <pageSetup paperSize="9" scale="50" fitToHeight="0" orientation="landscape" r:id="rId1"/>
  <headerFooter>
    <oddHeader>&amp;CTacoma LNG Facility DSEIS Life Cycle Analsis GHG Emission Calculations Scenario 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sheetPr>
  <dimension ref="B4:M67"/>
  <sheetViews>
    <sheetView showGridLines="0" zoomScale="82" zoomScaleNormal="82" workbookViewId="0"/>
  </sheetViews>
  <sheetFormatPr defaultColWidth="9.140625" defaultRowHeight="15"/>
  <cols>
    <col min="2" max="2" width="19.85546875" customWidth="1"/>
    <col min="3" max="3" width="17.85546875" customWidth="1"/>
    <col min="4" max="4" width="13.42578125" customWidth="1"/>
    <col min="5" max="5" width="11.5703125" customWidth="1"/>
    <col min="6" max="6" width="15" customWidth="1"/>
    <col min="7" max="7" width="11" customWidth="1"/>
  </cols>
  <sheetData>
    <row r="4" spans="2:8" ht="38.25" customHeight="1" thickBot="1">
      <c r="B4" s="1474" t="s">
        <v>1430</v>
      </c>
      <c r="C4" s="1475" t="s">
        <v>1428</v>
      </c>
      <c r="D4" s="1475" t="s">
        <v>1429</v>
      </c>
      <c r="E4" s="1045" t="s">
        <v>1070</v>
      </c>
      <c r="F4" s="192" t="s">
        <v>1071</v>
      </c>
      <c r="H4" s="191"/>
    </row>
    <row r="5" spans="2:8" ht="16.5" thickTop="1">
      <c r="B5" s="1476" t="s">
        <v>1074</v>
      </c>
      <c r="C5" s="1477">
        <f>Results!E5</f>
        <v>1580.7997202170586</v>
      </c>
      <c r="D5" s="1477"/>
      <c r="E5" s="1046"/>
      <c r="F5" s="219"/>
    </row>
    <row r="6" spans="2:8" ht="15.75">
      <c r="B6" s="1476" t="s">
        <v>1426</v>
      </c>
      <c r="C6" s="1477">
        <f>Results!E11</f>
        <v>103948.95591486589</v>
      </c>
      <c r="D6" s="1477">
        <f>Results!E36</f>
        <v>125245.26871105208</v>
      </c>
      <c r="E6" s="1418">
        <f>'Results FEIS scenario A'!K5+'Results FEIS scenario A'!K6+'Results FEIS scenario A'!K7+'Results FEIS scenario A'!K10</f>
        <v>69299.090233008988</v>
      </c>
      <c r="F6" s="1420">
        <f>'Results FEIS scenario A'!N5+'Results FEIS scenario A'!N6+'Results FEIS scenario A'!N7+'Results FEIS scenario A'!N22+'Results FEIS scenario A'!N27</f>
        <v>119237.89482183899</v>
      </c>
    </row>
    <row r="7" spans="2:8" ht="15.75">
      <c r="B7" s="1476" t="s">
        <v>1072</v>
      </c>
      <c r="C7" s="1477">
        <f>Results!E17</f>
        <v>52250.761722437543</v>
      </c>
      <c r="D7" s="1477">
        <v>0</v>
      </c>
      <c r="E7" s="1418">
        <f>'Results FEIS scenario A'!K9</f>
        <v>33538.556699216962</v>
      </c>
      <c r="F7" s="1420">
        <v>0</v>
      </c>
    </row>
    <row r="8" spans="2:8" ht="15.75">
      <c r="B8" s="1476" t="s">
        <v>1073</v>
      </c>
      <c r="C8" s="1477">
        <f>Results!E21</f>
        <v>529858.89173971047</v>
      </c>
      <c r="D8" s="1477">
        <f>Results!E44</f>
        <v>602291.17428655364</v>
      </c>
      <c r="E8" s="1418">
        <f>'Results FEIS scenario A'!K11+'Results FEIS scenario A'!K19+'Results FEIS scenario A'!K24</f>
        <v>488941.96755081962</v>
      </c>
      <c r="F8" s="1420">
        <f>'Results FEIS scenario A'!N23+'Results FEIS scenario A'!N28</f>
        <v>573926.32171790814</v>
      </c>
    </row>
    <row r="9" spans="2:8" ht="15.75">
      <c r="B9" s="1478" t="s">
        <v>211</v>
      </c>
      <c r="C9" s="1479">
        <f>SUM(C5:C8)</f>
        <v>687639.40909723099</v>
      </c>
      <c r="D9" s="1479">
        <f>SUM(D5:D8)</f>
        <v>727536.44299760577</v>
      </c>
      <c r="E9" s="1419">
        <f>SUM(E5:E8)</f>
        <v>591779.61448304553</v>
      </c>
      <c r="F9" s="1421">
        <f>SUM(F5:F8)</f>
        <v>693164.21653974708</v>
      </c>
    </row>
    <row r="10" spans="2:8" ht="15.75">
      <c r="B10" s="1480" t="s">
        <v>1427</v>
      </c>
      <c r="C10" s="1481">
        <f>C9-D9</f>
        <v>-39897.033900374779</v>
      </c>
      <c r="D10" s="1476"/>
      <c r="E10" s="183">
        <f>E9-F9</f>
        <v>-101384.60205670155</v>
      </c>
    </row>
    <row r="11" spans="2:8">
      <c r="C11">
        <f>C10/D9</f>
        <v>-5.4838536659401506E-2</v>
      </c>
      <c r="E11" s="1600">
        <f>E10/F9</f>
        <v>-0.14626346778662369</v>
      </c>
    </row>
    <row r="13" spans="2:8" ht="32.25" customHeight="1"/>
    <row r="16" spans="2:8" ht="30.75" thickBot="1">
      <c r="B16" s="1003" t="s">
        <v>1101</v>
      </c>
      <c r="C16" s="192" t="s">
        <v>1429</v>
      </c>
      <c r="D16" s="192" t="s">
        <v>1428</v>
      </c>
      <c r="E16" s="192" t="s">
        <v>1431</v>
      </c>
    </row>
    <row r="17" spans="2:13" ht="15.75" thickTop="1">
      <c r="B17" t="s">
        <v>1074</v>
      </c>
      <c r="C17" s="219"/>
      <c r="D17" s="219">
        <f>Results!E5</f>
        <v>1580.7997202170586</v>
      </c>
    </row>
    <row r="18" spans="2:13">
      <c r="B18" t="s">
        <v>242</v>
      </c>
      <c r="C18" s="219">
        <f>-Results!E36</f>
        <v>-125245.26871105208</v>
      </c>
      <c r="D18" s="219">
        <f>Results!E11</f>
        <v>103948.95591486589</v>
      </c>
    </row>
    <row r="19" spans="2:13">
      <c r="B19" t="s">
        <v>1072</v>
      </c>
      <c r="C19" s="219">
        <v>0</v>
      </c>
      <c r="D19" s="219">
        <f>Results!E17</f>
        <v>52250.761722437543</v>
      </c>
    </row>
    <row r="20" spans="2:13">
      <c r="B20" t="s">
        <v>1073</v>
      </c>
      <c r="C20" s="219">
        <f>-Results!E44</f>
        <v>-602291.17428655364</v>
      </c>
      <c r="D20" s="219">
        <f>Results!E21</f>
        <v>529858.89173971047</v>
      </c>
    </row>
    <row r="21" spans="2:13">
      <c r="B21" s="193" t="s">
        <v>211</v>
      </c>
      <c r="C21" s="957">
        <f>SUM(C17:C20)</f>
        <v>-727536.44299760577</v>
      </c>
      <c r="D21" s="957">
        <f>SUM(D17:D20)</f>
        <v>687639.40909723099</v>
      </c>
      <c r="E21" s="183">
        <f>D21+C21</f>
        <v>-39897.033900374779</v>
      </c>
    </row>
    <row r="24" spans="2:13">
      <c r="M24" s="188"/>
    </row>
    <row r="45" ht="32.25" customHeight="1"/>
    <row r="46" ht="15" customHeight="1"/>
    <row r="67" ht="17.25" customHeight="1"/>
  </sheetData>
  <sheetProtection password="C8A2" sheet="1" objects="1" scenarios="1"/>
  <pageMargins left="0.7" right="0.7" top="0.75" bottom="0.75" header="0.3" footer="0.3"/>
  <pageSetup paperSize="9" scale="50" orientation="landscape" r:id="rId1"/>
  <headerFooter>
    <oddHeader>&amp;CTacoma LNG Facility DSEIS Life Cycle Analsis GHG Emission Calculations Scenario A</oddHeader>
    <oddFooter>Page &amp;P of &amp;N</oddFooter>
  </headerFooter>
  <colBreaks count="1" manualBreakCount="1">
    <brk id="15" max="2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030A0"/>
  </sheetPr>
  <dimension ref="A1:K137"/>
  <sheetViews>
    <sheetView topLeftCell="A16" zoomScaleNormal="100" workbookViewId="0">
      <selection activeCell="A16" sqref="A16"/>
    </sheetView>
  </sheetViews>
  <sheetFormatPr defaultColWidth="9.140625" defaultRowHeight="15"/>
  <cols>
    <col min="3" max="3" width="30" customWidth="1"/>
    <col min="4" max="4" width="17.5703125" customWidth="1"/>
    <col min="5" max="8" width="16.140625" customWidth="1"/>
    <col min="11" max="11" width="16.7109375" bestFit="1" customWidth="1"/>
    <col min="12" max="12" width="30.140625" customWidth="1"/>
    <col min="13" max="13" width="12" customWidth="1"/>
    <col min="14" max="14" width="11.7109375" customWidth="1"/>
    <col min="15" max="15" width="13" customWidth="1"/>
    <col min="16" max="16" width="11.140625" customWidth="1"/>
    <col min="17" max="17" width="11.7109375" customWidth="1"/>
  </cols>
  <sheetData>
    <row r="1" spans="3:11" hidden="1">
      <c r="C1" s="255" t="s">
        <v>293</v>
      </c>
      <c r="D1" s="255" t="s">
        <v>202</v>
      </c>
      <c r="E1" s="256"/>
      <c r="F1" s="256"/>
      <c r="G1" s="256"/>
      <c r="H1" s="256"/>
      <c r="J1" s="253" t="s">
        <v>202</v>
      </c>
      <c r="K1" s="253"/>
    </row>
    <row r="2" spans="3:11" hidden="1">
      <c r="C2" s="257" t="s">
        <v>285</v>
      </c>
      <c r="D2" s="258" t="s">
        <v>291</v>
      </c>
      <c r="E2" s="252">
        <f>Factors!D63/1000000*$J2</f>
        <v>10043.150396525965</v>
      </c>
      <c r="F2" s="259">
        <f>Factors!E63/1000000*$J2</f>
        <v>0.54218745000000002</v>
      </c>
      <c r="G2" s="259">
        <f>Factors!F63/1000000*$J2</f>
        <v>7.707E-2</v>
      </c>
      <c r="H2" s="252">
        <f>E2+F2*CH4_GWP+G2*N2O_GWP</f>
        <v>10079.671942775965</v>
      </c>
      <c r="J2" s="253">
        <f>Fuel_Specs!$C$12</f>
        <v>128450</v>
      </c>
      <c r="K2" s="253"/>
    </row>
    <row r="3" spans="3:11" hidden="1">
      <c r="C3" s="257" t="s">
        <v>300</v>
      </c>
      <c r="D3" s="258" t="s">
        <v>291</v>
      </c>
      <c r="E3" s="252">
        <f>Factors!D64/1000000*$J3</f>
        <v>10042.985978809964</v>
      </c>
      <c r="F3" s="259">
        <f>Factors!E64/1000000*$J3</f>
        <v>0.61013514114339351</v>
      </c>
      <c r="G3" s="259">
        <f>Factors!F64/1000000*$J3</f>
        <v>2.2508053945364589E-2</v>
      </c>
      <c r="H3" s="252">
        <f>E3+F3*CH4_GWP+G3*N2O_GWP</f>
        <v>10064.946757414267</v>
      </c>
      <c r="J3" s="253">
        <f>Fuel_Specs!$C$12</f>
        <v>128450</v>
      </c>
      <c r="K3" s="253"/>
    </row>
    <row r="4" spans="3:11" hidden="1">
      <c r="C4" s="257" t="s">
        <v>289</v>
      </c>
      <c r="D4" s="258" t="s">
        <v>291</v>
      </c>
      <c r="E4" s="252">
        <f>Factors!D66/1000000*$J4</f>
        <v>8727.8564496467661</v>
      </c>
      <c r="F4" s="259">
        <f>Factors!E66/1000000*$J4</f>
        <v>0.34080452926191457</v>
      </c>
      <c r="G4" s="259">
        <f>Factors!F66/1000000*$J4</f>
        <v>6.8160905852382908E-2</v>
      </c>
      <c r="H4" s="252">
        <f>E4+F4*CH4_GWP+G4*N2O_GWP</f>
        <v>8756.6885128223257</v>
      </c>
      <c r="J4" s="253">
        <f>Fuel_Specs!$C$9</f>
        <v>113601.50975397152</v>
      </c>
      <c r="K4" s="253"/>
    </row>
    <row r="5" spans="3:11" hidden="1">
      <c r="C5" s="260" t="s">
        <v>290</v>
      </c>
      <c r="D5" s="258" t="s">
        <v>291</v>
      </c>
      <c r="E5" s="252">
        <f>Factors!D67/1000000*$J5</f>
        <v>12002.465762597601</v>
      </c>
      <c r="F5" s="259">
        <f>Factors!E67/1000000*$J5</f>
        <v>0.18342997877100939</v>
      </c>
      <c r="G5" s="259">
        <f>Factors!F67/1000000*$J5</f>
        <v>0.53790701165104893</v>
      </c>
      <c r="H5" s="252">
        <f>E5+F5*CH4_GWP+G5*N2O_GWP</f>
        <v>12167.34780153889</v>
      </c>
      <c r="J5" s="253">
        <f>Fuel_Specs!$C$18</f>
        <v>140352.52220119376</v>
      </c>
      <c r="K5" s="253"/>
    </row>
    <row r="6" spans="3:11" hidden="1">
      <c r="C6" s="261" t="s">
        <v>301</v>
      </c>
      <c r="D6" s="262" t="s">
        <v>292</v>
      </c>
      <c r="E6" s="263">
        <f>Factors!D69*$J$6</f>
        <v>52669.698892861779</v>
      </c>
      <c r="F6" s="264">
        <f>Factors!E69*$J$6</f>
        <v>354.26137864077668</v>
      </c>
      <c r="G6" s="264">
        <f>Factors!F69*$J$6</f>
        <v>0.1002233009708738</v>
      </c>
      <c r="H6" s="263">
        <f>Factors!G69*$J$6</f>
        <v>61556.099902570517</v>
      </c>
      <c r="J6" s="254">
        <f>930/1030</f>
        <v>0.90291262135922334</v>
      </c>
      <c r="K6" s="253"/>
    </row>
    <row r="7" spans="3:11" hidden="1">
      <c r="C7" s="261" t="s">
        <v>302</v>
      </c>
      <c r="D7" s="262" t="s">
        <v>292</v>
      </c>
      <c r="E7" s="263">
        <f>Factors!D70*$J$6</f>
        <v>53641.6203275761</v>
      </c>
      <c r="F7" s="264">
        <f>Factors!E70*$J$6</f>
        <v>1.031126213592233</v>
      </c>
      <c r="G7" s="264">
        <f>Factors!F70*$J$6</f>
        <v>0.10744660194174757</v>
      </c>
      <c r="H7" s="263">
        <f>Factors!G70*$J$6</f>
        <v>53699.41757029455</v>
      </c>
      <c r="J7" s="254">
        <f>930/1030</f>
        <v>0.90291262135922334</v>
      </c>
      <c r="K7" s="253"/>
    </row>
    <row r="8" spans="3:11" hidden="1">
      <c r="C8" s="261" t="s">
        <v>303</v>
      </c>
      <c r="D8" s="262" t="s">
        <v>292</v>
      </c>
      <c r="E8" s="263">
        <f>Factors!D72*$J$6</f>
        <v>53641.815897313332</v>
      </c>
      <c r="F8" s="264">
        <f>Factors!E72*$J$6</f>
        <v>0.95708737864077675</v>
      </c>
      <c r="G8" s="264">
        <f>Factors!F72*$J$6</f>
        <v>0.67718446601941751</v>
      </c>
      <c r="H8" s="263">
        <f>Factors!G72*$J$6</f>
        <v>53867.544052653138</v>
      </c>
      <c r="J8" s="254">
        <f>930/1030</f>
        <v>0.90291262135922334</v>
      </c>
      <c r="K8" s="253"/>
    </row>
    <row r="9" spans="3:11" hidden="1">
      <c r="C9" s="260" t="s">
        <v>304</v>
      </c>
      <c r="D9" s="262" t="s">
        <v>292</v>
      </c>
      <c r="E9" s="263">
        <f>Factors!D82*$J$6</f>
        <v>53641.815897313332</v>
      </c>
      <c r="F9" s="264">
        <f>Factors!E82*$J$6</f>
        <v>0.95708737864077675</v>
      </c>
      <c r="G9" s="264">
        <f>Factors!F82*$J$6</f>
        <v>0.67718446601941751</v>
      </c>
      <c r="H9" s="263">
        <f>Factors!G82*$J$6</f>
        <v>53867.544052653138</v>
      </c>
      <c r="J9" s="253">
        <v>0.9</v>
      </c>
      <c r="K9" s="253"/>
    </row>
    <row r="10" spans="3:11" hidden="1">
      <c r="C10" s="265" t="s">
        <v>243</v>
      </c>
      <c r="D10" s="266" t="s">
        <v>307</v>
      </c>
      <c r="E10" s="267">
        <f>Factors!D83/1000000*$J10</f>
        <v>2272619.2461007899</v>
      </c>
      <c r="F10" s="268">
        <f>Factors!E83/1000000*$J10</f>
        <v>24.034402660238001</v>
      </c>
      <c r="G10" s="268">
        <f>Factors!F83/1000000*$J10</f>
        <v>36.028887163646004</v>
      </c>
      <c r="H10" s="267">
        <f>E10+F10*CH4_GWP+G10*N2O_GWP</f>
        <v>2283956.7145420625</v>
      </c>
      <c r="J10" s="253">
        <f>Fuel_Specs!D57/tonneperton</f>
        <v>22716826.710999999</v>
      </c>
      <c r="K10" s="253" t="s">
        <v>306</v>
      </c>
    </row>
    <row r="11" spans="3:11" hidden="1">
      <c r="C11" s="255" t="s">
        <v>309</v>
      </c>
      <c r="D11" s="255" t="s">
        <v>202</v>
      </c>
      <c r="E11" s="256"/>
      <c r="F11" s="256"/>
      <c r="G11" s="256"/>
      <c r="H11" s="256"/>
    </row>
    <row r="12" spans="3:11" hidden="1">
      <c r="C12" s="257" t="s">
        <v>233</v>
      </c>
      <c r="D12" s="258" t="s">
        <v>291</v>
      </c>
      <c r="E12" s="252">
        <v>9500</v>
      </c>
      <c r="F12" s="259">
        <f>F2/1000000*$I12</f>
        <v>0</v>
      </c>
      <c r="G12" s="259">
        <f>G2/1000000*$I12</f>
        <v>0</v>
      </c>
      <c r="H12" s="252">
        <f>E12+F12*CH4_GWP+G12*N2O_GWP</f>
        <v>9500</v>
      </c>
    </row>
    <row r="13" spans="3:11" hidden="1">
      <c r="C13" s="257" t="s">
        <v>289</v>
      </c>
      <c r="D13" s="258" t="s">
        <v>291</v>
      </c>
      <c r="E13" s="252">
        <v>8000</v>
      </c>
      <c r="F13" s="259">
        <f>F4/1000000*$I13</f>
        <v>0</v>
      </c>
      <c r="G13" s="259">
        <f>G4/1000000*$I13</f>
        <v>0</v>
      </c>
      <c r="H13" s="252">
        <f>E13+F13*CH4_GWP+G13*N2O_GWP</f>
        <v>8000</v>
      </c>
    </row>
    <row r="14" spans="3:11" hidden="1">
      <c r="C14" s="260" t="s">
        <v>290</v>
      </c>
      <c r="D14" s="258" t="s">
        <v>291</v>
      </c>
      <c r="E14" s="252">
        <v>10500</v>
      </c>
      <c r="F14" s="259">
        <f>F5/1000000*$I14</f>
        <v>0</v>
      </c>
      <c r="G14" s="259">
        <f>G5/1000000*$I14</f>
        <v>0</v>
      </c>
      <c r="H14" s="252">
        <f>E14+F14*CH4_GWP+G14*N2O_GWP</f>
        <v>10500</v>
      </c>
    </row>
    <row r="15" spans="3:11" hidden="1">
      <c r="C15" s="269" t="s">
        <v>204</v>
      </c>
      <c r="D15" s="266" t="s">
        <v>292</v>
      </c>
      <c r="E15" s="267">
        <v>49000</v>
      </c>
      <c r="F15" s="268">
        <f>F6*$J$6</f>
        <v>319.86707003487606</v>
      </c>
      <c r="G15" s="268">
        <f>G6*$J$6</f>
        <v>9.0492883400886057E-2</v>
      </c>
      <c r="H15" s="267">
        <f>H6*$J$6</f>
        <v>55579.779523680176</v>
      </c>
    </row>
    <row r="16" spans="3:11">
      <c r="C16" s="261"/>
      <c r="D16" s="1748" t="s">
        <v>1552</v>
      </c>
      <c r="E16" s="263"/>
      <c r="F16" s="264"/>
      <c r="G16" s="264"/>
      <c r="H16" s="263"/>
    </row>
    <row r="17" spans="1:11">
      <c r="C17" s="261"/>
      <c r="D17" s="1748" t="s">
        <v>1551</v>
      </c>
      <c r="E17" s="243">
        <f>IF(scenario="A",Input!D10,Input!I10)</f>
        <v>250000</v>
      </c>
      <c r="F17" s="1457" t="s">
        <v>548</v>
      </c>
      <c r="G17" s="264"/>
      <c r="H17" s="263"/>
    </row>
    <row r="19" spans="1:11">
      <c r="A19" s="1254" t="str">
        <f>IF(scenario="A","Scenario A","Scenario B")</f>
        <v>Scenario A</v>
      </c>
      <c r="C19" s="1596"/>
      <c r="D19" s="784"/>
      <c r="E19" s="1756" t="s">
        <v>544</v>
      </c>
      <c r="F19" s="1756"/>
      <c r="G19" s="1256"/>
      <c r="H19" s="784"/>
    </row>
    <row r="20" spans="1:11" ht="15.75" thickBot="1">
      <c r="C20" s="278" t="s">
        <v>377</v>
      </c>
      <c r="D20" s="278" t="s">
        <v>284</v>
      </c>
      <c r="E20" s="279" t="s">
        <v>557</v>
      </c>
      <c r="F20" s="279" t="s">
        <v>558</v>
      </c>
      <c r="G20" s="1255" t="s">
        <v>1482</v>
      </c>
      <c r="H20" s="279" t="s">
        <v>23</v>
      </c>
    </row>
    <row r="21" spans="1:11" ht="15.75" thickTop="1">
      <c r="C21" s="240" t="s">
        <v>1386</v>
      </c>
      <c r="D21" s="235"/>
      <c r="E21" s="247"/>
      <c r="F21" s="243"/>
      <c r="G21" s="244"/>
      <c r="H21" s="243"/>
    </row>
    <row r="22" spans="1:11">
      <c r="C22" s="241" t="s">
        <v>347</v>
      </c>
      <c r="D22" s="241" t="s">
        <v>1255</v>
      </c>
      <c r="E22" s="242">
        <f>IF(scenario="A",Input!F11,Input!K11)</f>
        <v>9.7260273972602747</v>
      </c>
      <c r="F22" s="243">
        <f>E22*H22/1000</f>
        <v>750.41724119311561</v>
      </c>
      <c r="G22" s="281">
        <v>1</v>
      </c>
      <c r="H22" s="243">
        <f>Fuel_Specs!C25</f>
        <v>77155.575502954132</v>
      </c>
      <c r="J22">
        <v>9.7260273972602729</v>
      </c>
    </row>
    <row r="23" spans="1:11">
      <c r="C23" s="241" t="s">
        <v>1207</v>
      </c>
      <c r="D23" s="241" t="s">
        <v>1255</v>
      </c>
      <c r="E23" s="250">
        <f>F23/H23*1000</f>
        <v>5.8873099129972575</v>
      </c>
      <c r="F23" s="243">
        <f>F22*G22</f>
        <v>750.41724119311561</v>
      </c>
      <c r="G23" s="281"/>
      <c r="H23" s="243">
        <f>Fuel_Specs!C14</f>
        <v>127463.51938029277</v>
      </c>
      <c r="J23">
        <v>5.8873099129972566</v>
      </c>
    </row>
    <row r="24" spans="1:11">
      <c r="C24" s="240" t="s">
        <v>1385</v>
      </c>
      <c r="D24" s="235"/>
      <c r="E24" s="247"/>
      <c r="F24" s="243"/>
      <c r="G24" s="281"/>
      <c r="H24" s="243"/>
    </row>
    <row r="25" spans="1:11">
      <c r="C25" s="241" t="s">
        <v>347</v>
      </c>
      <c r="D25" s="241" t="s">
        <v>1410</v>
      </c>
      <c r="E25" s="242">
        <f>IF(scenario="A",Input!F12,Input!K12)</f>
        <v>0</v>
      </c>
      <c r="F25" s="243">
        <f>E25*H25/1000</f>
        <v>0</v>
      </c>
      <c r="G25" s="281">
        <v>1</v>
      </c>
      <c r="H25" s="243">
        <f>Fuel_Specs!C25</f>
        <v>77155.575502954132</v>
      </c>
      <c r="J25">
        <v>1.7749999999999999</v>
      </c>
    </row>
    <row r="26" spans="1:11">
      <c r="C26" s="241" t="s">
        <v>347</v>
      </c>
      <c r="D26" s="241" t="s">
        <v>1410</v>
      </c>
      <c r="E26" s="242">
        <f>E25</f>
        <v>0</v>
      </c>
      <c r="F26" s="243">
        <f>F25*G25</f>
        <v>0</v>
      </c>
      <c r="G26" s="281"/>
      <c r="H26" s="243">
        <f>H25</f>
        <v>77155.575502954132</v>
      </c>
      <c r="J26">
        <v>1.7749999999999999</v>
      </c>
    </row>
    <row r="27" spans="1:11">
      <c r="C27" s="240" t="s">
        <v>371</v>
      </c>
      <c r="D27" s="229"/>
      <c r="E27" s="247"/>
      <c r="F27" s="243"/>
      <c r="G27" s="281"/>
      <c r="H27" s="243"/>
    </row>
    <row r="28" spans="1:11">
      <c r="C28" s="241" t="s">
        <v>347</v>
      </c>
      <c r="D28" s="241" t="s">
        <v>354</v>
      </c>
      <c r="E28" s="242">
        <f>IF(scenario="A",Input!F13,Input!K13)</f>
        <v>0</v>
      </c>
      <c r="F28" s="243">
        <f>E28*H28/1000</f>
        <v>0</v>
      </c>
      <c r="G28" s="281">
        <v>0.9</v>
      </c>
      <c r="H28" s="243">
        <f>Fuel_Specs!C25</f>
        <v>77155.575502954132</v>
      </c>
      <c r="J28">
        <v>3.55</v>
      </c>
      <c r="K28" t="s">
        <v>1259</v>
      </c>
    </row>
    <row r="29" spans="1:11">
      <c r="C29" s="241" t="s">
        <v>353</v>
      </c>
      <c r="D29" s="241" t="s">
        <v>354</v>
      </c>
      <c r="E29" s="246">
        <f>F29/H29*1000</f>
        <v>0</v>
      </c>
      <c r="F29" s="243">
        <f>F28*G28</f>
        <v>0</v>
      </c>
      <c r="G29" s="281"/>
      <c r="H29" s="243">
        <f>Fuel_Specs!C14</f>
        <v>127463.51938029277</v>
      </c>
      <c r="J29">
        <v>1.9339813064195988</v>
      </c>
    </row>
    <row r="30" spans="1:11">
      <c r="C30" s="240" t="s">
        <v>368</v>
      </c>
      <c r="D30" s="235"/>
      <c r="E30" s="240"/>
      <c r="F30" s="235"/>
      <c r="G30" s="282"/>
      <c r="H30" s="235"/>
    </row>
    <row r="31" spans="1:11">
      <c r="A31" t="s">
        <v>1502</v>
      </c>
      <c r="C31" s="241" t="s">
        <v>347</v>
      </c>
      <c r="D31" s="241" t="s">
        <v>287</v>
      </c>
      <c r="E31" s="242">
        <f>IF(scenario="A",Input!F14,Input!K14)</f>
        <v>37.93150684931507</v>
      </c>
      <c r="F31" s="243">
        <f>E31*H31/1000</f>
        <v>2926.6272406531507</v>
      </c>
      <c r="G31" s="1601">
        <f>Input!G21</f>
        <v>1</v>
      </c>
      <c r="H31" s="243">
        <f>Fuel_Specs!C25</f>
        <v>77155.575502954132</v>
      </c>
      <c r="J31">
        <v>37.931506849315021</v>
      </c>
    </row>
    <row r="32" spans="1:11">
      <c r="C32" s="241" t="s">
        <v>1205</v>
      </c>
      <c r="D32" s="241" t="s">
        <v>287</v>
      </c>
      <c r="E32" s="246">
        <f>F32/H32*1000</f>
        <v>0.6255592407077365</v>
      </c>
      <c r="F32" s="243">
        <f>F31*'End use TOTE - LNG Vessel'!$E$8</f>
        <v>87.798817219594511</v>
      </c>
      <c r="G32" s="281">
        <v>1</v>
      </c>
      <c r="H32" s="243">
        <f>Fuel_Specs!$C$18</f>
        <v>140352.52220119376</v>
      </c>
      <c r="J32">
        <v>0.62555924070773594</v>
      </c>
    </row>
    <row r="33" spans="1:10">
      <c r="C33" s="245" t="s">
        <v>1206</v>
      </c>
      <c r="D33" s="241" t="s">
        <v>287</v>
      </c>
      <c r="E33" s="246">
        <f>F33/H33*1000</f>
        <v>21.477533930965627</v>
      </c>
      <c r="F33" s="243">
        <f>(F31)*G31+F32*G32</f>
        <v>3014.4260578727453</v>
      </c>
      <c r="G33" s="281"/>
      <c r="H33" s="243">
        <f>Fuel_Specs!C18</f>
        <v>140352.52220119376</v>
      </c>
      <c r="J33">
        <v>21.477533930965599</v>
      </c>
    </row>
    <row r="34" spans="1:10">
      <c r="C34" s="240" t="s">
        <v>372</v>
      </c>
      <c r="D34" s="248"/>
      <c r="E34" s="246"/>
      <c r="F34" s="243"/>
      <c r="G34" s="281"/>
      <c r="H34" s="243"/>
    </row>
    <row r="35" spans="1:10">
      <c r="A35" t="s">
        <v>1503</v>
      </c>
      <c r="C35" s="241" t="s">
        <v>347</v>
      </c>
      <c r="D35" s="241" t="s">
        <v>287</v>
      </c>
      <c r="E35" s="242">
        <f>IF(scenario="A",Input!F15,Input!K15)</f>
        <v>0</v>
      </c>
      <c r="F35" s="243">
        <f>E35*H35/1000</f>
        <v>0</v>
      </c>
      <c r="G35" s="787">
        <f>G31</f>
        <v>1</v>
      </c>
      <c r="H35" s="243">
        <f>Fuel_Specs!C25</f>
        <v>77155.575502954132</v>
      </c>
      <c r="I35" s="244"/>
      <c r="J35">
        <v>1.7749999999999999</v>
      </c>
    </row>
    <row r="36" spans="1:10">
      <c r="C36" s="241" t="s">
        <v>1122</v>
      </c>
      <c r="D36" s="241" t="s">
        <v>287</v>
      </c>
      <c r="E36" s="246">
        <f>F36/H36*1000</f>
        <v>0</v>
      </c>
      <c r="F36" s="243">
        <f>F35*'End use TOTE - LNG Vessel'!$E$8</f>
        <v>0</v>
      </c>
      <c r="G36" s="281"/>
      <c r="H36" s="243">
        <f>Fuel_Specs!$C$18</f>
        <v>140352.52220119376</v>
      </c>
      <c r="I36" s="244"/>
      <c r="J36">
        <v>2.927296446901588E-2</v>
      </c>
    </row>
    <row r="37" spans="1:10">
      <c r="C37" s="245" t="s">
        <v>1206</v>
      </c>
      <c r="D37" s="241" t="s">
        <v>287</v>
      </c>
      <c r="E37" s="246">
        <f>F37/H37*1000</f>
        <v>0</v>
      </c>
      <c r="F37" s="243">
        <f>(F35+F36)*G35</f>
        <v>0</v>
      </c>
      <c r="G37" s="281"/>
      <c r="H37" s="243">
        <f>Fuel_Specs!$C$18</f>
        <v>140352.52220119376</v>
      </c>
      <c r="I37" s="244"/>
      <c r="J37">
        <v>1.0050384467695452</v>
      </c>
    </row>
    <row r="38" spans="1:10">
      <c r="C38" s="240" t="s">
        <v>373</v>
      </c>
      <c r="D38" s="248"/>
      <c r="E38" s="246"/>
      <c r="F38" s="243"/>
      <c r="G38" s="281"/>
      <c r="H38" s="243"/>
      <c r="I38" s="244"/>
    </row>
    <row r="39" spans="1:10">
      <c r="C39" s="241" t="s">
        <v>347</v>
      </c>
      <c r="D39" s="241" t="s">
        <v>287</v>
      </c>
      <c r="E39" s="242">
        <f>IF(scenario="A",Input!F16,Input!K16)</f>
        <v>41.092465753424655</v>
      </c>
      <c r="F39" s="243">
        <f>E39*H39/1000*(1-'PSE LNG Operations'!E124)</f>
        <v>3162.2191308799661</v>
      </c>
      <c r="G39" s="787">
        <f>G31</f>
        <v>1</v>
      </c>
      <c r="H39" s="243">
        <f>Fuel_Specs!C25</f>
        <v>77155.575502954132</v>
      </c>
      <c r="I39" s="244"/>
      <c r="J39">
        <v>122.742315</v>
      </c>
    </row>
    <row r="40" spans="1:10">
      <c r="C40" s="241" t="s">
        <v>1122</v>
      </c>
      <c r="D40" s="241" t="s">
        <v>287</v>
      </c>
      <c r="E40" s="246">
        <f>F40/H40*1000</f>
        <v>0.67591641702319261</v>
      </c>
      <c r="F40" s="243">
        <f>F39*'End use TOTE - LNG Vessel'!$E$8</f>
        <v>94.866573926398985</v>
      </c>
      <c r="G40" s="787">
        <v>1</v>
      </c>
      <c r="H40" s="243">
        <f>Fuel_Specs!$C$18</f>
        <v>140352.52220119376</v>
      </c>
      <c r="I40" s="244"/>
      <c r="J40">
        <v>2.0242430568111294</v>
      </c>
    </row>
    <row r="41" spans="1:10">
      <c r="C41" s="245" t="s">
        <v>1206</v>
      </c>
      <c r="D41" s="241" t="s">
        <v>287</v>
      </c>
      <c r="E41" s="246">
        <f>F41/H41*1000</f>
        <v>23.206463651129614</v>
      </c>
      <c r="F41" s="243">
        <f>(F39)*G39+F40*G40</f>
        <v>3257.0857048063649</v>
      </c>
      <c r="G41" s="1435"/>
      <c r="H41" s="299">
        <f>Fuel_Specs!$C$18</f>
        <v>140352.52220119376</v>
      </c>
      <c r="I41" s="244"/>
      <c r="J41">
        <v>69.499011617182106</v>
      </c>
    </row>
    <row r="42" spans="1:10">
      <c r="C42" s="1597" t="s">
        <v>380</v>
      </c>
      <c r="D42" s="1598"/>
      <c r="E42" s="1599">
        <f>E22+E25+E28+E31+E35+E39</f>
        <v>88.75</v>
      </c>
      <c r="F42" s="957">
        <f>F22+F25+F28+F31+F35+F39</f>
        <v>6839.2636127262322</v>
      </c>
    </row>
    <row r="44" spans="1:10">
      <c r="C44" s="1473" t="s">
        <v>1425</v>
      </c>
      <c r="D44" s="184"/>
    </row>
    <row r="45" spans="1:10">
      <c r="C45" s="275" t="str">
        <f>A19</f>
        <v>Scenario A</v>
      </c>
      <c r="D45" s="341"/>
      <c r="E45" s="1755" t="s">
        <v>1214</v>
      </c>
      <c r="F45" s="1755"/>
      <c r="G45" s="1755"/>
      <c r="H45" s="1755"/>
    </row>
    <row r="46" spans="1:10" ht="18.75" thickBot="1">
      <c r="C46" s="228" t="s">
        <v>355</v>
      </c>
      <c r="D46" s="228" t="s">
        <v>284</v>
      </c>
      <c r="E46" s="238" t="s">
        <v>283</v>
      </c>
      <c r="F46" s="238" t="s">
        <v>278</v>
      </c>
      <c r="G46" s="238" t="s">
        <v>279</v>
      </c>
      <c r="H46" s="238" t="s">
        <v>276</v>
      </c>
    </row>
    <row r="47" spans="1:10" ht="15.75" thickTop="1">
      <c r="C47" s="240" t="s">
        <v>1386</v>
      </c>
      <c r="D47" s="235"/>
      <c r="E47" s="250"/>
      <c r="F47" s="250"/>
      <c r="G47" s="250"/>
      <c r="H47" s="250"/>
      <c r="J47" s="1458" t="s">
        <v>506</v>
      </c>
    </row>
    <row r="48" spans="1:10">
      <c r="C48" s="241" t="s">
        <v>347</v>
      </c>
      <c r="D48" s="241" t="s">
        <v>1392</v>
      </c>
      <c r="E48" s="243">
        <f>F22*Factors!$D$77/1000</f>
        <v>43755.482335022629</v>
      </c>
      <c r="F48" s="243">
        <f>F22*Factors!$E$77/1000</f>
        <v>0.7954422756647026</v>
      </c>
      <c r="G48" s="250">
        <f>F22*Factors!$F$77/1000</f>
        <v>0.26264603441759043</v>
      </c>
      <c r="H48" s="243">
        <f>E48+F48*CH4_GWP+G48*N2O_GWP</f>
        <v>43853.636910170695</v>
      </c>
      <c r="J48">
        <v>43853.636910170688</v>
      </c>
    </row>
    <row r="49" spans="2:10">
      <c r="C49" s="241" t="s">
        <v>353</v>
      </c>
      <c r="D49" s="241" t="s">
        <v>1392</v>
      </c>
      <c r="E49" s="243">
        <f>F23*Factors!$D$65/1000</f>
        <v>58681.502292011181</v>
      </c>
      <c r="F49" s="243">
        <f>F23*Factors!$E$65/1000</f>
        <v>0.14858261375623691</v>
      </c>
      <c r="G49" s="250">
        <f>F23*Factors!$F$65/1000</f>
        <v>0.68888302741528018</v>
      </c>
      <c r="H49" s="243">
        <f>E49+F49*CH4_GWP+G49*N2O_GWP</f>
        <v>58890.503999524844</v>
      </c>
      <c r="J49">
        <v>58890.503999524837</v>
      </c>
    </row>
    <row r="50" spans="2:10">
      <c r="C50" s="240" t="s">
        <v>1387</v>
      </c>
      <c r="D50" s="235"/>
      <c r="E50" s="243"/>
      <c r="F50" s="243"/>
      <c r="G50" s="250"/>
      <c r="H50" s="243"/>
    </row>
    <row r="51" spans="2:10">
      <c r="B51" t="s">
        <v>233</v>
      </c>
      <c r="C51" s="241" t="s">
        <v>1411</v>
      </c>
      <c r="D51" s="241" t="s">
        <v>354</v>
      </c>
      <c r="E51" s="243">
        <f>'End use Gig Harbor'!D16</f>
        <v>0</v>
      </c>
      <c r="F51" s="243">
        <f>'End use Gig Harbor'!E16</f>
        <v>0</v>
      </c>
      <c r="G51" s="250">
        <f>'End use Gig Harbor'!F16</f>
        <v>0</v>
      </c>
      <c r="H51" s="292">
        <f>E51+F51*CH4_GWP+G51*N2O_GWP</f>
        <v>0</v>
      </c>
      <c r="J51">
        <v>4.2001443684624133</v>
      </c>
    </row>
    <row r="52" spans="2:10">
      <c r="B52" t="s">
        <v>233</v>
      </c>
      <c r="C52" s="241" t="s">
        <v>347</v>
      </c>
      <c r="D52" s="241" t="s">
        <v>354</v>
      </c>
      <c r="E52" s="243">
        <f>'End use Gig Harbor'!D17</f>
        <v>0</v>
      </c>
      <c r="F52" s="243">
        <f>'End use Gig Harbor'!E17</f>
        <v>0</v>
      </c>
      <c r="G52" s="250">
        <f>'End use Gig Harbor'!F17</f>
        <v>0</v>
      </c>
      <c r="H52" s="243">
        <f>E52+F52*CH4_GWP+G52*N2O_GWP</f>
        <v>0</v>
      </c>
      <c r="J52">
        <v>43.173616540851548</v>
      </c>
    </row>
    <row r="53" spans="2:10">
      <c r="C53" s="241" t="s">
        <v>1412</v>
      </c>
      <c r="D53" s="241" t="s">
        <v>1410</v>
      </c>
      <c r="E53" s="243">
        <f>$F$25*Factors!D$71/1000</f>
        <v>0</v>
      </c>
      <c r="F53" s="243">
        <f>$F$25*Factors!E$71/1000</f>
        <v>0</v>
      </c>
      <c r="G53" s="243">
        <f>$F$25*Factors!F$71/1000</f>
        <v>0</v>
      </c>
      <c r="H53" s="243">
        <f>E53+F53*CH4_GWP+G53*N2O_GWP</f>
        <v>0</v>
      </c>
      <c r="J53">
        <v>8143.2103529918622</v>
      </c>
    </row>
    <row r="54" spans="2:10">
      <c r="C54" s="241" t="s">
        <v>1388</v>
      </c>
      <c r="D54" s="241" t="s">
        <v>1410</v>
      </c>
      <c r="E54" s="243">
        <f>$F$26*Factors!D$71/1000</f>
        <v>0</v>
      </c>
      <c r="F54" s="243">
        <f>$F$26*Factors!E$71/1000</f>
        <v>0</v>
      </c>
      <c r="G54" s="243">
        <f>$F$26*Factors!F$71/1000</f>
        <v>0</v>
      </c>
      <c r="H54" s="243">
        <f>E54+F54*CH4_GWP+G54*N2O_GWP</f>
        <v>0</v>
      </c>
      <c r="J54">
        <v>8143.2103529918622</v>
      </c>
    </row>
    <row r="55" spans="2:10">
      <c r="C55" s="240" t="s">
        <v>371</v>
      </c>
      <c r="D55" s="229"/>
      <c r="E55" s="251"/>
      <c r="F55" s="251"/>
      <c r="G55" s="1405"/>
      <c r="H55" s="243"/>
    </row>
    <row r="56" spans="2:10">
      <c r="C56" s="241" t="s">
        <v>347</v>
      </c>
      <c r="D56" s="241" t="s">
        <v>354</v>
      </c>
      <c r="E56" s="243">
        <f>'End use On-road trucking'!D22</f>
        <v>0</v>
      </c>
      <c r="F56" s="243">
        <f>'End use On-road trucking'!E22</f>
        <v>0</v>
      </c>
      <c r="G56" s="250">
        <f>'End use On-road trucking'!F22</f>
        <v>0</v>
      </c>
      <c r="H56" s="243">
        <f>E56+F56*CH4_GWP+G56*N2O_GWP</f>
        <v>0</v>
      </c>
      <c r="J56">
        <v>17862.044151279966</v>
      </c>
    </row>
    <row r="57" spans="2:10">
      <c r="C57" s="241" t="s">
        <v>353</v>
      </c>
      <c r="D57" s="241" t="s">
        <v>354</v>
      </c>
      <c r="E57" s="243">
        <f>'End use On-road trucking'!D23</f>
        <v>0</v>
      </c>
      <c r="F57" s="243">
        <f>'End use On-road trucking'!E23</f>
        <v>0</v>
      </c>
      <c r="G57" s="250">
        <f>'End use On-road trucking'!F23</f>
        <v>0</v>
      </c>
      <c r="H57" s="243">
        <f>E57+F57*CH4_GWP+G57*N2O_GWP</f>
        <v>0</v>
      </c>
      <c r="J57">
        <v>19315.926792699673</v>
      </c>
    </row>
    <row r="58" spans="2:10">
      <c r="C58" s="240" t="s">
        <v>368</v>
      </c>
      <c r="D58" s="235"/>
      <c r="E58" s="359"/>
      <c r="F58" s="359"/>
      <c r="G58" s="1406"/>
      <c r="H58" s="243"/>
    </row>
    <row r="59" spans="2:10">
      <c r="C59" s="241" t="s">
        <v>347</v>
      </c>
      <c r="D59" s="241" t="s">
        <v>287</v>
      </c>
      <c r="E59" s="243">
        <f>$F31*Factors!D$73/1000</f>
        <v>171718.03152283089</v>
      </c>
      <c r="F59" s="243">
        <f>$F31*Factors!E$73/1000</f>
        <v>2028.7599091745074</v>
      </c>
      <c r="G59" s="243">
        <f>$F31*Factors!F$73/1000</f>
        <v>11.93236531134035</v>
      </c>
      <c r="H59" s="243">
        <f>E59+F59*CH4_GWP+G59*N2O_GWP</f>
        <v>225992.874114973</v>
      </c>
      <c r="J59">
        <v>226164.58996947008</v>
      </c>
    </row>
    <row r="60" spans="2:10">
      <c r="C60" s="241" t="s">
        <v>1125</v>
      </c>
      <c r="D60" s="241" t="s">
        <v>287</v>
      </c>
      <c r="E60" s="243">
        <f>(F32)*Factors!$D$67/1000</f>
        <v>7508.2533690711607</v>
      </c>
      <c r="F60" s="243">
        <f>F32*Factors!$E$67/1000</f>
        <v>0.11474631824302887</v>
      </c>
      <c r="G60" s="250">
        <f>F32*Factors!$F$67/1000</f>
        <v>0.33649270177979779</v>
      </c>
      <c r="H60" s="243">
        <f>E60+F60*CH4_GWP+G60*N2O_GWP</f>
        <v>7611.3968521576162</v>
      </c>
      <c r="J60">
        <v>7611.3968521576062</v>
      </c>
    </row>
    <row r="61" spans="2:10">
      <c r="C61" s="245" t="s">
        <v>1195</v>
      </c>
      <c r="D61" s="241" t="s">
        <v>287</v>
      </c>
      <c r="E61" s="243">
        <f>F33*Factors!$D$67/1000</f>
        <v>257783.36567144323</v>
      </c>
      <c r="F61" s="243">
        <f>F33*Factors!$E$67/1000</f>
        <v>3.9396235930106585</v>
      </c>
      <c r="G61" s="250">
        <f>F33*Factors!$F$67/1000</f>
        <v>11.552916094439727</v>
      </c>
      <c r="H61" s="243">
        <f>E61+F61*CH4_GWP+G61*N2O_GWP</f>
        <v>261324.62525741154</v>
      </c>
      <c r="J61">
        <v>261324.62525741121</v>
      </c>
    </row>
    <row r="62" spans="2:10">
      <c r="C62" s="240" t="s">
        <v>372</v>
      </c>
      <c r="D62" s="229"/>
      <c r="E62" s="251"/>
      <c r="F62" s="251"/>
      <c r="G62" s="1405"/>
      <c r="H62" s="243"/>
    </row>
    <row r="63" spans="2:10">
      <c r="C63" s="241" t="s">
        <v>1124</v>
      </c>
      <c r="D63" s="241" t="s">
        <v>287</v>
      </c>
      <c r="E63" s="243">
        <f>F35*Factors!$D$73/1000</f>
        <v>0</v>
      </c>
      <c r="F63" s="243">
        <f>F35*Factors!$E$73/1000</f>
        <v>0</v>
      </c>
      <c r="G63" s="250">
        <f>F35*Factors!$F$73/1000</f>
        <v>0</v>
      </c>
      <c r="H63" s="243">
        <f>E63+F63*CH4_GWP+G63*N2O_GWP</f>
        <v>0</v>
      </c>
      <c r="J63">
        <v>10575.307570764762</v>
      </c>
    </row>
    <row r="64" spans="2:10">
      <c r="C64" s="241" t="s">
        <v>1125</v>
      </c>
      <c r="D64" s="241" t="s">
        <v>287</v>
      </c>
      <c r="E64" s="243">
        <f>(F36)*Factors!$D$67/1000</f>
        <v>0</v>
      </c>
      <c r="F64" s="243">
        <f>F36*Factors!$E$67/1000</f>
        <v>0</v>
      </c>
      <c r="G64" s="250">
        <f>F36*Factors!$F$67/1000</f>
        <v>0</v>
      </c>
      <c r="H64" s="243">
        <f>E64+F64*CH4_GWP+G64*N2O_GWP</f>
        <v>0</v>
      </c>
      <c r="J64">
        <v>356.17433987660633</v>
      </c>
    </row>
    <row r="65" spans="3:11">
      <c r="C65" s="241" t="s">
        <v>300</v>
      </c>
      <c r="D65" s="241" t="s">
        <v>354</v>
      </c>
      <c r="E65" s="243">
        <v>0</v>
      </c>
      <c r="F65" s="243">
        <v>0</v>
      </c>
      <c r="G65" s="250">
        <v>0</v>
      </c>
      <c r="H65" s="243">
        <v>0</v>
      </c>
      <c r="I65" s="1700" t="s">
        <v>1520</v>
      </c>
      <c r="J65">
        <v>0</v>
      </c>
    </row>
    <row r="66" spans="3:11">
      <c r="C66" s="241" t="s">
        <v>1195</v>
      </c>
      <c r="D66" s="241" t="s">
        <v>287</v>
      </c>
      <c r="E66" s="243">
        <f>F37*Factors!$D$67/1000</f>
        <v>0</v>
      </c>
      <c r="F66" s="243">
        <f>F37*Factors!$E$67/1000</f>
        <v>0</v>
      </c>
      <c r="G66" s="250">
        <f>F37*Factors!$F$67/1000</f>
        <v>0</v>
      </c>
      <c r="H66" s="243">
        <f>E66+F66*CH4_GWP+G66*N2O_GWP</f>
        <v>0</v>
      </c>
      <c r="J66">
        <v>12228.652335763485</v>
      </c>
    </row>
    <row r="67" spans="3:11">
      <c r="C67" s="240" t="s">
        <v>373</v>
      </c>
      <c r="D67" s="240"/>
      <c r="E67" s="512"/>
      <c r="F67" s="512"/>
      <c r="G67" s="1407"/>
      <c r="H67" s="512"/>
    </row>
    <row r="68" spans="3:11">
      <c r="C68" s="241" t="s">
        <v>347</v>
      </c>
      <c r="D68" s="241" t="s">
        <v>287</v>
      </c>
      <c r="E68" s="243">
        <f>($F39)*Factors!D$73/1000</f>
        <v>185541.23902617628</v>
      </c>
      <c r="F68" s="243">
        <f>($F39)*Factors!E$73/1000</f>
        <v>2192.0739708970159</v>
      </c>
      <c r="G68" s="243">
        <f>($F39)*Factors!F$73/1000</f>
        <v>12.892914184639354</v>
      </c>
      <c r="H68" s="243">
        <f>E68+F68*CH4_GWP+G68*N2O_GWP</f>
        <v>244185.17672562422</v>
      </c>
      <c r="J68">
        <f>H68/F39*1000</f>
        <v>77219.562155287334</v>
      </c>
      <c r="K68" t="s">
        <v>1487</v>
      </c>
    </row>
    <row r="69" spans="3:11">
      <c r="C69" s="241" t="s">
        <v>1125</v>
      </c>
      <c r="D69" s="241" t="s">
        <v>287</v>
      </c>
      <c r="E69" s="243">
        <f>(F40)*Factors!$D$67/1000</f>
        <v>8112.6636536985125</v>
      </c>
      <c r="F69" s="243">
        <f>F32*Factors!$E$67/1000</f>
        <v>0.11474631824302887</v>
      </c>
      <c r="G69" s="250">
        <f>F32*Factors!$F$67/1000</f>
        <v>0.33649270177979779</v>
      </c>
      <c r="H69" s="243">
        <f>E69+F69*CH4_GWP+G69*N2O_GWP</f>
        <v>8215.807136784968</v>
      </c>
      <c r="J69">
        <v>24399.05146763795</v>
      </c>
    </row>
    <row r="70" spans="3:11">
      <c r="C70" s="297" t="s">
        <v>1195</v>
      </c>
      <c r="D70" s="298" t="s">
        <v>287</v>
      </c>
      <c r="E70" s="299">
        <f>F41*Factors!$D$67/1000</f>
        <v>278534.78544364893</v>
      </c>
      <c r="F70" s="299">
        <f>F33*Factors!$E$67/1000</f>
        <v>3.9396235930106585</v>
      </c>
      <c r="G70" s="1408">
        <f>F33*Factors!$F$67/1000</f>
        <v>11.552916094439727</v>
      </c>
      <c r="H70" s="299">
        <f>E70+F70*CH4_GWP+G70*N2O_GWP</f>
        <v>282076.04502961721</v>
      </c>
      <c r="J70">
        <v>837700.76705556957</v>
      </c>
    </row>
    <row r="71" spans="3:11">
      <c r="C71" s="245" t="s">
        <v>1393</v>
      </c>
    </row>
    <row r="74" spans="3:11">
      <c r="C74" s="187" t="str">
        <f>A19</f>
        <v>Scenario A</v>
      </c>
    </row>
    <row r="75" spans="3:11" ht="15.75" thickBot="1">
      <c r="C75" s="228" t="str">
        <f>C20</f>
        <v>LNG Enduse</v>
      </c>
      <c r="D75" s="1193" t="str">
        <f>E20</f>
        <v>Mgal/yr</v>
      </c>
      <c r="E75" s="1193" t="str">
        <f>F20</f>
        <v>GBtu, LHV/yr</v>
      </c>
    </row>
    <row r="76" spans="3:11" ht="15.75" thickTop="1">
      <c r="C76" s="421" t="str">
        <f>C21</f>
        <v>Power Peak Shaving</v>
      </c>
      <c r="D76" s="242">
        <f>E22</f>
        <v>9.7260273972602747</v>
      </c>
      <c r="E76" s="243">
        <f>F22</f>
        <v>750.41724119311561</v>
      </c>
    </row>
    <row r="77" spans="3:11">
      <c r="C77" s="421" t="str">
        <f>C24</f>
        <v>Gig Harbor LNG</v>
      </c>
      <c r="D77" s="242">
        <f>E25</f>
        <v>0</v>
      </c>
      <c r="E77" s="243">
        <f>F25</f>
        <v>0</v>
      </c>
    </row>
    <row r="78" spans="3:11">
      <c r="C78" s="421" t="str">
        <f>C27</f>
        <v>On-road Trucking</v>
      </c>
      <c r="D78" s="242">
        <f>E28</f>
        <v>0</v>
      </c>
      <c r="E78" s="243">
        <f>F28</f>
        <v>0</v>
      </c>
    </row>
    <row r="79" spans="3:11">
      <c r="C79" s="421" t="str">
        <f>C30</f>
        <v xml:space="preserve">TOTE Marine </v>
      </c>
      <c r="D79" s="242">
        <f>E31</f>
        <v>37.93150684931507</v>
      </c>
      <c r="E79" s="243">
        <f>F31</f>
        <v>2926.6272406531507</v>
      </c>
    </row>
    <row r="80" spans="3:11">
      <c r="C80" s="421" t="str">
        <f>C34</f>
        <v>Truck-to-Ship Bunkering</v>
      </c>
      <c r="D80" s="242">
        <f>E35</f>
        <v>0</v>
      </c>
      <c r="E80" s="243">
        <f>F35</f>
        <v>0</v>
      </c>
    </row>
    <row r="81" spans="2:8">
      <c r="C81" s="421" t="str">
        <f>C38</f>
        <v>Other Marine (by Bunker Barge)</v>
      </c>
      <c r="D81" s="242">
        <f>E39</f>
        <v>41.092465753424655</v>
      </c>
      <c r="E81" s="243">
        <f>F39</f>
        <v>3162.2191308799661</v>
      </c>
    </row>
    <row r="82" spans="2:8" ht="15.75" thickBot="1">
      <c r="C82" s="305" t="str">
        <f>C42</f>
        <v>Total LNG</v>
      </c>
      <c r="D82" s="307">
        <f>E42</f>
        <v>88.75</v>
      </c>
      <c r="E82" s="306">
        <f>F42</f>
        <v>6839.2636127262322</v>
      </c>
    </row>
    <row r="83" spans="2:8" ht="15.75" thickTop="1"/>
    <row r="84" spans="2:8">
      <c r="C84" s="1383" t="s">
        <v>1521</v>
      </c>
    </row>
    <row r="86" spans="2:8">
      <c r="B86" s="275" t="str">
        <f>$A$19</f>
        <v>Scenario A</v>
      </c>
      <c r="C86" s="1254"/>
      <c r="D86" s="341"/>
      <c r="E86" s="1755" t="s">
        <v>1214</v>
      </c>
      <c r="F86" s="1755"/>
      <c r="G86" s="1755"/>
      <c r="H86" s="1755"/>
    </row>
    <row r="87" spans="2:8" ht="18.75" thickBot="1">
      <c r="C87" s="278" t="s">
        <v>1126</v>
      </c>
      <c r="D87" s="228" t="s">
        <v>284</v>
      </c>
      <c r="E87" s="1245" t="s">
        <v>283</v>
      </c>
      <c r="F87" s="1245" t="s">
        <v>278</v>
      </c>
      <c r="G87" s="1245" t="s">
        <v>279</v>
      </c>
      <c r="H87" s="1245" t="s">
        <v>276</v>
      </c>
    </row>
    <row r="88" spans="2:8" ht="15.75" thickTop="1">
      <c r="C88" s="240" t="s">
        <v>369</v>
      </c>
      <c r="D88" s="1247"/>
      <c r="E88" s="250"/>
      <c r="F88" s="250"/>
      <c r="G88" s="250"/>
      <c r="H88" s="250"/>
    </row>
    <row r="89" spans="2:8">
      <c r="C89" s="241" t="s">
        <v>347</v>
      </c>
      <c r="D89" s="1450" t="s">
        <v>874</v>
      </c>
      <c r="E89" s="518">
        <f>E48</f>
        <v>43755.482335022629</v>
      </c>
      <c r="F89" s="518">
        <f>F48</f>
        <v>0.7954422756647026</v>
      </c>
      <c r="G89" s="518">
        <f>G48</f>
        <v>0.26264603441759043</v>
      </c>
      <c r="H89" s="518">
        <f>H48</f>
        <v>43853.636910170695</v>
      </c>
    </row>
    <row r="90" spans="2:8">
      <c r="C90" s="240" t="s">
        <v>1278</v>
      </c>
      <c r="D90" s="1450"/>
      <c r="E90" s="518"/>
      <c r="F90" s="518"/>
      <c r="G90" s="518"/>
      <c r="H90" s="518"/>
    </row>
    <row r="91" spans="2:8">
      <c r="C91" s="241" t="str">
        <f>C51</f>
        <v>LNG Tacoma</v>
      </c>
      <c r="D91" s="241" t="str">
        <f t="shared" ref="D91:H91" si="0">D51</f>
        <v>Truck Engine</v>
      </c>
      <c r="E91" s="518">
        <f t="shared" si="0"/>
        <v>0</v>
      </c>
      <c r="F91" s="518">
        <f t="shared" si="0"/>
        <v>0</v>
      </c>
      <c r="G91" s="518">
        <f t="shared" si="0"/>
        <v>0</v>
      </c>
      <c r="H91" s="518">
        <f t="shared" si="0"/>
        <v>0</v>
      </c>
    </row>
    <row r="92" spans="2:8">
      <c r="C92" s="241" t="str">
        <f>C53</f>
        <v>LNG Tacoma End Use</v>
      </c>
      <c r="D92" s="241" t="str">
        <f t="shared" ref="D92:H92" si="1">D53</f>
        <v>NG Boiler</v>
      </c>
      <c r="E92" s="518">
        <f t="shared" si="1"/>
        <v>0</v>
      </c>
      <c r="F92" s="518">
        <f t="shared" si="1"/>
        <v>0</v>
      </c>
      <c r="G92" s="518">
        <f t="shared" si="1"/>
        <v>0</v>
      </c>
      <c r="H92" s="518">
        <f t="shared" si="1"/>
        <v>0</v>
      </c>
    </row>
    <row r="93" spans="2:8">
      <c r="C93" s="240" t="s">
        <v>371</v>
      </c>
      <c r="D93" s="1450"/>
      <c r="E93" s="518"/>
      <c r="F93" s="518"/>
      <c r="G93" s="518"/>
      <c r="H93" s="518"/>
    </row>
    <row r="94" spans="2:8">
      <c r="C94" s="241" t="s">
        <v>347</v>
      </c>
      <c r="D94" s="1450" t="s">
        <v>354</v>
      </c>
      <c r="E94" s="518">
        <f>E56</f>
        <v>0</v>
      </c>
      <c r="F94" s="518">
        <f>F56</f>
        <v>0</v>
      </c>
      <c r="G94" s="518">
        <f>G56</f>
        <v>0</v>
      </c>
      <c r="H94" s="518">
        <f>H56</f>
        <v>0</v>
      </c>
    </row>
    <row r="95" spans="2:8">
      <c r="C95" s="240" t="s">
        <v>368</v>
      </c>
      <c r="D95" s="1450"/>
      <c r="E95" s="518"/>
      <c r="F95" s="518"/>
      <c r="G95" s="518"/>
      <c r="H95" s="518"/>
    </row>
    <row r="96" spans="2:8">
      <c r="C96" s="241" t="s">
        <v>347</v>
      </c>
      <c r="D96" s="1450" t="s">
        <v>287</v>
      </c>
      <c r="E96" s="518">
        <f t="shared" ref="E96:H97" si="2">E59</f>
        <v>171718.03152283089</v>
      </c>
      <c r="F96" s="518">
        <f t="shared" si="2"/>
        <v>2028.7599091745074</v>
      </c>
      <c r="G96" s="518">
        <f t="shared" si="2"/>
        <v>11.93236531134035</v>
      </c>
      <c r="H96" s="518">
        <f t="shared" si="2"/>
        <v>225992.874114973</v>
      </c>
    </row>
    <row r="97" spans="1:9">
      <c r="C97" s="241" t="s">
        <v>1125</v>
      </c>
      <c r="D97" s="1450" t="s">
        <v>287</v>
      </c>
      <c r="E97" s="518">
        <f t="shared" si="2"/>
        <v>7508.2533690711607</v>
      </c>
      <c r="F97" s="518">
        <f t="shared" si="2"/>
        <v>0.11474631824302887</v>
      </c>
      <c r="G97" s="518">
        <f t="shared" si="2"/>
        <v>0.33649270177979779</v>
      </c>
      <c r="H97" s="518">
        <f t="shared" si="2"/>
        <v>7611.3968521576162</v>
      </c>
    </row>
    <row r="98" spans="1:9">
      <c r="C98" s="240" t="s">
        <v>372</v>
      </c>
      <c r="D98" s="1450"/>
      <c r="E98" s="518"/>
      <c r="F98" s="518"/>
      <c r="G98" s="518"/>
      <c r="H98" s="518"/>
    </row>
    <row r="99" spans="1:9">
      <c r="C99" s="241" t="s">
        <v>1124</v>
      </c>
      <c r="D99" s="1450" t="s">
        <v>287</v>
      </c>
      <c r="E99" s="518">
        <f t="shared" ref="E99:H100" si="3">E63</f>
        <v>0</v>
      </c>
      <c r="F99" s="518">
        <f t="shared" si="3"/>
        <v>0</v>
      </c>
      <c r="G99" s="518">
        <f t="shared" si="3"/>
        <v>0</v>
      </c>
      <c r="H99" s="518">
        <f t="shared" si="3"/>
        <v>0</v>
      </c>
    </row>
    <row r="100" spans="1:9">
      <c r="C100" s="241" t="s">
        <v>1125</v>
      </c>
      <c r="D100" s="1450" t="s">
        <v>287</v>
      </c>
      <c r="E100" s="518">
        <f t="shared" si="3"/>
        <v>0</v>
      </c>
      <c r="F100" s="518">
        <f t="shared" si="3"/>
        <v>0</v>
      </c>
      <c r="G100" s="518">
        <f t="shared" si="3"/>
        <v>0</v>
      </c>
      <c r="H100" s="518">
        <f t="shared" si="3"/>
        <v>0</v>
      </c>
    </row>
    <row r="101" spans="1:9">
      <c r="C101" s="241" t="s">
        <v>1368</v>
      </c>
      <c r="D101" s="1450" t="s">
        <v>354</v>
      </c>
      <c r="E101" s="1449">
        <v>0</v>
      </c>
      <c r="F101" s="1449">
        <v>0</v>
      </c>
      <c r="G101" s="1449">
        <v>0</v>
      </c>
      <c r="H101" s="1449">
        <v>0</v>
      </c>
      <c r="I101" s="1417" t="s">
        <v>1352</v>
      </c>
    </row>
    <row r="102" spans="1:9">
      <c r="C102" s="240" t="s">
        <v>373</v>
      </c>
      <c r="D102" s="1450"/>
      <c r="E102" s="518"/>
      <c r="F102" s="518"/>
      <c r="G102" s="518"/>
      <c r="H102" s="518"/>
    </row>
    <row r="103" spans="1:9">
      <c r="C103" s="241" t="s">
        <v>347</v>
      </c>
      <c r="D103" s="1450" t="s">
        <v>287</v>
      </c>
      <c r="E103" s="518">
        <f t="shared" ref="E103:H104" si="4">E68</f>
        <v>185541.23902617628</v>
      </c>
      <c r="F103" s="518">
        <f t="shared" si="4"/>
        <v>2192.0739708970159</v>
      </c>
      <c r="G103" s="518">
        <f t="shared" si="4"/>
        <v>12.892914184639354</v>
      </c>
      <c r="H103" s="518">
        <f t="shared" si="4"/>
        <v>244185.17672562422</v>
      </c>
    </row>
    <row r="104" spans="1:9">
      <c r="C104" s="241" t="s">
        <v>1125</v>
      </c>
      <c r="D104" s="1450" t="s">
        <v>287</v>
      </c>
      <c r="E104" s="1243">
        <f t="shared" si="4"/>
        <v>8112.6636536985125</v>
      </c>
      <c r="F104" s="1243">
        <f t="shared" si="4"/>
        <v>0.11474631824302887</v>
      </c>
      <c r="G104" s="1243">
        <f t="shared" si="4"/>
        <v>0.33649270177979779</v>
      </c>
      <c r="H104" s="1243">
        <f t="shared" si="4"/>
        <v>8215.807136784968</v>
      </c>
    </row>
    <row r="105" spans="1:9" ht="15.75" thickBot="1">
      <c r="C105" s="351" t="s">
        <v>1187</v>
      </c>
      <c r="D105" s="351"/>
      <c r="E105" s="1244">
        <f>SUM(E89:E104)</f>
        <v>416635.66990679945</v>
      </c>
      <c r="F105" s="1244">
        <f>SUM(F89:F104)</f>
        <v>4221.8588149836742</v>
      </c>
      <c r="G105" s="1244">
        <f>SUM(G89:G104)</f>
        <v>25.76091093395689</v>
      </c>
      <c r="H105" s="1244">
        <f>SUM(H89:H104)</f>
        <v>529858.89173971047</v>
      </c>
    </row>
    <row r="107" spans="1:9">
      <c r="C107" s="1383" t="s">
        <v>1394</v>
      </c>
    </row>
    <row r="108" spans="1:9">
      <c r="A108" s="275" t="str">
        <f>A19</f>
        <v>Scenario A</v>
      </c>
      <c r="C108" s="1596"/>
      <c r="D108" s="341"/>
      <c r="E108" s="1755" t="s">
        <v>1214</v>
      </c>
      <c r="F108" s="1755"/>
      <c r="G108" s="1755"/>
      <c r="H108" s="1755"/>
    </row>
    <row r="109" spans="1:9" ht="18.75" thickBot="1">
      <c r="C109" s="278" t="s">
        <v>1197</v>
      </c>
      <c r="D109" s="228" t="s">
        <v>284</v>
      </c>
      <c r="E109" s="1471" t="s">
        <v>283</v>
      </c>
      <c r="F109" s="1471" t="s">
        <v>278</v>
      </c>
      <c r="G109" s="1471" t="s">
        <v>279</v>
      </c>
      <c r="H109" s="1471" t="s">
        <v>276</v>
      </c>
    </row>
    <row r="110" spans="1:9" ht="15.75" thickTop="1">
      <c r="C110" s="240" t="s">
        <v>369</v>
      </c>
      <c r="D110" s="1472"/>
      <c r="E110" s="1405"/>
      <c r="F110" s="1405"/>
      <c r="G110" s="1405"/>
      <c r="H110" s="1405"/>
    </row>
    <row r="111" spans="1:9">
      <c r="C111" s="249" t="s">
        <v>1199</v>
      </c>
      <c r="D111" s="1472"/>
      <c r="E111" s="518">
        <f>$F$23*Upstream!C95/1000</f>
        <v>15696.95371122723</v>
      </c>
      <c r="F111" s="1242">
        <f>$F$23*Upstream!D95/1000</f>
        <v>15.843881016489865</v>
      </c>
      <c r="G111" s="1242">
        <f>$F$23*Upstream!E95/1000</f>
        <v>0.10808779167761859</v>
      </c>
      <c r="H111" s="518">
        <f>E111+F111*CH4_GWP+G111*N2O_GWP</f>
        <v>16125.260898559407</v>
      </c>
    </row>
    <row r="112" spans="1:9">
      <c r="C112" s="249" t="s">
        <v>1200</v>
      </c>
      <c r="D112" s="1472"/>
      <c r="E112" s="518">
        <f>$F$23*Upstream!D65/1000</f>
        <v>1.5323520065163421</v>
      </c>
      <c r="F112" s="1242">
        <f>$F$23*Upstream!E65/1000</f>
        <v>2.9266272406531508E-3</v>
      </c>
      <c r="G112" s="1242">
        <f>$F$23*Upstream!F65/1000</f>
        <v>3.0016689647724628E-5</v>
      </c>
      <c r="H112" s="518">
        <f>E112+F112*CH4_GWP+G112*N2O_GWP</f>
        <v>1.6144626610476929</v>
      </c>
    </row>
    <row r="113" spans="3:8">
      <c r="C113" s="249" t="s">
        <v>1198</v>
      </c>
      <c r="D113" s="1472" t="s">
        <v>874</v>
      </c>
      <c r="E113" s="518">
        <f>E49</f>
        <v>58681.502292011181</v>
      </c>
      <c r="F113" s="1242">
        <f>F49</f>
        <v>0.14858261375623691</v>
      </c>
      <c r="G113" s="1242">
        <f>G49</f>
        <v>0.68888302741528018</v>
      </c>
      <c r="H113" s="518">
        <f>H49</f>
        <v>58890.503999524844</v>
      </c>
    </row>
    <row r="114" spans="3:8">
      <c r="C114" s="240" t="s">
        <v>1278</v>
      </c>
      <c r="D114" s="248"/>
      <c r="E114" s="518"/>
      <c r="F114" s="1242"/>
      <c r="G114" s="1242"/>
      <c r="H114" s="518"/>
    </row>
    <row r="115" spans="3:8">
      <c r="C115" s="249" t="str">
        <f>C52</f>
        <v>LNG</v>
      </c>
      <c r="D115" s="249" t="str">
        <f t="shared" ref="D115:H115" si="5">D52</f>
        <v>Truck Engine</v>
      </c>
      <c r="E115" s="518">
        <f t="shared" si="5"/>
        <v>0</v>
      </c>
      <c r="F115" s="1242">
        <f t="shared" si="5"/>
        <v>0</v>
      </c>
      <c r="G115" s="1242">
        <f t="shared" si="5"/>
        <v>0</v>
      </c>
      <c r="H115" s="518">
        <f t="shared" si="5"/>
        <v>0</v>
      </c>
    </row>
    <row r="116" spans="3:8">
      <c r="C116" s="249" t="str">
        <f>C54</f>
        <v>LNG End Use</v>
      </c>
      <c r="D116" s="249" t="str">
        <f t="shared" ref="D116:H116" si="6">D54</f>
        <v>NG Boiler</v>
      </c>
      <c r="E116" s="518">
        <f t="shared" si="6"/>
        <v>0</v>
      </c>
      <c r="F116" s="1242">
        <f t="shared" si="6"/>
        <v>0</v>
      </c>
      <c r="G116" s="1242">
        <f t="shared" si="6"/>
        <v>0</v>
      </c>
      <c r="H116" s="518">
        <f t="shared" si="6"/>
        <v>0</v>
      </c>
    </row>
    <row r="117" spans="3:8">
      <c r="C117" s="240" t="s">
        <v>371</v>
      </c>
      <c r="D117" s="248"/>
      <c r="E117" s="518"/>
      <c r="F117" s="1242"/>
      <c r="G117" s="1242"/>
      <c r="H117" s="518"/>
    </row>
    <row r="118" spans="3:8">
      <c r="C118" s="249" t="s">
        <v>233</v>
      </c>
      <c r="D118" s="248" t="s">
        <v>354</v>
      </c>
      <c r="E118" s="518">
        <f>E57</f>
        <v>0</v>
      </c>
      <c r="F118" s="1242">
        <f>F57</f>
        <v>0</v>
      </c>
      <c r="G118" s="1242">
        <f>G57</f>
        <v>0</v>
      </c>
      <c r="H118" s="518">
        <f>H57</f>
        <v>0</v>
      </c>
    </row>
    <row r="119" spans="3:8">
      <c r="C119" s="240" t="s">
        <v>368</v>
      </c>
      <c r="D119" s="1472"/>
      <c r="E119" s="518"/>
      <c r="F119" s="1242"/>
      <c r="G119" s="1242"/>
      <c r="H119" s="518"/>
    </row>
    <row r="120" spans="3:8">
      <c r="C120" s="249" t="s">
        <v>1201</v>
      </c>
      <c r="D120" s="1472"/>
      <c r="E120" s="518">
        <f>Upstream!E140</f>
        <v>51531.157155502857</v>
      </c>
      <c r="F120" s="1242">
        <f>Upstream!F140</f>
        <v>33.708454042284274</v>
      </c>
      <c r="G120" s="1242">
        <f>Upstream!G140</f>
        <v>0.24843474616670524</v>
      </c>
      <c r="H120" s="518">
        <f>Upstream!H140</f>
        <v>52447.902060917644</v>
      </c>
    </row>
    <row r="121" spans="3:8">
      <c r="C121" s="249" t="s">
        <v>1196</v>
      </c>
      <c r="D121" s="1472" t="s">
        <v>287</v>
      </c>
      <c r="E121" s="518">
        <f>E61</f>
        <v>257783.36567144323</v>
      </c>
      <c r="F121" s="1242">
        <f>F61</f>
        <v>3.9396235930106585</v>
      </c>
      <c r="G121" s="1242">
        <f>G61</f>
        <v>11.552916094439727</v>
      </c>
      <c r="H121" s="518">
        <f>H61</f>
        <v>261324.62525741154</v>
      </c>
    </row>
    <row r="122" spans="3:8">
      <c r="C122" s="240" t="s">
        <v>372</v>
      </c>
      <c r="D122" s="1472"/>
      <c r="E122" s="518"/>
      <c r="F122" s="1242"/>
      <c r="G122" s="1242"/>
      <c r="H122" s="518"/>
    </row>
    <row r="123" spans="3:8">
      <c r="C123" s="249" t="s">
        <v>1195</v>
      </c>
      <c r="D123" s="248" t="s">
        <v>287</v>
      </c>
      <c r="E123" s="518">
        <f>E66</f>
        <v>0</v>
      </c>
      <c r="F123" s="1242">
        <f t="shared" ref="F123:H123" si="7">F66</f>
        <v>0</v>
      </c>
      <c r="G123" s="1242">
        <f t="shared" si="7"/>
        <v>0</v>
      </c>
      <c r="H123" s="518">
        <f t="shared" si="7"/>
        <v>0</v>
      </c>
    </row>
    <row r="124" spans="3:8">
      <c r="C124" s="240" t="s">
        <v>373</v>
      </c>
      <c r="D124" s="1472"/>
      <c r="E124" s="518"/>
      <c r="F124" s="1242"/>
      <c r="G124" s="1242"/>
      <c r="H124" s="518"/>
    </row>
    <row r="125" spans="3:8">
      <c r="C125" s="249" t="s">
        <v>1201</v>
      </c>
      <c r="D125" s="1472"/>
      <c r="E125" s="518">
        <f>Upstream!E142</f>
        <v>55679.387087624506</v>
      </c>
      <c r="F125" s="1242">
        <f>Upstream!F142</f>
        <v>36.421966133654387</v>
      </c>
      <c r="G125" s="1242">
        <f>Upstream!G142</f>
        <v>0.26843360718816245</v>
      </c>
      <c r="H125" s="518">
        <f>Upstream!H142</f>
        <v>56669.929455907935</v>
      </c>
    </row>
    <row r="126" spans="3:8">
      <c r="C126" s="249" t="s">
        <v>1196</v>
      </c>
      <c r="D126" s="1472" t="s">
        <v>287</v>
      </c>
      <c r="E126" s="518">
        <f>E70</f>
        <v>278534.78544364893</v>
      </c>
      <c r="F126" s="1242">
        <f>F70</f>
        <v>3.9396235930106585</v>
      </c>
      <c r="G126" s="1242">
        <f>G70</f>
        <v>11.552916094439727</v>
      </c>
      <c r="H126" s="518">
        <f>H70</f>
        <v>282076.04502961721</v>
      </c>
    </row>
    <row r="127" spans="3:8">
      <c r="C127" s="348" t="s">
        <v>1187</v>
      </c>
      <c r="D127" s="348"/>
      <c r="E127" s="290">
        <f>SUM(E113:E126)</f>
        <v>702210.19765023072</v>
      </c>
      <c r="F127" s="290">
        <f>SUM(F113:F126)</f>
        <v>78.158249975716217</v>
      </c>
      <c r="G127" s="290">
        <f>SUM(G113:G126)</f>
        <v>24.311583569649603</v>
      </c>
      <c r="H127" s="290">
        <f>SUM(H113:H126)</f>
        <v>711409.00580337923</v>
      </c>
    </row>
    <row r="131" spans="3:8">
      <c r="C131" s="275" t="str">
        <f>A19</f>
        <v>Scenario A</v>
      </c>
      <c r="D131" s="341"/>
      <c r="E131" s="1755" t="s">
        <v>467</v>
      </c>
      <c r="F131" s="1755"/>
      <c r="G131" s="1755"/>
      <c r="H131" s="1755"/>
    </row>
    <row r="132" spans="3:8" ht="18.75" thickBot="1">
      <c r="C132" s="228" t="s">
        <v>1197</v>
      </c>
      <c r="D132" s="228" t="s">
        <v>284</v>
      </c>
      <c r="E132" s="1245" t="s">
        <v>283</v>
      </c>
      <c r="F132" s="1245" t="s">
        <v>278</v>
      </c>
      <c r="G132" s="1245" t="s">
        <v>279</v>
      </c>
      <c r="H132" s="1245" t="s">
        <v>276</v>
      </c>
    </row>
    <row r="133" spans="3:8" ht="15.75" thickTop="1">
      <c r="C133" s="240" t="s">
        <v>369</v>
      </c>
      <c r="D133" s="1247"/>
      <c r="F133" s="250"/>
      <c r="G133" s="250"/>
      <c r="H133" s="250"/>
    </row>
    <row r="134" spans="3:8">
      <c r="C134" s="241" t="s">
        <v>1199</v>
      </c>
      <c r="D134" s="1247"/>
      <c r="E134" s="518">
        <f>E111</f>
        <v>15696.95371122723</v>
      </c>
      <c r="F134" s="518">
        <f t="shared" ref="F134:H134" si="8">F111</f>
        <v>15.843881016489865</v>
      </c>
      <c r="G134" s="518">
        <f t="shared" si="8"/>
        <v>0.10808779167761859</v>
      </c>
      <c r="H134" s="518">
        <f t="shared" si="8"/>
        <v>16125.260898559407</v>
      </c>
    </row>
    <row r="135" spans="3:8">
      <c r="C135" s="241" t="s">
        <v>1200</v>
      </c>
      <c r="D135" s="1247" t="s">
        <v>1244</v>
      </c>
      <c r="E135" s="518">
        <f>E112</f>
        <v>1.5323520065163421</v>
      </c>
      <c r="F135" s="518">
        <f t="shared" ref="F135:H136" si="9">F112</f>
        <v>2.9266272406531508E-3</v>
      </c>
      <c r="G135" s="518">
        <f t="shared" si="9"/>
        <v>3.0016689647724628E-5</v>
      </c>
      <c r="H135" s="518">
        <f t="shared" si="9"/>
        <v>1.6144626610476929</v>
      </c>
    </row>
    <row r="136" spans="3:8">
      <c r="C136" s="241" t="s">
        <v>1198</v>
      </c>
      <c r="D136" s="1247" t="s">
        <v>874</v>
      </c>
      <c r="E136" s="518">
        <f>E113</f>
        <v>58681.502292011181</v>
      </c>
      <c r="F136" s="518">
        <f t="shared" si="9"/>
        <v>0.14858261375623691</v>
      </c>
      <c r="G136" s="518">
        <f t="shared" si="9"/>
        <v>0.68888302741528018</v>
      </c>
      <c r="H136" s="518">
        <f t="shared" si="9"/>
        <v>58890.503999524844</v>
      </c>
    </row>
    <row r="137" spans="3:8" ht="15.75" thickBot="1">
      <c r="C137" s="351" t="s">
        <v>211</v>
      </c>
      <c r="D137" s="351"/>
      <c r="E137" s="1244">
        <f>SUM(E134:E136)</f>
        <v>74379.988355244932</v>
      </c>
      <c r="F137" s="1244">
        <f t="shared" ref="F137:H137" si="10">SUM(F134:F136)</f>
        <v>15.995390257486754</v>
      </c>
      <c r="G137" s="1244">
        <f t="shared" si="10"/>
        <v>0.79700083578254644</v>
      </c>
      <c r="H137" s="1244">
        <f t="shared" si="10"/>
        <v>75017.379360745297</v>
      </c>
    </row>
  </sheetData>
  <sheetProtection password="C8A2" sheet="1" objects="1" scenarios="1"/>
  <mergeCells count="5">
    <mergeCell ref="E45:H45"/>
    <mergeCell ref="E86:H86"/>
    <mergeCell ref="E108:H108"/>
    <mergeCell ref="E19:F19"/>
    <mergeCell ref="E131:H131"/>
  </mergeCells>
  <pageMargins left="0.7" right="0.7" top="0.75" bottom="0.75" header="0.3" footer="0.3"/>
  <pageSetup paperSize="9" scale="50" orientation="landscape" r:id="rId1"/>
  <headerFooter>
    <oddHeader>&amp;CTacoma LNG Facility DSEIS Life Cycle Analsis GHG Emission Calculations Scenario A</oddHeader>
    <oddFooter>Page &amp;P of &amp;N</oddFooter>
  </headerFooter>
  <rowBreaks count="1" manualBreakCount="1">
    <brk id="73" min="2" max="7" man="1"/>
  </rowBreaks>
  <colBreaks count="2" manualBreakCount="2">
    <brk id="10" max="136" man="1"/>
    <brk id="11" max="13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sheetPr>
  <dimension ref="A1:T144"/>
  <sheetViews>
    <sheetView zoomScaleNormal="100" workbookViewId="0"/>
  </sheetViews>
  <sheetFormatPr defaultColWidth="9.140625" defaultRowHeight="15"/>
  <cols>
    <col min="1" max="1" width="9.140625" style="235"/>
    <col min="2" max="2" width="40.28515625" style="235" customWidth="1"/>
    <col min="3" max="3" width="16.140625" style="235" customWidth="1"/>
    <col min="4" max="7" width="12.42578125" style="235" customWidth="1"/>
    <col min="8" max="8" width="10.85546875" style="235" customWidth="1"/>
    <col min="9" max="9" width="13.85546875" style="235" hidden="1" customWidth="1"/>
    <col min="10" max="10" width="11.5703125" style="235" hidden="1" customWidth="1"/>
    <col min="11" max="11" width="15.140625" style="235" customWidth="1"/>
    <col min="12" max="12" width="20.7109375" style="235" customWidth="1"/>
    <col min="13" max="13" width="9.140625" style="235"/>
    <col min="14" max="14" width="14.140625" style="235" customWidth="1"/>
    <col min="15" max="15" width="15" style="235" customWidth="1"/>
    <col min="16" max="16" width="11" style="235" customWidth="1"/>
    <col min="17" max="22" width="9.5703125" style="235" bestFit="1" customWidth="1"/>
    <col min="23" max="23" width="10.5703125" style="235" bestFit="1" customWidth="1"/>
    <col min="24" max="16384" width="9.140625" style="235"/>
  </cols>
  <sheetData>
    <row r="1" spans="2:16">
      <c r="B1" s="235" t="s">
        <v>535</v>
      </c>
      <c r="K1" s="271" t="s">
        <v>1216</v>
      </c>
    </row>
    <row r="2" spans="2:16">
      <c r="K2" s="235" t="s">
        <v>1065</v>
      </c>
    </row>
    <row r="3" spans="2:16">
      <c r="B3" s="304" t="s">
        <v>360</v>
      </c>
      <c r="C3" s="304"/>
      <c r="D3" s="1753" t="s">
        <v>281</v>
      </c>
      <c r="E3" s="1753"/>
      <c r="F3" s="1753"/>
      <c r="G3" s="1753"/>
    </row>
    <row r="4" spans="2:16" ht="18.75" thickBot="1">
      <c r="B4" s="228" t="s">
        <v>275</v>
      </c>
      <c r="C4" s="228"/>
      <c r="D4" s="279" t="s">
        <v>277</v>
      </c>
      <c r="E4" s="279" t="s">
        <v>278</v>
      </c>
      <c r="F4" s="279" t="s">
        <v>279</v>
      </c>
      <c r="G4" s="381" t="s">
        <v>276</v>
      </c>
    </row>
    <row r="5" spans="2:16" ht="15.75" thickTop="1">
      <c r="B5" s="241" t="s">
        <v>205</v>
      </c>
      <c r="C5" s="241"/>
      <c r="D5" s="1283">
        <f>Input!D138</f>
        <v>2355.5587032693575</v>
      </c>
      <c r="E5" s="1284">
        <f>Input!E138</f>
        <v>8.9051802234184283</v>
      </c>
      <c r="F5" s="1285">
        <f>Input!F138</f>
        <v>2.0759457627761164E-2</v>
      </c>
      <c r="G5" s="505">
        <f t="shared" ref="G5:G11" si="0">D5+E5*CH4_GWP+F5*N2O_GWP</f>
        <v>2584.3745272278911</v>
      </c>
      <c r="K5" s="304" t="s">
        <v>360</v>
      </c>
      <c r="L5" s="304"/>
      <c r="M5" s="1753" t="s">
        <v>281</v>
      </c>
      <c r="N5" s="1753"/>
      <c r="O5" s="1753"/>
      <c r="P5" s="1753"/>
    </row>
    <row r="6" spans="2:16" ht="18.75" thickBot="1">
      <c r="B6" s="241" t="s">
        <v>271</v>
      </c>
      <c r="C6" s="241"/>
      <c r="D6" s="1283">
        <f>Input!D139</f>
        <v>0</v>
      </c>
      <c r="E6" s="1284">
        <f>Input!E139</f>
        <v>135.74397149866587</v>
      </c>
      <c r="F6" s="1285">
        <f>Input!F139</f>
        <v>0</v>
      </c>
      <c r="G6" s="505">
        <f t="shared" si="0"/>
        <v>3393.5992874666467</v>
      </c>
      <c r="K6" s="228" t="s">
        <v>275</v>
      </c>
      <c r="L6" s="228"/>
      <c r="M6" s="279" t="s">
        <v>277</v>
      </c>
      <c r="N6" s="279" t="s">
        <v>278</v>
      </c>
      <c r="O6" s="279" t="s">
        <v>279</v>
      </c>
      <c r="P6" s="500" t="s">
        <v>276</v>
      </c>
    </row>
    <row r="7" spans="2:16" ht="15.75" thickTop="1">
      <c r="B7" s="241" t="s">
        <v>272</v>
      </c>
      <c r="C7" s="241"/>
      <c r="D7" s="1283">
        <f>Input!D140</f>
        <v>1845.0755233852692</v>
      </c>
      <c r="E7" s="1284">
        <f>Input!E140</f>
        <v>4.3718533343453005</v>
      </c>
      <c r="F7" s="1285">
        <f>Input!F140</f>
        <v>1.4210695286107558E-2</v>
      </c>
      <c r="G7" s="505">
        <f t="shared" si="0"/>
        <v>1958.6066439391616</v>
      </c>
      <c r="K7" s="241" t="s">
        <v>536</v>
      </c>
      <c r="L7" s="241"/>
      <c r="M7" s="1283">
        <v>6030</v>
      </c>
      <c r="N7" s="1284">
        <v>45.5</v>
      </c>
      <c r="O7" s="1285">
        <v>0.16</v>
      </c>
      <c r="P7" s="505">
        <f>M7+N7*CH4_GWP+O7*N2O_GWP</f>
        <v>7215.18</v>
      </c>
    </row>
    <row r="8" spans="2:16">
      <c r="B8" s="241" t="s">
        <v>273</v>
      </c>
      <c r="C8" s="241"/>
      <c r="D8" s="1283">
        <f>Input!D141</f>
        <v>777.53587034799432</v>
      </c>
      <c r="E8" s="1284">
        <f>Input!E141</f>
        <v>6.8307681056741885</v>
      </c>
      <c r="F8" s="1285">
        <f>Input!F141</f>
        <v>0</v>
      </c>
      <c r="G8" s="505">
        <f t="shared" si="0"/>
        <v>948.30507298984901</v>
      </c>
      <c r="K8" s="241" t="s">
        <v>282</v>
      </c>
      <c r="L8" s="241"/>
      <c r="M8" s="1283">
        <v>824</v>
      </c>
      <c r="N8" s="1284">
        <v>5.9</v>
      </c>
      <c r="O8" s="1284">
        <v>0.02</v>
      </c>
      <c r="P8" s="505">
        <f>M8+N8*CH4_GWP+O8*N2O_GWP</f>
        <v>977.46</v>
      </c>
    </row>
    <row r="9" spans="2:16">
      <c r="B9" s="241" t="s">
        <v>282</v>
      </c>
      <c r="C9" s="241"/>
      <c r="D9" s="1283">
        <f>Input!D142</f>
        <v>377</v>
      </c>
      <c r="E9" s="1284">
        <f>Input!E142</f>
        <v>13.68</v>
      </c>
      <c r="F9" s="1285">
        <f>Input!F142</f>
        <v>0.29499999999999998</v>
      </c>
      <c r="G9" s="505">
        <f t="shared" si="0"/>
        <v>806.91</v>
      </c>
      <c r="K9" s="241" t="s">
        <v>537</v>
      </c>
      <c r="L9" s="241"/>
      <c r="M9" s="1283">
        <v>10</v>
      </c>
      <c r="N9" s="1284">
        <v>2.2999999999999998</v>
      </c>
      <c r="O9" s="1283">
        <v>0</v>
      </c>
      <c r="P9" s="505">
        <f>M9+N9*CH4_GWP+O9*N2O_GWP</f>
        <v>67.5</v>
      </c>
    </row>
    <row r="10" spans="2:16">
      <c r="B10" s="298" t="s">
        <v>274</v>
      </c>
      <c r="C10" s="298"/>
      <c r="D10" s="1286">
        <f>Input!D143</f>
        <v>0</v>
      </c>
      <c r="E10" s="1286">
        <f>Input!E143</f>
        <v>19.190000000000001</v>
      </c>
      <c r="F10" s="1287">
        <f>Input!F143</f>
        <v>0</v>
      </c>
      <c r="G10" s="506">
        <f t="shared" si="0"/>
        <v>479.75000000000006</v>
      </c>
      <c r="K10" s="272" t="s">
        <v>538</v>
      </c>
      <c r="L10" s="272"/>
      <c r="M10" s="519">
        <f>SUM(M7:M9)</f>
        <v>6864</v>
      </c>
      <c r="N10" s="520">
        <f>SUM(N7:N9)</f>
        <v>53.699999999999996</v>
      </c>
      <c r="O10" s="520">
        <f>SUM(O7:O9)</f>
        <v>0.18</v>
      </c>
      <c r="P10" s="521">
        <f>SUM(P7:P9)</f>
        <v>8260.14</v>
      </c>
    </row>
    <row r="11" spans="2:16">
      <c r="B11" s="310" t="s">
        <v>382</v>
      </c>
      <c r="C11" s="272"/>
      <c r="D11" s="402">
        <f>SUM(D5:D10)</f>
        <v>5355.1700970026213</v>
      </c>
      <c r="E11" s="402">
        <f>SUM(E5:E10)</f>
        <v>188.7217731621038</v>
      </c>
      <c r="F11" s="507">
        <f>SUM(F5:F10)</f>
        <v>0.32997015291386872</v>
      </c>
      <c r="G11" s="509">
        <f t="shared" si="0"/>
        <v>10171.545531623549</v>
      </c>
      <c r="K11" s="310" t="s">
        <v>539</v>
      </c>
      <c r="L11" s="272"/>
      <c r="M11" s="402">
        <f>SUM(M7:M8)</f>
        <v>6854</v>
      </c>
      <c r="N11" s="508">
        <f t="shared" ref="N11:O11" si="1">SUM(N7:N8)</f>
        <v>51.4</v>
      </c>
      <c r="O11" s="508">
        <f t="shared" si="1"/>
        <v>0.18</v>
      </c>
      <c r="P11" s="402">
        <f>SUM(P7:P8)</f>
        <v>8192.64</v>
      </c>
    </row>
    <row r="12" spans="2:16">
      <c r="D12" s="251"/>
      <c r="E12" s="251"/>
      <c r="F12" s="294"/>
      <c r="G12" s="251"/>
    </row>
    <row r="14" spans="2:16" ht="38.25" customHeight="1" thickBot="1">
      <c r="B14" s="367" t="s">
        <v>358</v>
      </c>
      <c r="C14" s="368" t="s">
        <v>448</v>
      </c>
      <c r="D14" s="368" t="s">
        <v>1527</v>
      </c>
      <c r="E14" s="239" t="s">
        <v>1478</v>
      </c>
      <c r="F14" s="1758" t="s">
        <v>1492</v>
      </c>
      <c r="G14" s="1758"/>
    </row>
    <row r="15" spans="2:16" ht="15.75" thickTop="1">
      <c r="B15" s="369" t="s">
        <v>1477</v>
      </c>
      <c r="C15" s="371">
        <f>Input!C57</f>
        <v>1012995</v>
      </c>
      <c r="D15" s="371">
        <f>Input!D57</f>
        <v>907013</v>
      </c>
      <c r="E15" s="1635">
        <f>C15/D15</f>
        <v>1.1168472778229199</v>
      </c>
      <c r="F15" s="272"/>
      <c r="G15" s="369" t="s">
        <v>1491</v>
      </c>
    </row>
    <row r="16" spans="2:16">
      <c r="B16" s="1606" t="s">
        <v>1232</v>
      </c>
      <c r="C16" s="1607">
        <f>C15*C17/1000000</f>
        <v>21347.521024197729</v>
      </c>
      <c r="D16" s="1607">
        <f>D15*D17/1000000</f>
        <v>19285.06881052005</v>
      </c>
      <c r="E16" s="1608">
        <f>C16/D16</f>
        <v>1.1069455460046171</v>
      </c>
      <c r="F16" s="1609">
        <f>E16*Fuel_Specs!C25</f>
        <v>85407.020652418025</v>
      </c>
      <c r="G16" s="1609">
        <f>F16*(1+'PSE LNG Operations'!E126)</f>
        <v>85527.706636704665</v>
      </c>
    </row>
    <row r="17" spans="2:12">
      <c r="B17" s="341" t="s">
        <v>1479</v>
      </c>
      <c r="C17" s="1610">
        <f>Fuel_Specs!P47</f>
        <v>21073.668699448401</v>
      </c>
      <c r="D17" s="1610">
        <f>Fuel_Specs!P25</f>
        <v>21262.174644156203</v>
      </c>
    </row>
    <row r="18" spans="2:12">
      <c r="F18" s="272"/>
    </row>
    <row r="19" spans="2:12">
      <c r="B19" s="309" t="s">
        <v>383</v>
      </c>
      <c r="C19" s="309"/>
      <c r="D19" s="1753" t="s">
        <v>346</v>
      </c>
      <c r="E19" s="1753"/>
      <c r="F19" s="1753"/>
      <c r="G19" s="1753"/>
    </row>
    <row r="20" spans="2:12" ht="18.75" thickBot="1">
      <c r="C20" s="279"/>
      <c r="D20" s="279" t="s">
        <v>277</v>
      </c>
      <c r="E20" s="279" t="s">
        <v>278</v>
      </c>
      <c r="F20" s="279" t="s">
        <v>279</v>
      </c>
      <c r="G20" s="279" t="s">
        <v>276</v>
      </c>
      <c r="H20" s="235" t="s">
        <v>1550</v>
      </c>
    </row>
    <row r="21" spans="2:12" ht="15.75" thickTop="1">
      <c r="B21" s="414" t="s">
        <v>360</v>
      </c>
      <c r="C21" s="378"/>
      <c r="D21" s="378">
        <f>$G$16*D11/1000000</f>
        <v>458.01541704609349</v>
      </c>
      <c r="E21" s="378">
        <f>$G$16*E11/1000000</f>
        <v>16.140940450967136</v>
      </c>
      <c r="F21" s="378">
        <f>$G$16*F11/1000000</f>
        <v>2.8221590437285945E-2</v>
      </c>
      <c r="G21" s="379">
        <f>D21+E21*CH4_GWP+F21*N2O_GWP</f>
        <v>869.94896227058314</v>
      </c>
      <c r="H21" s="379">
        <f>E21*CH4_GWP</f>
        <v>403.52351127417842</v>
      </c>
    </row>
    <row r="22" spans="2:12">
      <c r="D22" s="380"/>
      <c r="E22" s="380"/>
      <c r="F22" s="380"/>
      <c r="G22" s="380"/>
      <c r="H22" s="1283">
        <f>H21*Results!C21</f>
        <v>35812.711625583332</v>
      </c>
    </row>
    <row r="23" spans="2:12">
      <c r="E23" s="380"/>
      <c r="F23" s="380"/>
      <c r="G23" s="380"/>
      <c r="H23" s="1283">
        <f>H22*(1.5/0.3)</f>
        <v>179063.55812791665</v>
      </c>
      <c r="K23" s="235" t="s">
        <v>578</v>
      </c>
    </row>
    <row r="24" spans="2:12">
      <c r="E24" s="380"/>
      <c r="F24" s="380"/>
      <c r="G24" s="380"/>
      <c r="H24" s="1283"/>
      <c r="K24" s="525" t="s">
        <v>568</v>
      </c>
    </row>
    <row r="25" spans="2:12">
      <c r="B25" s="275" t="s">
        <v>513</v>
      </c>
      <c r="C25" s="275"/>
      <c r="D25" s="275"/>
      <c r="E25" s="1753" t="s">
        <v>312</v>
      </c>
      <c r="F25" s="1753"/>
      <c r="G25" s="1753"/>
      <c r="H25" s="1753"/>
    </row>
    <row r="26" spans="2:12" ht="18.75" thickBot="1">
      <c r="B26" s="278" t="s">
        <v>275</v>
      </c>
      <c r="C26" s="279" t="s">
        <v>1222</v>
      </c>
      <c r="D26" s="278"/>
      <c r="E26" s="279" t="s">
        <v>277</v>
      </c>
      <c r="F26" s="279" t="s">
        <v>278</v>
      </c>
      <c r="G26" s="279" t="s">
        <v>279</v>
      </c>
      <c r="H26" s="279" t="s">
        <v>276</v>
      </c>
      <c r="K26" s="654" t="s">
        <v>569</v>
      </c>
      <c r="L26" s="500" t="s">
        <v>570</v>
      </c>
    </row>
    <row r="27" spans="2:12" ht="15.75" thickTop="1">
      <c r="B27" s="1298" t="s">
        <v>212</v>
      </c>
      <c r="C27" s="787" t="s">
        <v>1260</v>
      </c>
      <c r="D27" s="1298" t="s">
        <v>242</v>
      </c>
      <c r="E27" s="1284">
        <f>Input!E170</f>
        <v>8.1999999999999993</v>
      </c>
      <c r="F27" s="1290">
        <f>Input!F170</f>
        <v>0.38</v>
      </c>
      <c r="G27" s="1290">
        <f>Input!G170</f>
        <v>1E-3</v>
      </c>
      <c r="H27" s="1283">
        <f t="shared" ref="H27:H34" si="2">E27+F27*CH4_GWP+G27*N2O_GWP</f>
        <v>17.997999999999998</v>
      </c>
      <c r="I27" s="522"/>
      <c r="K27" s="522" t="s">
        <v>571</v>
      </c>
      <c r="L27" s="523">
        <v>0.84</v>
      </c>
    </row>
    <row r="28" spans="2:12">
      <c r="B28" s="1299"/>
      <c r="C28" s="1300" t="s">
        <v>1261</v>
      </c>
      <c r="D28" s="1299" t="s">
        <v>311</v>
      </c>
      <c r="E28" s="1286">
        <f>Input!E171</f>
        <v>196</v>
      </c>
      <c r="F28" s="1291">
        <f>Input!F171</f>
        <v>0.01</v>
      </c>
      <c r="G28" s="1291">
        <f>Input!G171</f>
        <v>3.0000000000000001E-3</v>
      </c>
      <c r="H28" s="519">
        <f t="shared" si="2"/>
        <v>197.14400000000001</v>
      </c>
      <c r="I28" s="1745">
        <f>H28+H27</f>
        <v>215.142</v>
      </c>
      <c r="J28" s="1746">
        <f>I28/3.6</f>
        <v>59.761666666666663</v>
      </c>
      <c r="K28" s="522" t="s">
        <v>572</v>
      </c>
      <c r="L28" s="523">
        <v>0.06</v>
      </c>
    </row>
    <row r="29" spans="2:12" ht="15" customHeight="1">
      <c r="B29" s="1298" t="s">
        <v>982</v>
      </c>
      <c r="C29" s="787" t="s">
        <v>1454</v>
      </c>
      <c r="D29" s="1298" t="s">
        <v>242</v>
      </c>
      <c r="E29" s="1284">
        <f>Input!E172</f>
        <v>1.2776192871865839</v>
      </c>
      <c r="F29" s="1290">
        <f>Input!F172</f>
        <v>4.5362243122767348E-2</v>
      </c>
      <c r="G29" s="1290">
        <f>Input!G172</f>
        <v>7.3136628832094915E-5</v>
      </c>
      <c r="H29" s="1283">
        <f t="shared" si="2"/>
        <v>2.4334700806477318</v>
      </c>
      <c r="I29" s="1745"/>
      <c r="J29" s="1746"/>
      <c r="K29" s="522" t="s">
        <v>1051</v>
      </c>
      <c r="L29" s="523">
        <v>0.02</v>
      </c>
    </row>
    <row r="30" spans="2:12">
      <c r="B30" s="1299"/>
      <c r="C30" s="1300" t="s">
        <v>1455</v>
      </c>
      <c r="D30" s="1299" t="s">
        <v>311</v>
      </c>
      <c r="E30" s="1286">
        <f>Input!E173</f>
        <v>27.390241363146632</v>
      </c>
      <c r="F30" s="1291">
        <f>Input!F173</f>
        <v>2.954462273294569E-4</v>
      </c>
      <c r="G30" s="1291">
        <f>Input!G173</f>
        <v>3.2853823259947643E-4</v>
      </c>
      <c r="H30" s="519">
        <f t="shared" si="2"/>
        <v>27.495531912144511</v>
      </c>
      <c r="I30" s="1745">
        <f t="shared" ref="I30:I34" si="3">H30+H29</f>
        <v>29.929001992792244</v>
      </c>
      <c r="J30" s="1746">
        <f t="shared" ref="J30:J34" si="4">I30/3.6</f>
        <v>8.3136116646645117</v>
      </c>
      <c r="K30" s="522" t="s">
        <v>204</v>
      </c>
      <c r="L30" s="523">
        <v>0.01</v>
      </c>
    </row>
    <row r="31" spans="2:12">
      <c r="B31" s="1298" t="s">
        <v>241</v>
      </c>
      <c r="C31" s="787" t="s">
        <v>1262</v>
      </c>
      <c r="D31" s="1298" t="s">
        <v>242</v>
      </c>
      <c r="E31" s="1284">
        <f>Input!E174</f>
        <v>19.740203625011802</v>
      </c>
      <c r="F31" s="1290">
        <f>Input!F174</f>
        <v>0.6461686800881562</v>
      </c>
      <c r="G31" s="1290">
        <f>Input!G174</f>
        <v>2.5750805496714607E-3</v>
      </c>
      <c r="H31" s="1283">
        <f t="shared" si="2"/>
        <v>36.661794631017806</v>
      </c>
      <c r="I31" s="1745"/>
      <c r="J31" s="1746"/>
      <c r="K31" s="782" t="s">
        <v>1052</v>
      </c>
      <c r="L31" s="524">
        <v>7.0000000000000007E-2</v>
      </c>
    </row>
    <row r="32" spans="2:12">
      <c r="B32" s="1299"/>
      <c r="C32" s="1300" t="s">
        <v>1263</v>
      </c>
      <c r="D32" s="1299" t="s">
        <v>311</v>
      </c>
      <c r="E32" s="1286">
        <f>Input!E175</f>
        <v>212.25293056950503</v>
      </c>
      <c r="F32" s="1291">
        <f>Input!F175</f>
        <v>9.007750958385248E-3</v>
      </c>
      <c r="G32" s="1291">
        <f>Input!G175</f>
        <v>1.3744831761170083E-3</v>
      </c>
      <c r="H32" s="519">
        <f t="shared" si="2"/>
        <v>212.88772032994751</v>
      </c>
      <c r="I32" s="1745">
        <f t="shared" si="3"/>
        <v>249.54951496096533</v>
      </c>
      <c r="J32" s="1746">
        <f t="shared" si="4"/>
        <v>69.319309711379262</v>
      </c>
      <c r="K32" s="533" t="s">
        <v>1053</v>
      </c>
      <c r="L32" s="533"/>
    </row>
    <row r="33" spans="2:20" ht="15" customHeight="1">
      <c r="B33" s="1298" t="s">
        <v>363</v>
      </c>
      <c r="C33" s="787" t="s">
        <v>1264</v>
      </c>
      <c r="D33" s="1298" t="s">
        <v>242</v>
      </c>
      <c r="E33" s="1284">
        <f>Input!E176</f>
        <v>11.460240622823047</v>
      </c>
      <c r="F33" s="1290">
        <f>Input!F176</f>
        <v>0.55693831623285128</v>
      </c>
      <c r="G33" s="1290">
        <f>Input!G176</f>
        <v>9.7871837577018488E-4</v>
      </c>
      <c r="H33" s="1283">
        <f t="shared" si="2"/>
        <v>25.675356604623847</v>
      </c>
      <c r="I33" s="1745"/>
      <c r="J33" s="1746"/>
      <c r="K33" s="783" t="s">
        <v>1054</v>
      </c>
    </row>
    <row r="34" spans="2:20" ht="15.75" thickBot="1">
      <c r="B34" s="1303"/>
      <c r="C34" s="1304" t="s">
        <v>1265</v>
      </c>
      <c r="D34" s="1303" t="s">
        <v>311</v>
      </c>
      <c r="E34" s="296">
        <f>Input!E177</f>
        <v>297.20820206969563</v>
      </c>
      <c r="F34" s="1305">
        <f>Input!F177</f>
        <v>1.0672129279142323E-2</v>
      </c>
      <c r="G34" s="1305">
        <f>Input!G177</f>
        <v>4.6755650349940931E-3</v>
      </c>
      <c r="H34" s="276">
        <f t="shared" si="2"/>
        <v>298.86832368210241</v>
      </c>
      <c r="I34" s="1745">
        <f t="shared" si="3"/>
        <v>324.54368028672627</v>
      </c>
      <c r="J34" s="1746">
        <f t="shared" si="4"/>
        <v>90.151022301868409</v>
      </c>
      <c r="K34" s="235" t="s">
        <v>578</v>
      </c>
    </row>
    <row r="35" spans="2:20" ht="15.75" thickBot="1">
      <c r="B35" s="1306" t="s">
        <v>1226</v>
      </c>
      <c r="C35" s="1307" t="str">
        <f>Input!H24</f>
        <v>WA</v>
      </c>
      <c r="D35" s="1308"/>
      <c r="E35" s="1309"/>
      <c r="F35" s="1310"/>
      <c r="G35" s="1310"/>
      <c r="H35" s="1311"/>
      <c r="I35" s="522"/>
    </row>
    <row r="36" spans="2:20" ht="16.5" thickTop="1" thickBot="1">
      <c r="B36" s="1312" t="str">
        <f>Input!G24</f>
        <v>Washington</v>
      </c>
      <c r="C36" s="1313" t="str">
        <f>CONCATENATE(C35,"UP")</f>
        <v>WAUP</v>
      </c>
      <c r="D36" s="317" t="s">
        <v>242</v>
      </c>
      <c r="E36" s="1314">
        <f>VLOOKUP(C36,C27:G34,3,FALSE)</f>
        <v>8.1999999999999993</v>
      </c>
      <c r="F36" s="1315">
        <f>VLOOKUP(C36,C27:G34,4,FALSE)</f>
        <v>0.38</v>
      </c>
      <c r="G36" s="1315">
        <f>VLOOKUP(C36,C27:G34,5,FALSE)</f>
        <v>1E-3</v>
      </c>
      <c r="H36" s="1316">
        <f>E36+F36*CH4_GWP+G36*N2O_GWP</f>
        <v>17.997999999999998</v>
      </c>
      <c r="I36" s="522"/>
      <c r="K36" s="443" t="s">
        <v>534</v>
      </c>
      <c r="L36" s="443"/>
      <c r="M36" s="1757" t="s">
        <v>573</v>
      </c>
      <c r="N36" s="1757"/>
      <c r="O36" s="1757"/>
      <c r="P36" s="1757"/>
      <c r="Q36" s="1757"/>
      <c r="R36" s="1757"/>
      <c r="S36" s="1757"/>
      <c r="T36" s="1757"/>
    </row>
    <row r="37" spans="2:20" ht="16.5" thickTop="1" thickBot="1">
      <c r="B37" s="1317"/>
      <c r="C37" s="1318" t="str">
        <f>CONCATENATE(C35,"PP")</f>
        <v>WAPP</v>
      </c>
      <c r="D37" s="1237" t="s">
        <v>311</v>
      </c>
      <c r="E37" s="1319">
        <f>VLOOKUP(C37,C27:G34,3,FALSE)</f>
        <v>196</v>
      </c>
      <c r="F37" s="1320">
        <f>VLOOKUP(C37,C27:G34,4,FALSE)</f>
        <v>0.01</v>
      </c>
      <c r="G37" s="1320">
        <f>VLOOKUP(C37,C27:G34,5,FALSE)</f>
        <v>3.0000000000000001E-3</v>
      </c>
      <c r="H37" s="1321">
        <f>E37+F37*CH4_GWP+G37*N2O_GWP</f>
        <v>197.14400000000001</v>
      </c>
      <c r="I37" s="522"/>
      <c r="L37" s="382"/>
      <c r="M37" s="528" t="s">
        <v>127</v>
      </c>
      <c r="N37" s="528" t="s">
        <v>130</v>
      </c>
      <c r="O37" s="528" t="s">
        <v>262</v>
      </c>
      <c r="P37" s="528" t="s">
        <v>266</v>
      </c>
      <c r="Q37" s="528" t="s">
        <v>267</v>
      </c>
      <c r="R37" s="528" t="s">
        <v>121</v>
      </c>
      <c r="S37" s="528" t="s">
        <v>124</v>
      </c>
      <c r="T37" s="528" t="s">
        <v>118</v>
      </c>
    </row>
    <row r="38" spans="2:20">
      <c r="I38" s="522"/>
      <c r="J38" s="522"/>
      <c r="K38" s="235" t="s">
        <v>1055</v>
      </c>
      <c r="L38" s="235" t="s">
        <v>576</v>
      </c>
      <c r="M38" s="529">
        <v>0.64900000000000002</v>
      </c>
      <c r="N38" s="529">
        <v>1.631</v>
      </c>
      <c r="O38" s="529">
        <v>3.8330000000000002</v>
      </c>
      <c r="P38" s="529">
        <v>2.3E-2</v>
      </c>
      <c r="Q38" s="529">
        <v>0.05</v>
      </c>
      <c r="R38" s="529">
        <v>10.917</v>
      </c>
      <c r="S38" s="529">
        <v>9.1999999999999998E-2</v>
      </c>
      <c r="T38" s="529">
        <v>5942</v>
      </c>
    </row>
    <row r="39" spans="2:20" ht="18.75" customHeight="1">
      <c r="I39" s="522"/>
      <c r="J39" s="522"/>
      <c r="K39" s="272" t="s">
        <v>1056</v>
      </c>
      <c r="L39" s="272" t="s">
        <v>575</v>
      </c>
      <c r="M39" s="530">
        <f t="shared" ref="M39:T39" si="5">M38*BtuperkWh/1000000</f>
        <v>2.2144799253992101E-3</v>
      </c>
      <c r="N39" s="530">
        <f t="shared" si="5"/>
        <v>5.565203017451636E-3</v>
      </c>
      <c r="O39" s="530">
        <f t="shared" si="5"/>
        <v>1.3078738912257585E-2</v>
      </c>
      <c r="P39" s="530">
        <f t="shared" si="5"/>
        <v>7.8479257756828704E-5</v>
      </c>
      <c r="Q39" s="530">
        <f t="shared" si="5"/>
        <v>1.7060708208006242E-4</v>
      </c>
      <c r="R39" s="530">
        <f t="shared" si="5"/>
        <v>3.725035030136082E-2</v>
      </c>
      <c r="S39" s="530">
        <f t="shared" si="5"/>
        <v>3.1391703102731481E-4</v>
      </c>
      <c r="T39" s="530">
        <f t="shared" si="5"/>
        <v>20.274945634394616</v>
      </c>
    </row>
    <row r="40" spans="2:20" ht="18.75" customHeight="1" thickBot="1">
      <c r="B40" s="1368" t="s">
        <v>1242</v>
      </c>
      <c r="C40" s="1368" t="s">
        <v>362</v>
      </c>
      <c r="D40" s="1751" t="s">
        <v>1243</v>
      </c>
      <c r="E40" s="1751"/>
      <c r="F40" s="1751"/>
      <c r="G40" s="1751"/>
      <c r="I40" s="522"/>
      <c r="J40" s="522"/>
      <c r="K40" s="784" t="s">
        <v>1055</v>
      </c>
      <c r="L40" s="418" t="s">
        <v>574</v>
      </c>
      <c r="M40" s="531">
        <v>0.04</v>
      </c>
      <c r="N40" s="531">
        <v>0.10100000000000001</v>
      </c>
      <c r="O40" s="531">
        <v>0.23699999999999999</v>
      </c>
      <c r="P40" s="531">
        <v>1E-3</v>
      </c>
      <c r="Q40" s="531">
        <v>3.0000000000000001E-3</v>
      </c>
      <c r="R40" s="531">
        <v>0.67400000000000004</v>
      </c>
      <c r="S40" s="531">
        <v>6.0000000000000001E-3</v>
      </c>
      <c r="T40" s="531">
        <v>367.1</v>
      </c>
    </row>
    <row r="41" spans="2:20" ht="18.75" customHeight="1" thickTop="1">
      <c r="B41" s="382" t="s">
        <v>1379</v>
      </c>
      <c r="C41" s="1378">
        <f>'Construction Material&amp;Power'!C40</f>
        <v>10512000</v>
      </c>
      <c r="D41" s="383" t="s">
        <v>277</v>
      </c>
      <c r="E41" s="383" t="s">
        <v>278</v>
      </c>
      <c r="F41" s="383" t="s">
        <v>279</v>
      </c>
      <c r="G41" s="383" t="s">
        <v>276</v>
      </c>
      <c r="I41" s="522"/>
      <c r="J41" s="522"/>
      <c r="K41" s="310" t="s">
        <v>1057</v>
      </c>
      <c r="L41" s="310" t="s">
        <v>577</v>
      </c>
      <c r="M41" s="532">
        <f>M40*Fuel_Specs!C24/1000000</f>
        <v>3.0229695424806228E-3</v>
      </c>
      <c r="N41" s="532">
        <f>N40*Fuel_Specs!D24/1000000</f>
        <v>8.4535453899506566E-3</v>
      </c>
      <c r="O41" s="532">
        <f>O40*Fuel_Specs!E24/1000000</f>
        <v>4.5575099999999995E-4</v>
      </c>
      <c r="P41" s="532">
        <f>P40*Fuel_Specs!F24/1000000</f>
        <v>8.1805570775272686E-10</v>
      </c>
      <c r="Q41" s="532">
        <f>Q40*Fuel_Specs!G24/1000000</f>
        <v>0</v>
      </c>
      <c r="R41" s="532">
        <f>R40*Fuel_Specs!H24/1000000</f>
        <v>0</v>
      </c>
      <c r="S41" s="532">
        <f>S40*Fuel_Specs!I24/1000000</f>
        <v>0</v>
      </c>
      <c r="T41" s="532">
        <f>T40*Fuel_Specs!J24/1000000</f>
        <v>27.992667988124108</v>
      </c>
    </row>
    <row r="42" spans="2:20" ht="18.75" customHeight="1">
      <c r="B42" s="310" t="s">
        <v>206</v>
      </c>
      <c r="C42" s="526" t="str">
        <f>C36</f>
        <v>WAUP</v>
      </c>
      <c r="D42" s="507">
        <f>($E$36+$E$37)*C$41/1000000</f>
        <v>2146.5503999999996</v>
      </c>
      <c r="E42" s="507">
        <f>($F$36+$F$37)*C$41/1000000</f>
        <v>4.0996800000000002</v>
      </c>
      <c r="F42" s="507">
        <f>($G$36+$G$37)*C$41/1000000</f>
        <v>4.2048000000000002E-2</v>
      </c>
      <c r="G42" s="507">
        <f>D42+E42*CH4_GWP+F42*N2O_GWP</f>
        <v>2261.5727039999997</v>
      </c>
      <c r="I42" s="522"/>
      <c r="J42" s="522"/>
      <c r="K42" s="229"/>
      <c r="L42" s="229"/>
      <c r="M42" s="1377"/>
      <c r="N42" s="1377"/>
      <c r="O42" s="1377"/>
      <c r="P42" s="1377"/>
      <c r="Q42" s="1377"/>
      <c r="R42" s="1377"/>
      <c r="S42" s="1377"/>
      <c r="T42" s="1377"/>
    </row>
    <row r="43" spans="2:20" ht="18.75" customHeight="1">
      <c r="I43" s="522"/>
      <c r="J43" s="522"/>
      <c r="K43" s="229"/>
      <c r="L43" s="229"/>
      <c r="M43" s="1377"/>
      <c r="N43" s="1377"/>
      <c r="O43" s="1377"/>
      <c r="P43" s="1377"/>
      <c r="Q43" s="1377"/>
      <c r="R43" s="1377"/>
      <c r="S43" s="1377"/>
      <c r="T43" s="1377"/>
    </row>
    <row r="44" spans="2:20">
      <c r="I44" s="522"/>
      <c r="J44" s="522"/>
    </row>
    <row r="45" spans="2:20" ht="15.75" thickBot="1">
      <c r="B45" s="1245" t="s">
        <v>534</v>
      </c>
      <c r="C45" s="1245" t="s">
        <v>362</v>
      </c>
      <c r="D45" s="1751" t="s">
        <v>346</v>
      </c>
      <c r="E45" s="1751"/>
      <c r="F45" s="1751"/>
      <c r="G45" s="1751"/>
      <c r="I45" s="522"/>
      <c r="J45" s="522"/>
    </row>
    <row r="46" spans="2:20" ht="18.75" thickTop="1">
      <c r="B46" s="382" t="s">
        <v>361</v>
      </c>
      <c r="C46" s="1294">
        <f>Input!C51</f>
        <v>1348</v>
      </c>
      <c r="D46" s="383" t="s">
        <v>277</v>
      </c>
      <c r="E46" s="383" t="s">
        <v>278</v>
      </c>
      <c r="F46" s="383" t="s">
        <v>279</v>
      </c>
      <c r="G46" s="383" t="s">
        <v>276</v>
      </c>
      <c r="I46" s="1647">
        <f>C46*500000*Input!D28/1000000000</f>
        <v>239.27</v>
      </c>
      <c r="J46" s="522" t="s">
        <v>1505</v>
      </c>
      <c r="K46" s="522"/>
    </row>
    <row r="47" spans="2:20">
      <c r="B47" s="310" t="s">
        <v>206</v>
      </c>
      <c r="C47" s="526" t="str">
        <f>C35</f>
        <v>WA</v>
      </c>
      <c r="D47" s="527">
        <f>($E$36+$E$37)*C$46/1000</f>
        <v>275.26159999999999</v>
      </c>
      <c r="E47" s="527">
        <f>($F$36+$F$37)*C$46/1000</f>
        <v>0.52572000000000008</v>
      </c>
      <c r="F47" s="527">
        <f>($G$36+$G$37)*C$46/1000</f>
        <v>5.3920000000000001E-3</v>
      </c>
      <c r="G47" s="527">
        <f>D47+E47*CH4_GWP+F47*N2O_GWP</f>
        <v>290.011416</v>
      </c>
      <c r="I47" s="522"/>
      <c r="J47" s="522"/>
      <c r="K47" s="522"/>
    </row>
    <row r="48" spans="2:20">
      <c r="B48" s="384"/>
      <c r="I48" s="522"/>
      <c r="J48" s="522"/>
      <c r="K48" s="522"/>
    </row>
    <row r="49" spans="2:10">
      <c r="I49" s="522"/>
      <c r="J49" s="522"/>
    </row>
    <row r="50" spans="2:10" ht="30.75" thickBot="1">
      <c r="B50" s="239" t="s">
        <v>1221</v>
      </c>
      <c r="C50" s="1245" t="s">
        <v>362</v>
      </c>
      <c r="D50" s="1751" t="s">
        <v>346</v>
      </c>
      <c r="E50" s="1751"/>
      <c r="F50" s="1751"/>
      <c r="G50" s="1751"/>
      <c r="I50" s="522"/>
      <c r="J50" s="522"/>
    </row>
    <row r="51" spans="2:10" ht="18.75" thickTop="1">
      <c r="B51" s="382" t="s">
        <v>361</v>
      </c>
      <c r="C51" s="1294">
        <v>45</v>
      </c>
      <c r="D51" s="383" t="s">
        <v>277</v>
      </c>
      <c r="E51" s="383" t="s">
        <v>278</v>
      </c>
      <c r="F51" s="383" t="s">
        <v>279</v>
      </c>
      <c r="G51" s="383" t="s">
        <v>276</v>
      </c>
      <c r="I51" s="522"/>
      <c r="J51" s="522"/>
    </row>
    <row r="52" spans="2:10">
      <c r="B52" s="310" t="s">
        <v>206</v>
      </c>
      <c r="C52" s="526" t="str">
        <f>C35</f>
        <v>WA</v>
      </c>
      <c r="D52" s="527">
        <f>($E$36+$E$37)*C$51/1000</f>
        <v>9.1890000000000001</v>
      </c>
      <c r="E52" s="527">
        <f>($F$36+$F$37)*C$51/1000</f>
        <v>1.755E-2</v>
      </c>
      <c r="F52" s="527">
        <f>($G$36+$G$37)*C$51/1000</f>
        <v>1.7999999999999998E-4</v>
      </c>
      <c r="G52" s="527">
        <f>D52+E52*CH4_GWP+F52*N2O_GWP</f>
        <v>9.6813900000000004</v>
      </c>
      <c r="I52" s="522"/>
      <c r="J52" s="522"/>
    </row>
    <row r="53" spans="2:10">
      <c r="I53" s="522"/>
      <c r="J53" s="522"/>
    </row>
    <row r="54" spans="2:10">
      <c r="B54" s="317" t="s">
        <v>533</v>
      </c>
      <c r="I54" s="522"/>
      <c r="J54" s="522"/>
    </row>
    <row r="55" spans="2:10">
      <c r="B55" s="304" t="s">
        <v>390</v>
      </c>
      <c r="C55" s="413" t="s">
        <v>514</v>
      </c>
      <c r="D55" s="1753" t="s">
        <v>281</v>
      </c>
      <c r="E55" s="1753"/>
      <c r="F55" s="1753"/>
      <c r="G55" s="1753"/>
      <c r="I55" s="522"/>
      <c r="J55" s="522"/>
    </row>
    <row r="56" spans="2:10" ht="18.75" thickBot="1">
      <c r="B56" s="228" t="s">
        <v>275</v>
      </c>
      <c r="C56" s="238" t="s">
        <v>437</v>
      </c>
      <c r="D56" s="279" t="s">
        <v>277</v>
      </c>
      <c r="E56" s="279" t="s">
        <v>278</v>
      </c>
      <c r="F56" s="279" t="s">
        <v>279</v>
      </c>
      <c r="G56" s="279" t="s">
        <v>276</v>
      </c>
      <c r="I56" s="522"/>
      <c r="J56" s="522"/>
    </row>
    <row r="57" spans="2:10" ht="15.75" thickTop="1">
      <c r="B57" s="311" t="s">
        <v>391</v>
      </c>
      <c r="C57" s="1322">
        <f>Input!C228</f>
        <v>0.01</v>
      </c>
      <c r="D57" s="312">
        <f>(E37+E36)*$C$57</f>
        <v>2.0419999999999998</v>
      </c>
      <c r="E57" s="312">
        <f>(F37+F36)*$C$57</f>
        <v>3.9000000000000003E-3</v>
      </c>
      <c r="F57" s="312">
        <f>(G37+G36)*$C$57</f>
        <v>4.0000000000000003E-5</v>
      </c>
      <c r="G57" s="312">
        <f t="shared" ref="G57" si="6">D57+E57*CH4_GWP+F57*N2O_GWP</f>
        <v>2.1514199999999999</v>
      </c>
      <c r="I57" s="522"/>
      <c r="J57" s="522"/>
    </row>
    <row r="58" spans="2:10">
      <c r="B58" s="310" t="s">
        <v>211</v>
      </c>
      <c r="C58" s="272"/>
      <c r="D58" s="316">
        <f>SUM(D57:D57)</f>
        <v>2.0419999999999998</v>
      </c>
      <c r="E58" s="316">
        <f>SUM(E57:E57)</f>
        <v>3.9000000000000003E-3</v>
      </c>
      <c r="F58" s="316">
        <f>SUM(F57:F57)</f>
        <v>4.0000000000000003E-5</v>
      </c>
      <c r="G58" s="316">
        <f>SUM(G57:G57)</f>
        <v>2.1514199999999999</v>
      </c>
      <c r="I58" s="522"/>
      <c r="J58" s="522"/>
    </row>
    <row r="59" spans="2:10">
      <c r="I59" s="522"/>
      <c r="J59" s="522"/>
    </row>
    <row r="60" spans="2:10">
      <c r="I60" s="522"/>
      <c r="J60" s="522"/>
    </row>
    <row r="61" spans="2:10">
      <c r="B61" s="317" t="s">
        <v>533</v>
      </c>
      <c r="I61" s="522"/>
      <c r="J61" s="522"/>
    </row>
    <row r="62" spans="2:10">
      <c r="B62" s="304" t="s">
        <v>388</v>
      </c>
      <c r="C62" s="413" t="s">
        <v>514</v>
      </c>
      <c r="D62" s="1753" t="s">
        <v>281</v>
      </c>
      <c r="E62" s="1753"/>
      <c r="F62" s="1753"/>
      <c r="G62" s="1753"/>
      <c r="I62" s="522"/>
      <c r="J62" s="522"/>
    </row>
    <row r="63" spans="2:10" ht="18.75" thickBot="1">
      <c r="B63" s="228" t="s">
        <v>275</v>
      </c>
      <c r="C63" s="238" t="s">
        <v>437</v>
      </c>
      <c r="D63" s="279" t="s">
        <v>277</v>
      </c>
      <c r="E63" s="279" t="s">
        <v>278</v>
      </c>
      <c r="F63" s="279" t="s">
        <v>279</v>
      </c>
      <c r="G63" s="279" t="s">
        <v>276</v>
      </c>
      <c r="I63" s="522"/>
      <c r="J63" s="522"/>
    </row>
    <row r="64" spans="2:10" ht="15.75" thickTop="1">
      <c r="B64" s="311" t="s">
        <v>387</v>
      </c>
      <c r="C64" s="1322">
        <f>Input!C232</f>
        <v>0.01</v>
      </c>
      <c r="D64" s="312">
        <f>(Upstream!E37+Upstream!E36)*$C$64</f>
        <v>2.0419999999999998</v>
      </c>
      <c r="E64" s="312">
        <f>(Upstream!F37+Upstream!F36)*$C$64</f>
        <v>3.9000000000000003E-3</v>
      </c>
      <c r="F64" s="312">
        <f>(Upstream!G37+Upstream!G36)*$C$64</f>
        <v>4.0000000000000003E-5</v>
      </c>
      <c r="G64" s="312">
        <f>Upstream!G47*$C$64</f>
        <v>2.9001141600000002</v>
      </c>
      <c r="I64" s="522"/>
      <c r="J64" s="522"/>
    </row>
    <row r="65" spans="2:10">
      <c r="B65" s="310" t="s">
        <v>211</v>
      </c>
      <c r="C65" s="272"/>
      <c r="D65" s="316">
        <f>SUM(D64:D64)</f>
        <v>2.0419999999999998</v>
      </c>
      <c r="E65" s="316">
        <f>SUM(E64:E64)</f>
        <v>3.9000000000000003E-3</v>
      </c>
      <c r="F65" s="316">
        <f>SUM(F64:F64)</f>
        <v>4.0000000000000003E-5</v>
      </c>
      <c r="G65" s="316">
        <f>SUM(G64:G64)</f>
        <v>2.9001141600000002</v>
      </c>
      <c r="I65" s="522"/>
      <c r="J65" s="522"/>
    </row>
    <row r="66" spans="2:10">
      <c r="I66" s="522"/>
      <c r="J66" s="522"/>
    </row>
    <row r="67" spans="2:10" ht="15.75" thickBot="1">
      <c r="B67" s="385" t="s">
        <v>334</v>
      </c>
      <c r="C67" s="385" t="s">
        <v>310</v>
      </c>
      <c r="D67" s="385" t="s">
        <v>1276</v>
      </c>
      <c r="I67" s="522"/>
      <c r="J67" s="522"/>
    </row>
    <row r="68" spans="2:10" ht="15.75" thickTop="1">
      <c r="B68" s="386" t="s">
        <v>335</v>
      </c>
      <c r="C68" s="1324">
        <f>Input!C186</f>
        <v>31.243764769685725</v>
      </c>
      <c r="D68" s="1324">
        <v>30.8</v>
      </c>
      <c r="I68" s="522"/>
      <c r="J68" s="522"/>
    </row>
    <row r="69" spans="2:10">
      <c r="B69" s="386" t="s">
        <v>342</v>
      </c>
      <c r="C69" s="1325">
        <f>Input!C187</f>
        <v>0.438</v>
      </c>
      <c r="D69" s="1325">
        <v>0.371</v>
      </c>
      <c r="I69" s="522"/>
      <c r="J69" s="522"/>
    </row>
    <row r="70" spans="2:10">
      <c r="B70" s="386" t="s">
        <v>336</v>
      </c>
      <c r="C70" s="1325">
        <f>Input!C188</f>
        <v>0.10299999999999999</v>
      </c>
      <c r="D70" s="1325">
        <v>0.13200000000000001</v>
      </c>
    </row>
    <row r="71" spans="2:10">
      <c r="B71" s="387" t="s">
        <v>333</v>
      </c>
      <c r="C71" s="1325"/>
      <c r="D71" s="1325"/>
    </row>
    <row r="72" spans="2:10">
      <c r="B72" s="388" t="s">
        <v>245</v>
      </c>
      <c r="C72" s="1325">
        <f>Input!C190</f>
        <v>0.94828367124920465</v>
      </c>
      <c r="D72" s="1325">
        <v>0.94799999999999995</v>
      </c>
    </row>
    <row r="73" spans="2:10">
      <c r="B73" s="388" t="s">
        <v>233</v>
      </c>
      <c r="C73" s="1325">
        <f>Input!C191</f>
        <v>0.90922379885292581</v>
      </c>
      <c r="D73" s="1325">
        <v>0.90900000000000003</v>
      </c>
    </row>
    <row r="74" spans="2:10">
      <c r="B74" s="387" t="s">
        <v>343</v>
      </c>
      <c r="C74" s="1325"/>
      <c r="D74" s="1325"/>
    </row>
    <row r="75" spans="2:10">
      <c r="B75" s="388" t="s">
        <v>344</v>
      </c>
      <c r="C75" s="1325">
        <f>Input!C193</f>
        <v>0.2901564773874869</v>
      </c>
      <c r="D75" s="1325">
        <v>0.46</v>
      </c>
    </row>
    <row r="76" spans="2:10">
      <c r="B76" s="389" t="s">
        <v>345</v>
      </c>
      <c r="C76" s="1326">
        <f>Input!C194</f>
        <v>8373</v>
      </c>
      <c r="D76" s="1326">
        <v>2470</v>
      </c>
    </row>
    <row r="77" spans="2:10">
      <c r="B77" s="390"/>
      <c r="C77" s="390"/>
      <c r="D77" s="390"/>
      <c r="E77" s="390"/>
      <c r="F77" s="390"/>
    </row>
    <row r="78" spans="2:10">
      <c r="B78" s="1323"/>
      <c r="C78" s="1750" t="s">
        <v>281</v>
      </c>
      <c r="D78" s="1750"/>
      <c r="E78" s="1750"/>
      <c r="F78" s="1750"/>
    </row>
    <row r="79" spans="2:10" ht="18.75" thickBot="1">
      <c r="B79" s="391" t="s">
        <v>275</v>
      </c>
      <c r="C79" s="392" t="s">
        <v>277</v>
      </c>
      <c r="D79" s="392" t="s">
        <v>278</v>
      </c>
      <c r="E79" s="392" t="s">
        <v>279</v>
      </c>
      <c r="F79" s="392" t="s">
        <v>276</v>
      </c>
    </row>
    <row r="80" spans="2:10" ht="15.75" thickTop="1">
      <c r="B80" s="387" t="s">
        <v>1274</v>
      </c>
      <c r="C80" s="393"/>
      <c r="D80" s="393"/>
      <c r="E80" s="393"/>
      <c r="F80" s="393"/>
    </row>
    <row r="81" spans="2:7">
      <c r="B81" s="388" t="s">
        <v>330</v>
      </c>
      <c r="C81" s="394">
        <f>Input!C199</f>
        <v>12627</v>
      </c>
      <c r="D81" s="394">
        <f>Input!D199</f>
        <v>0</v>
      </c>
      <c r="E81" s="394">
        <f>Input!E199</f>
        <v>0</v>
      </c>
      <c r="F81" s="395">
        <f t="shared" ref="F81:F86" si="7">C81+D81*CH4_GWP+E81*N2O_GWP</f>
        <v>12627</v>
      </c>
    </row>
    <row r="82" spans="2:7">
      <c r="B82" s="388" t="s">
        <v>271</v>
      </c>
      <c r="C82" s="394">
        <f>Input!C200</f>
        <v>0</v>
      </c>
      <c r="D82" s="394">
        <f>Input!D200</f>
        <v>0</v>
      </c>
      <c r="E82" s="394">
        <f>Input!E200</f>
        <v>0</v>
      </c>
      <c r="F82" s="395">
        <f t="shared" si="7"/>
        <v>0</v>
      </c>
    </row>
    <row r="83" spans="2:7">
      <c r="B83" s="388" t="s">
        <v>331</v>
      </c>
      <c r="C83" s="394">
        <f>Input!C201</f>
        <v>4049.2068880487527</v>
      </c>
      <c r="D83" s="1645">
        <f>Input!D201</f>
        <v>10.490857046064631</v>
      </c>
      <c r="E83" s="1645">
        <f>Input!E201</f>
        <v>7.2979005040374648E-2</v>
      </c>
      <c r="F83" s="395">
        <f t="shared" si="7"/>
        <v>4333.2260577024008</v>
      </c>
    </row>
    <row r="84" spans="2:7">
      <c r="B84" s="388" t="s">
        <v>338</v>
      </c>
      <c r="C84" s="394">
        <f>Input!C202</f>
        <v>0</v>
      </c>
      <c r="D84" s="1645">
        <f>Input!D202</f>
        <v>0</v>
      </c>
      <c r="E84" s="1645">
        <f>Input!E202</f>
        <v>0</v>
      </c>
      <c r="F84" s="395">
        <f t="shared" si="7"/>
        <v>0</v>
      </c>
    </row>
    <row r="85" spans="2:7">
      <c r="B85" s="388" t="s">
        <v>210</v>
      </c>
      <c r="C85" s="394">
        <f>Input!C203</f>
        <v>418.6417385810069</v>
      </c>
      <c r="D85" s="1645">
        <f>Input!D203</f>
        <v>0.69152175345783629</v>
      </c>
      <c r="E85" s="1645">
        <f>Input!E203</f>
        <v>9.4362678497567284E-3</v>
      </c>
      <c r="F85" s="395">
        <f t="shared" si="7"/>
        <v>438.74179023668034</v>
      </c>
    </row>
    <row r="86" spans="2:7">
      <c r="B86" s="397" t="s">
        <v>332</v>
      </c>
      <c r="C86" s="394">
        <f>Input!C204</f>
        <v>0</v>
      </c>
      <c r="D86" s="1645">
        <f>Input!D204</f>
        <v>0</v>
      </c>
      <c r="E86" s="1645">
        <f>Input!E204</f>
        <v>0</v>
      </c>
      <c r="F86" s="395">
        <f t="shared" si="7"/>
        <v>0</v>
      </c>
    </row>
    <row r="87" spans="2:7">
      <c r="B87" s="399" t="s">
        <v>339</v>
      </c>
      <c r="C87" s="400">
        <f>SUM(C81:C86)</f>
        <v>17094.848626629759</v>
      </c>
      <c r="D87" s="401">
        <f>SUM(D81:D86)</f>
        <v>11.182378799522468</v>
      </c>
      <c r="E87" s="1333">
        <f>SUM(E81:E86)</f>
        <v>8.2415272890131369E-2</v>
      </c>
      <c r="F87" s="402">
        <f t="shared" ref="F87" si="8">C87+D87*CH4_GWP+E87*N2O_GWP</f>
        <v>17398.967847939079</v>
      </c>
    </row>
    <row r="88" spans="2:7">
      <c r="B88" s="387" t="s">
        <v>1275</v>
      </c>
      <c r="C88" s="396"/>
      <c r="D88" s="1332"/>
      <c r="E88" s="1334"/>
      <c r="F88" s="395"/>
    </row>
    <row r="89" spans="2:7">
      <c r="B89" s="388" t="s">
        <v>330</v>
      </c>
      <c r="C89" s="394">
        <f>Input!C207</f>
        <v>13155</v>
      </c>
      <c r="D89" s="394">
        <f>Input!D207</f>
        <v>0</v>
      </c>
      <c r="E89" s="1644">
        <f>Input!E207</f>
        <v>0</v>
      </c>
      <c r="F89" s="395">
        <f t="shared" ref="F89:F95" si="9">C89+D89*CH4_GWP+E89*N2O_GWP</f>
        <v>13155</v>
      </c>
    </row>
    <row r="90" spans="2:7">
      <c r="B90" s="388" t="s">
        <v>271</v>
      </c>
      <c r="C90" s="394">
        <f>Input!C208</f>
        <v>0</v>
      </c>
      <c r="D90" s="394">
        <f>Input!D208</f>
        <v>0</v>
      </c>
      <c r="E90" s="1644">
        <f>Input!E208</f>
        <v>0</v>
      </c>
      <c r="F90" s="395">
        <f t="shared" si="9"/>
        <v>0</v>
      </c>
    </row>
    <row r="91" spans="2:7">
      <c r="B91" s="388" t="s">
        <v>331</v>
      </c>
      <c r="C91" s="394">
        <f>Input!C209</f>
        <v>7386.3022257664425</v>
      </c>
      <c r="D91" s="394">
        <f>Input!D209</f>
        <v>20.455409613024798</v>
      </c>
      <c r="E91" s="1644">
        <f>Input!E209</f>
        <v>0.1377479536665745</v>
      </c>
      <c r="F91" s="395">
        <f t="shared" si="9"/>
        <v>7938.7363562847013</v>
      </c>
    </row>
    <row r="92" spans="2:7">
      <c r="B92" s="388" t="s">
        <v>338</v>
      </c>
      <c r="C92" s="394">
        <f>Input!C210</f>
        <v>0</v>
      </c>
      <c r="D92" s="394">
        <f>Input!D210</f>
        <v>0</v>
      </c>
      <c r="E92" s="1644">
        <f>Input!E210</f>
        <v>0</v>
      </c>
      <c r="F92" s="395">
        <f t="shared" si="9"/>
        <v>0</v>
      </c>
    </row>
    <row r="93" spans="2:7">
      <c r="B93" s="388" t="s">
        <v>210</v>
      </c>
      <c r="C93" s="394">
        <f>Input!C211</f>
        <v>376.33245740004946</v>
      </c>
      <c r="D93" s="394">
        <f>Input!D211</f>
        <v>0.65801921931266627</v>
      </c>
      <c r="E93" s="1644">
        <f>Input!E211</f>
        <v>6.2889710524869739E-3</v>
      </c>
      <c r="F93" s="395">
        <f t="shared" si="9"/>
        <v>394.65705125650726</v>
      </c>
    </row>
    <row r="94" spans="2:7">
      <c r="B94" s="397" t="s">
        <v>332</v>
      </c>
      <c r="C94" s="394">
        <f>Input!C212</f>
        <v>0</v>
      </c>
      <c r="D94" s="394">
        <f>Input!D212</f>
        <v>0</v>
      </c>
      <c r="E94" s="1644">
        <f>Input!E212</f>
        <v>0</v>
      </c>
      <c r="F94" s="395">
        <f t="shared" si="9"/>
        <v>0</v>
      </c>
    </row>
    <row r="95" spans="2:7">
      <c r="B95" s="399" t="s">
        <v>341</v>
      </c>
      <c r="C95" s="400">
        <f>SUM(C89:C94)</f>
        <v>20917.634683166492</v>
      </c>
      <c r="D95" s="401">
        <f>SUM(D89:D94)</f>
        <v>21.113428832337465</v>
      </c>
      <c r="E95" s="1333">
        <f>SUM(E89:E94)</f>
        <v>0.14403692471906146</v>
      </c>
      <c r="F95" s="402">
        <f t="shared" si="9"/>
        <v>21488.393407541211</v>
      </c>
    </row>
    <row r="96" spans="2:7">
      <c r="B96" s="387" t="s">
        <v>1273</v>
      </c>
      <c r="C96" s="387"/>
      <c r="D96" s="1327"/>
      <c r="E96" s="1327"/>
      <c r="F96" s="1327"/>
      <c r="G96" s="387"/>
    </row>
    <row r="97" spans="2:7">
      <c r="B97" s="388" t="s">
        <v>330</v>
      </c>
      <c r="C97" s="394">
        <f>Input!C215</f>
        <v>11532.928397010797</v>
      </c>
      <c r="D97" s="1644">
        <f>Input!D215</f>
        <v>0</v>
      </c>
      <c r="E97" s="1644">
        <f>Input!E215</f>
        <v>0</v>
      </c>
      <c r="F97" s="395">
        <v>11532.928397010797</v>
      </c>
    </row>
    <row r="98" spans="2:7">
      <c r="B98" s="388" t="s">
        <v>271</v>
      </c>
      <c r="C98" s="394">
        <f>Input!C216</f>
        <v>0</v>
      </c>
      <c r="D98" s="1644">
        <f>Input!D216</f>
        <v>0</v>
      </c>
      <c r="E98" s="1644">
        <f>Input!E216</f>
        <v>0</v>
      </c>
      <c r="F98" s="395"/>
    </row>
    <row r="99" spans="2:7" ht="17.25" customHeight="1">
      <c r="B99" s="388" t="s">
        <v>331</v>
      </c>
      <c r="C99" s="394">
        <f>Input!C217</f>
        <v>13232.458545744157</v>
      </c>
      <c r="D99" s="1644">
        <f>Input!D217</f>
        <v>0</v>
      </c>
      <c r="E99" s="1644">
        <f>Input!E217</f>
        <v>0</v>
      </c>
      <c r="F99" s="395">
        <v>13232.458545744157</v>
      </c>
    </row>
    <row r="100" spans="2:7">
      <c r="B100" s="388" t="s">
        <v>338</v>
      </c>
      <c r="C100" s="394">
        <f>Input!C218</f>
        <v>0</v>
      </c>
      <c r="D100" s="1644">
        <f>Input!D218</f>
        <v>0</v>
      </c>
      <c r="E100" s="1644">
        <f>Input!E218</f>
        <v>0</v>
      </c>
      <c r="F100" s="395"/>
    </row>
    <row r="101" spans="2:7">
      <c r="B101" s="388" t="s">
        <v>210</v>
      </c>
      <c r="C101" s="394">
        <f>Input!C219</f>
        <v>491.24811965733971</v>
      </c>
      <c r="D101" s="1644">
        <f>Input!D219</f>
        <v>0</v>
      </c>
      <c r="E101" s="1644">
        <f>Input!E219</f>
        <v>0</v>
      </c>
      <c r="F101" s="395">
        <v>491.24811965733971</v>
      </c>
    </row>
    <row r="102" spans="2:7">
      <c r="B102" s="397" t="s">
        <v>332</v>
      </c>
      <c r="C102" s="394">
        <f>Input!C220</f>
        <v>0</v>
      </c>
      <c r="D102" s="1644">
        <f>Input!D220</f>
        <v>0</v>
      </c>
      <c r="E102" s="1644">
        <f>Input!E220</f>
        <v>0</v>
      </c>
      <c r="F102" s="398"/>
    </row>
    <row r="103" spans="2:7">
      <c r="B103" s="397" t="s">
        <v>1277</v>
      </c>
      <c r="C103" s="394">
        <f>Input!C221</f>
        <v>-1006.1280218618485</v>
      </c>
      <c r="D103" s="1644">
        <f>Input!D221</f>
        <v>0</v>
      </c>
      <c r="E103" s="1644">
        <f>Input!E221</f>
        <v>0</v>
      </c>
      <c r="F103" s="398">
        <v>-1006.1280218618485</v>
      </c>
    </row>
    <row r="104" spans="2:7">
      <c r="B104" s="399" t="s">
        <v>1362</v>
      </c>
      <c r="C104" s="400">
        <f>SUM(C97:C103)</f>
        <v>24250.507040550445</v>
      </c>
      <c r="D104" s="1646">
        <f t="shared" ref="D104:E104" si="10">SUM(D97:D103)</f>
        <v>0</v>
      </c>
      <c r="E104" s="1646">
        <f t="shared" si="10"/>
        <v>0</v>
      </c>
      <c r="F104" s="402">
        <f>SUM(F97:F103)</f>
        <v>24250.507040550445</v>
      </c>
    </row>
    <row r="108" spans="2:7">
      <c r="B108" s="317" t="s">
        <v>542</v>
      </c>
    </row>
    <row r="109" spans="2:7" s="510" customFormat="1">
      <c r="B109" s="304" t="s">
        <v>543</v>
      </c>
      <c r="C109" s="413" t="s">
        <v>544</v>
      </c>
      <c r="D109" s="1753" t="s">
        <v>545</v>
      </c>
      <c r="E109" s="1753"/>
      <c r="F109" s="1753"/>
      <c r="G109" s="1753"/>
    </row>
    <row r="110" spans="2:7" s="510" customFormat="1" ht="32.25" thickBot="1">
      <c r="B110" s="228" t="s">
        <v>275</v>
      </c>
      <c r="C110" s="239" t="s">
        <v>563</v>
      </c>
      <c r="D110" s="279" t="s">
        <v>277</v>
      </c>
      <c r="E110" s="279" t="s">
        <v>278</v>
      </c>
      <c r="F110" s="279" t="s">
        <v>279</v>
      </c>
      <c r="G110" s="279" t="s">
        <v>276</v>
      </c>
    </row>
    <row r="111" spans="2:7" ht="15.75" thickTop="1">
      <c r="B111" s="311" t="s">
        <v>561</v>
      </c>
      <c r="C111" s="1364">
        <f>'PSE LNG Operations'!D24/('Direct End use'!E42*1000)</f>
        <v>7.5113713392555626E-2</v>
      </c>
      <c r="D111" s="513">
        <f>$C$111*C95/1000</f>
        <v>1.571201216441549</v>
      </c>
      <c r="E111" s="513">
        <f>$C$111*D95/1000</f>
        <v>1.5859080420463168E-3</v>
      </c>
      <c r="F111" s="513">
        <f>$C$111*E95/1000</f>
        <v>1.0819148281292694E-5</v>
      </c>
      <c r="G111" s="379">
        <f>D111+E111*CH4_GWP+F111*N2O_GWP</f>
        <v>1.6140730236805323</v>
      </c>
    </row>
    <row r="112" spans="2:7" s="510" customFormat="1">
      <c r="B112" s="310" t="s">
        <v>211</v>
      </c>
      <c r="C112" s="272"/>
      <c r="D112" s="299">
        <f>SUM(D111:D111)</f>
        <v>1.571201216441549</v>
      </c>
      <c r="E112" s="299">
        <f>SUM(E111:E111)</f>
        <v>1.5859080420463168E-3</v>
      </c>
      <c r="F112" s="299">
        <f>SUM(F111:F111)</f>
        <v>1.0819148281292694E-5</v>
      </c>
      <c r="G112" s="300">
        <f>SUM(G111:G111)</f>
        <v>1.6140730236805323</v>
      </c>
    </row>
    <row r="117" spans="2:8">
      <c r="B117" s="317" t="s">
        <v>542</v>
      </c>
    </row>
    <row r="118" spans="2:8">
      <c r="B118" s="317" t="s">
        <v>1297</v>
      </c>
    </row>
    <row r="119" spans="2:8">
      <c r="B119" s="304" t="s">
        <v>1319</v>
      </c>
      <c r="C119" s="413" t="s">
        <v>544</v>
      </c>
      <c r="D119" s="1753" t="s">
        <v>562</v>
      </c>
      <c r="E119" s="1753"/>
      <c r="F119" s="1753"/>
      <c r="G119" s="1753"/>
    </row>
    <row r="120" spans="2:8" ht="18.75" thickBot="1">
      <c r="B120" s="228" t="s">
        <v>275</v>
      </c>
      <c r="C120" s="239" t="s">
        <v>446</v>
      </c>
      <c r="D120" s="1386" t="s">
        <v>277</v>
      </c>
      <c r="E120" s="1386" t="s">
        <v>278</v>
      </c>
      <c r="F120" s="1386" t="s">
        <v>279</v>
      </c>
      <c r="G120" s="1386" t="s">
        <v>276</v>
      </c>
    </row>
    <row r="121" spans="2:8" ht="15.75" thickTop="1">
      <c r="B121" s="1409" t="s">
        <v>1126</v>
      </c>
      <c r="C121" s="1410">
        <f>'End use Gig Harbor'!C16</f>
        <v>0</v>
      </c>
      <c r="D121" s="1404">
        <f>$C121*C$95/1000000</f>
        <v>0</v>
      </c>
      <c r="E121" s="1404">
        <f>$C121*D$95/1000000</f>
        <v>0</v>
      </c>
      <c r="F121" s="1404">
        <f>$C121*E$95/1000000</f>
        <v>0</v>
      </c>
      <c r="G121" s="1411">
        <f t="shared" ref="G121" si="11">D121+E121*CH4_GWP+F121*N2O_GWP</f>
        <v>0</v>
      </c>
    </row>
    <row r="122" spans="2:8">
      <c r="C122" s="441"/>
      <c r="D122" s="518"/>
      <c r="E122" s="518"/>
      <c r="F122" s="518"/>
      <c r="G122" s="343"/>
    </row>
    <row r="123" spans="2:8">
      <c r="C123" s="441"/>
      <c r="D123" s="518"/>
      <c r="E123" s="518"/>
      <c r="F123" s="518"/>
      <c r="G123" s="343"/>
    </row>
    <row r="124" spans="2:8" ht="15.75">
      <c r="B124" s="1427" t="s">
        <v>1439</v>
      </c>
      <c r="C124" s="390"/>
      <c r="D124" s="390"/>
      <c r="E124" s="390"/>
      <c r="F124" s="390"/>
    </row>
    <row r="125" spans="2:8" ht="18.75" thickBot="1">
      <c r="B125" s="385" t="s">
        <v>317</v>
      </c>
      <c r="C125" s="385" t="s">
        <v>1154</v>
      </c>
      <c r="D125" s="385" t="s">
        <v>1155</v>
      </c>
      <c r="E125" s="385" t="s">
        <v>1156</v>
      </c>
      <c r="F125" s="385" t="s">
        <v>1157</v>
      </c>
      <c r="G125" s="385" t="s">
        <v>1440</v>
      </c>
      <c r="H125" s="385"/>
    </row>
    <row r="126" spans="2:8" ht="15.75" thickTop="1">
      <c r="B126" s="387" t="s">
        <v>545</v>
      </c>
      <c r="C126" s="1184"/>
      <c r="D126" s="1184"/>
      <c r="E126" s="1184"/>
      <c r="F126" s="1184"/>
    </row>
    <row r="127" spans="2:8">
      <c r="B127" s="388" t="s">
        <v>316</v>
      </c>
      <c r="C127" s="1187">
        <f>D21</f>
        <v>458.01541704609349</v>
      </c>
      <c r="D127" s="1187">
        <f>E21</f>
        <v>16.140940450967136</v>
      </c>
      <c r="E127" s="1187">
        <f>F21</f>
        <v>2.8221590437285945E-2</v>
      </c>
      <c r="F127" s="1190">
        <f>C127+D127*CH4_GWP+E127*N2O_GWP</f>
        <v>869.94896227058314</v>
      </c>
      <c r="G127" s="1502">
        <f>G16</f>
        <v>85527.706636704665</v>
      </c>
      <c r="H127" s="235" t="s">
        <v>23</v>
      </c>
    </row>
    <row r="128" spans="2:8">
      <c r="B128" s="388" t="s">
        <v>479</v>
      </c>
      <c r="C128" s="1188">
        <f>D47</f>
        <v>275.26159999999999</v>
      </c>
      <c r="D128" s="1188">
        <f>E47</f>
        <v>0.52572000000000008</v>
      </c>
      <c r="E128" s="1188">
        <f>F47</f>
        <v>5.3920000000000001E-3</v>
      </c>
      <c r="F128" s="1190">
        <f>C128+D128*CH4_GWP+E128*N2O_GWP</f>
        <v>290.011416</v>
      </c>
      <c r="G128" s="1501">
        <f>C46/1000</f>
        <v>1.3480000000000001</v>
      </c>
      <c r="H128" s="235" t="s">
        <v>393</v>
      </c>
    </row>
    <row r="129" spans="1:8">
      <c r="B129" s="388" t="s">
        <v>1159</v>
      </c>
      <c r="C129" s="1189">
        <f>D111</f>
        <v>1.571201216441549</v>
      </c>
      <c r="D129" s="1189">
        <f>E111</f>
        <v>1.5859080420463168E-3</v>
      </c>
      <c r="E129" s="1189">
        <f>F111</f>
        <v>1.0819148281292694E-5</v>
      </c>
      <c r="F129" s="1190">
        <f>C129+D129*CH4_GWP+E129*N2O_GWP</f>
        <v>1.6140730236805323</v>
      </c>
      <c r="G129" s="1503">
        <f>C111*1000</f>
        <v>75.113713392555624</v>
      </c>
      <c r="H129" s="235" t="s">
        <v>23</v>
      </c>
    </row>
    <row r="130" spans="1:8">
      <c r="B130" s="389" t="s">
        <v>1160</v>
      </c>
      <c r="C130" s="1192">
        <f>D52</f>
        <v>9.1890000000000001</v>
      </c>
      <c r="D130" s="1192">
        <f>E52</f>
        <v>1.755E-2</v>
      </c>
      <c r="E130" s="1192">
        <f>F52</f>
        <v>1.7999999999999998E-4</v>
      </c>
      <c r="F130" s="1398">
        <f t="shared" ref="F130" si="12">C130+D130*CH4_GWP+E130*N2O_GWP</f>
        <v>9.6813900000000004</v>
      </c>
      <c r="G130" s="272">
        <f>C51/1000</f>
        <v>4.4999999999999998E-2</v>
      </c>
      <c r="H130" s="272" t="s">
        <v>393</v>
      </c>
    </row>
    <row r="131" spans="1:8">
      <c r="B131" s="1183" t="s">
        <v>1363</v>
      </c>
      <c r="C131" s="1191">
        <f>SUM(C126:C130)</f>
        <v>744.03721826253502</v>
      </c>
      <c r="D131" s="1191">
        <f>SUM(D126:D130)</f>
        <v>16.685796359009181</v>
      </c>
      <c r="E131" s="1191">
        <f>SUM(E126:E130)</f>
        <v>3.3804409585567234E-2</v>
      </c>
      <c r="F131" s="1191">
        <f>SUM(F126:F130)</f>
        <v>1171.2558412942635</v>
      </c>
    </row>
    <row r="133" spans="1:8">
      <c r="B133" s="317" t="s">
        <v>533</v>
      </c>
    </row>
    <row r="134" spans="1:8">
      <c r="B134" s="304" t="s">
        <v>1321</v>
      </c>
      <c r="C134" s="413" t="s">
        <v>544</v>
      </c>
      <c r="D134" s="1485"/>
      <c r="E134" s="1753" t="s">
        <v>1432</v>
      </c>
      <c r="F134" s="1753"/>
      <c r="G134" s="1753"/>
      <c r="H134" s="1753"/>
    </row>
    <row r="135" spans="1:8" ht="18.75" thickBot="1">
      <c r="B135" s="228" t="s">
        <v>275</v>
      </c>
      <c r="C135" s="239" t="s">
        <v>564</v>
      </c>
      <c r="D135" s="239" t="s">
        <v>2</v>
      </c>
      <c r="E135" s="1469" t="s">
        <v>277</v>
      </c>
      <c r="F135" s="1469" t="s">
        <v>278</v>
      </c>
      <c r="G135" s="1469" t="s">
        <v>279</v>
      </c>
      <c r="H135" s="1469" t="s">
        <v>276</v>
      </c>
    </row>
    <row r="136" spans="1:8" ht="15.75" thickTop="1">
      <c r="A136" s="235" t="s">
        <v>1433</v>
      </c>
      <c r="B136" s="235" t="s">
        <v>389</v>
      </c>
      <c r="C136" s="441">
        <f>'Direct End use'!F23</f>
        <v>750.41724119311561</v>
      </c>
      <c r="D136" s="441" t="s">
        <v>233</v>
      </c>
      <c r="E136" s="251">
        <f>$C136*C$95/1000</f>
        <v>15696.95371122723</v>
      </c>
      <c r="F136" s="251">
        <f>$C136*D$95/1000</f>
        <v>15.843881016489865</v>
      </c>
      <c r="G136" s="1405">
        <f>$C136*E$95/1000</f>
        <v>0.10808779167761859</v>
      </c>
      <c r="H136" s="398">
        <f t="shared" ref="H136:H142" si="13">E136+F136*CH4_GWP+G136*N2O_GWP</f>
        <v>16125.260898559407</v>
      </c>
    </row>
    <row r="137" spans="1:8">
      <c r="A137" s="235" t="s">
        <v>142</v>
      </c>
      <c r="B137" s="1298" t="s">
        <v>1434</v>
      </c>
      <c r="C137" s="441">
        <f>'Direct End use'!F26</f>
        <v>0</v>
      </c>
      <c r="D137" s="441" t="s">
        <v>204</v>
      </c>
      <c r="E137" s="251">
        <f>(Input!D154+'PSE LNG Operations'!L78)*$C137/1000</f>
        <v>0</v>
      </c>
      <c r="F137" s="294">
        <f>(Input!E154+'PSE LNG Operations'!M78)*$C137/1000</f>
        <v>0</v>
      </c>
      <c r="G137" s="294">
        <f>(Input!F154+'PSE LNG Operations'!N78)*$C137/1000</f>
        <v>0</v>
      </c>
      <c r="H137" s="398">
        <f>E137+F137*CH4_GWP+G137*N2O_GWP</f>
        <v>0</v>
      </c>
    </row>
    <row r="138" spans="1:8">
      <c r="A138" s="235" t="s">
        <v>1433</v>
      </c>
      <c r="B138" s="1298" t="s">
        <v>1348</v>
      </c>
      <c r="C138" s="1399">
        <f>'End use Gig Harbor'!C17/1000</f>
        <v>0</v>
      </c>
      <c r="D138" s="1399" t="s">
        <v>233</v>
      </c>
      <c r="E138" s="294">
        <f t="shared" ref="E138:G139" si="14">$C138*C$95/1000</f>
        <v>0</v>
      </c>
      <c r="F138" s="1405">
        <f t="shared" si="14"/>
        <v>0</v>
      </c>
      <c r="G138" s="1405">
        <f t="shared" si="14"/>
        <v>0</v>
      </c>
      <c r="H138" s="1499">
        <f t="shared" si="13"/>
        <v>0</v>
      </c>
    </row>
    <row r="139" spans="1:8">
      <c r="A139" s="235" t="s">
        <v>1433</v>
      </c>
      <c r="B139" s="1298" t="s">
        <v>1349</v>
      </c>
      <c r="C139" s="335">
        <f>'Direct End use'!F29</f>
        <v>0</v>
      </c>
      <c r="D139" s="335" t="s">
        <v>233</v>
      </c>
      <c r="E139" s="251">
        <f t="shared" si="14"/>
        <v>0</v>
      </c>
      <c r="F139" s="294">
        <f t="shared" si="14"/>
        <v>0</v>
      </c>
      <c r="G139" s="1405">
        <f t="shared" si="14"/>
        <v>0</v>
      </c>
      <c r="H139" s="398">
        <f t="shared" si="13"/>
        <v>0</v>
      </c>
    </row>
    <row r="140" spans="1:8">
      <c r="A140" s="235" t="s">
        <v>506</v>
      </c>
      <c r="B140" s="1298" t="s">
        <v>1346</v>
      </c>
      <c r="C140" s="335">
        <f>'Direct End use'!F33</f>
        <v>3014.4260578727453</v>
      </c>
      <c r="D140" s="335" t="s">
        <v>1435</v>
      </c>
      <c r="E140" s="251">
        <f>$C140*C$87/1000</f>
        <v>51531.157155502857</v>
      </c>
      <c r="F140" s="251">
        <f t="shared" ref="F140:G142" si="15">$C140*D$87/1000</f>
        <v>33.708454042284274</v>
      </c>
      <c r="G140" s="1405">
        <f t="shared" si="15"/>
        <v>0.24843474616670524</v>
      </c>
      <c r="H140" s="398">
        <f t="shared" si="13"/>
        <v>52447.902060917644</v>
      </c>
    </row>
    <row r="141" spans="1:8">
      <c r="A141" s="235" t="s">
        <v>506</v>
      </c>
      <c r="B141" s="1298" t="s">
        <v>372</v>
      </c>
      <c r="C141" s="335">
        <f>'Direct End use'!F37</f>
        <v>0</v>
      </c>
      <c r="D141" s="335" t="s">
        <v>1435</v>
      </c>
      <c r="E141" s="251">
        <f>$C141*C$87/1000</f>
        <v>0</v>
      </c>
      <c r="F141" s="294">
        <f t="shared" si="15"/>
        <v>0</v>
      </c>
      <c r="G141" s="1405">
        <f t="shared" si="15"/>
        <v>0</v>
      </c>
      <c r="H141" s="398">
        <f t="shared" si="13"/>
        <v>0</v>
      </c>
    </row>
    <row r="142" spans="1:8">
      <c r="A142" s="235" t="s">
        <v>1433</v>
      </c>
      <c r="B142" s="235" t="s">
        <v>1350</v>
      </c>
      <c r="C142" s="359">
        <f>'Direct End use'!F41</f>
        <v>3257.0857048063649</v>
      </c>
      <c r="D142" s="359" t="s">
        <v>1435</v>
      </c>
      <c r="E142" s="251">
        <f>$C142*C$87/1000</f>
        <v>55679.387087624506</v>
      </c>
      <c r="F142" s="251">
        <f t="shared" si="15"/>
        <v>36.421966133654387</v>
      </c>
      <c r="G142" s="1405">
        <f t="shared" si="15"/>
        <v>0.26843360718816245</v>
      </c>
      <c r="H142" s="398">
        <f t="shared" si="13"/>
        <v>56669.929455907935</v>
      </c>
    </row>
    <row r="143" spans="1:8">
      <c r="B143" s="275" t="s">
        <v>211</v>
      </c>
      <c r="C143" s="341"/>
      <c r="D143" s="341"/>
      <c r="E143" s="1486">
        <f>SUM(E136:E142)</f>
        <v>122907.49795435459</v>
      </c>
      <c r="F143" s="1486">
        <f t="shared" ref="F143:H143" si="16">SUM(F136:F142)</f>
        <v>85.974301192428527</v>
      </c>
      <c r="G143" s="1487">
        <f t="shared" si="16"/>
        <v>0.62495614503248631</v>
      </c>
      <c r="H143" s="1486">
        <f t="shared" si="16"/>
        <v>125243.09241538498</v>
      </c>
    </row>
    <row r="144" spans="1:8">
      <c r="H144" s="359">
        <f>Results!E36</f>
        <v>125245.26871105208</v>
      </c>
    </row>
  </sheetData>
  <sheetProtection password="C8A2" sheet="1" objects="1" scenarios="1"/>
  <mergeCells count="15">
    <mergeCell ref="E134:H134"/>
    <mergeCell ref="C78:F78"/>
    <mergeCell ref="D109:G109"/>
    <mergeCell ref="E25:H25"/>
    <mergeCell ref="D50:G50"/>
    <mergeCell ref="D45:G45"/>
    <mergeCell ref="D40:G40"/>
    <mergeCell ref="D119:G119"/>
    <mergeCell ref="M5:P5"/>
    <mergeCell ref="M36:T36"/>
    <mergeCell ref="D62:G62"/>
    <mergeCell ref="D55:G55"/>
    <mergeCell ref="D3:G3"/>
    <mergeCell ref="D19:G19"/>
    <mergeCell ref="F14:G14"/>
  </mergeCells>
  <pageMargins left="0.7" right="0.7" top="0.75" bottom="0.75" header="0.3" footer="0.3"/>
  <pageSetup paperSize="9" scale="50" orientation="landscape" r:id="rId1"/>
  <headerFooter>
    <oddHeader>&amp;CTacoma LNG Facility DSEIS Life Cycle Analsis GHG Emission Calculations Scenario A</oddHeader>
    <oddFooter>Page &amp;P of &amp;N</oddFooter>
  </headerFooter>
  <rowBreaks count="1" manualBreakCount="1">
    <brk id="53"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C000"/>
  </sheetPr>
  <dimension ref="A1:BB156"/>
  <sheetViews>
    <sheetView showGridLines="0" zoomScale="90" zoomScaleNormal="90" workbookViewId="0">
      <selection activeCell="A2" sqref="A2"/>
    </sheetView>
  </sheetViews>
  <sheetFormatPr defaultColWidth="9.140625" defaultRowHeight="15"/>
  <cols>
    <col min="1" max="1" width="58.28515625" customWidth="1"/>
    <col min="2" max="2" width="11.42578125" customWidth="1"/>
    <col min="3" max="3" width="27.42578125" customWidth="1"/>
    <col min="4" max="4" width="17.7109375" customWidth="1"/>
    <col min="5" max="5" width="17.140625" customWidth="1"/>
    <col min="6" max="6" width="14.7109375" customWidth="1"/>
    <col min="7" max="8" width="13.5703125" customWidth="1"/>
    <col min="9" max="9" width="20.42578125" customWidth="1"/>
    <col min="10" max="10" width="14.140625" customWidth="1"/>
    <col min="11" max="11" width="20.28515625" customWidth="1"/>
    <col min="12" max="12" width="9.85546875" customWidth="1"/>
    <col min="13" max="13" width="9.28515625" customWidth="1"/>
    <col min="14" max="14" width="13.7109375" customWidth="1"/>
    <col min="15" max="15" width="12.140625" customWidth="1"/>
    <col min="16" max="16" width="12.5703125" customWidth="1"/>
    <col min="17" max="17" width="13" customWidth="1"/>
    <col min="18" max="18" width="15.28515625" bestFit="1" customWidth="1"/>
    <col min="19" max="19" width="14" customWidth="1"/>
    <col min="21" max="21" width="31" customWidth="1"/>
    <col min="22" max="23" width="12" customWidth="1"/>
    <col min="24" max="24" width="10.28515625" customWidth="1"/>
    <col min="25" max="25" width="9.85546875" customWidth="1"/>
    <col min="26" max="26" width="18" customWidth="1"/>
    <col min="27" max="27" width="12.7109375" customWidth="1"/>
    <col min="28" max="28" width="89.140625" customWidth="1"/>
    <col min="32" max="32" width="14.140625" customWidth="1"/>
    <col min="33" max="33" width="13.7109375" customWidth="1"/>
    <col min="34" max="34" width="20.140625" customWidth="1"/>
    <col min="38" max="38" width="13.28515625" bestFit="1" customWidth="1"/>
    <col min="39" max="39" width="12.85546875" customWidth="1"/>
    <col min="40" max="40" width="10.85546875" customWidth="1"/>
    <col min="41" max="41" width="10" customWidth="1"/>
    <col min="42" max="42" width="10.85546875" customWidth="1"/>
    <col min="43" max="43" width="11.5703125" customWidth="1"/>
    <col min="46" max="46" width="5.85546875" customWidth="1"/>
    <col min="47" max="47" width="13" customWidth="1"/>
    <col min="49" max="51" width="11.140625" customWidth="1"/>
    <col min="53" max="53" width="13.28515625" customWidth="1"/>
  </cols>
  <sheetData>
    <row r="1" spans="1:28">
      <c r="A1" t="s">
        <v>1553</v>
      </c>
    </row>
    <row r="2" spans="1:28" ht="18.75">
      <c r="B2" s="1426" t="s">
        <v>403</v>
      </c>
    </row>
    <row r="3" spans="1:28">
      <c r="B3" s="187" t="s">
        <v>444</v>
      </c>
      <c r="D3" s="327">
        <f>'Direct End use'!F42</f>
        <v>6839.2636127262322</v>
      </c>
      <c r="E3" s="187" t="s">
        <v>404</v>
      </c>
      <c r="F3" s="187"/>
      <c r="G3" s="187"/>
    </row>
    <row r="4" spans="1:28">
      <c r="B4" t="str">
        <f>Input!B11</f>
        <v>On-site Peak Shaving</v>
      </c>
      <c r="D4" s="183">
        <f>'Direct End use'!F22</f>
        <v>750.41724119311561</v>
      </c>
      <c r="E4" t="s">
        <v>404</v>
      </c>
      <c r="AB4" s="200"/>
    </row>
    <row r="5" spans="1:28">
      <c r="B5" t="s">
        <v>443</v>
      </c>
      <c r="D5" s="183">
        <f>'Direct End use'!F42-'Direct End use'!F22</f>
        <v>6088.8463715331163</v>
      </c>
      <c r="E5" t="s">
        <v>404</v>
      </c>
      <c r="AB5" s="200"/>
    </row>
    <row r="6" spans="1:28">
      <c r="AB6" s="200"/>
    </row>
    <row r="7" spans="1:28">
      <c r="B7" s="181" t="s">
        <v>400</v>
      </c>
      <c r="H7" s="181" t="s">
        <v>469</v>
      </c>
      <c r="M7" s="181" t="s">
        <v>385</v>
      </c>
      <c r="AB7" s="200"/>
    </row>
    <row r="8" spans="1:28">
      <c r="B8" t="s">
        <v>450</v>
      </c>
      <c r="D8" s="422">
        <f>Input!C29</f>
        <v>8520</v>
      </c>
      <c r="E8" t="s">
        <v>394</v>
      </c>
      <c r="H8" t="s">
        <v>450</v>
      </c>
      <c r="J8" s="422">
        <f>Input!C30</f>
        <v>8760</v>
      </c>
      <c r="K8" t="s">
        <v>394</v>
      </c>
      <c r="M8" t="s">
        <v>450</v>
      </c>
      <c r="O8" s="423">
        <f>Input!C31</f>
        <v>240</v>
      </c>
      <c r="P8" t="s">
        <v>394</v>
      </c>
      <c r="AB8" s="200"/>
    </row>
    <row r="9" spans="1:28">
      <c r="B9" t="s">
        <v>407</v>
      </c>
      <c r="D9" s="1298">
        <f>Input!D37</f>
        <v>9</v>
      </c>
      <c r="E9" t="s">
        <v>438</v>
      </c>
      <c r="H9" t="s">
        <v>451</v>
      </c>
      <c r="J9" s="338">
        <f>IF(scenario="B",2,1)*40417</f>
        <v>40417</v>
      </c>
      <c r="K9" t="s">
        <v>452</v>
      </c>
      <c r="M9" t="s">
        <v>466</v>
      </c>
      <c r="O9" s="1354">
        <f>Input!D42</f>
        <v>66</v>
      </c>
      <c r="P9" t="s">
        <v>438</v>
      </c>
      <c r="AB9" s="200"/>
    </row>
    <row r="10" spans="1:28">
      <c r="D10" s="335">
        <f>D9*J19</f>
        <v>76680</v>
      </c>
      <c r="E10" t="s">
        <v>446</v>
      </c>
      <c r="H10" t="s">
        <v>1240</v>
      </c>
      <c r="J10" s="207">
        <f>Input!D39</f>
        <v>35.6</v>
      </c>
      <c r="K10" t="s">
        <v>438</v>
      </c>
      <c r="M10" s="336" t="s">
        <v>395</v>
      </c>
      <c r="N10" s="182"/>
      <c r="O10" s="339">
        <f>O8*O9</f>
        <v>15840</v>
      </c>
      <c r="P10" s="322" t="s">
        <v>439</v>
      </c>
      <c r="AB10" s="200"/>
    </row>
    <row r="11" spans="1:28">
      <c r="B11" t="s">
        <v>408</v>
      </c>
      <c r="D11" s="1298">
        <f>Input!D38</f>
        <v>1.6</v>
      </c>
      <c r="E11" t="s">
        <v>438</v>
      </c>
      <c r="H11" s="187" t="s">
        <v>454</v>
      </c>
      <c r="I11" s="187"/>
      <c r="J11" s="327">
        <f>J10*J8</f>
        <v>311856</v>
      </c>
      <c r="K11" s="187" t="s">
        <v>472</v>
      </c>
      <c r="M11" s="182" t="s">
        <v>463</v>
      </c>
      <c r="N11" s="182"/>
      <c r="O11" s="1357">
        <f>Input!C52/1000</f>
        <v>4.4999999999999998E-2</v>
      </c>
      <c r="P11" s="337" t="s">
        <v>393</v>
      </c>
      <c r="AB11" s="200"/>
    </row>
    <row r="12" spans="1:28">
      <c r="D12" s="335">
        <f>D11*J19</f>
        <v>13632</v>
      </c>
      <c r="E12" t="s">
        <v>446</v>
      </c>
      <c r="H12" t="s">
        <v>473</v>
      </c>
      <c r="M12" s="182"/>
      <c r="N12" s="182"/>
      <c r="O12" s="340">
        <f>O11*Fuel_Specs!C25/1000000</f>
        <v>3.4720008976329357E-3</v>
      </c>
      <c r="P12" s="337" t="s">
        <v>437</v>
      </c>
      <c r="AB12" s="200"/>
    </row>
    <row r="13" spans="1:28">
      <c r="B13" s="187" t="s">
        <v>468</v>
      </c>
      <c r="C13" s="187"/>
      <c r="D13" s="1355">
        <f>D10+D12</f>
        <v>90312</v>
      </c>
      <c r="E13" s="187" t="s">
        <v>446</v>
      </c>
      <c r="F13" s="187"/>
      <c r="M13" s="182"/>
      <c r="N13" s="182"/>
      <c r="O13" s="182"/>
      <c r="P13" s="182" t="s">
        <v>566</v>
      </c>
      <c r="AB13" s="200"/>
    </row>
    <row r="14" spans="1:28">
      <c r="B14" t="s">
        <v>475</v>
      </c>
      <c r="D14" s="1715">
        <f>Input!D48</f>
        <v>0.99760000000000004</v>
      </c>
      <c r="G14" s="334"/>
      <c r="AB14" s="200"/>
    </row>
    <row r="15" spans="1:28">
      <c r="AB15" s="200"/>
    </row>
    <row r="16" spans="1:28">
      <c r="AB16" s="200"/>
    </row>
    <row r="17" spans="2:53">
      <c r="B17" s="181" t="s">
        <v>461</v>
      </c>
      <c r="H17" s="181" t="s">
        <v>392</v>
      </c>
      <c r="M17" s="181" t="s">
        <v>465</v>
      </c>
      <c r="AB17" s="200"/>
    </row>
    <row r="18" spans="2:53">
      <c r="B18" t="s">
        <v>549</v>
      </c>
      <c r="H18" t="s">
        <v>462</v>
      </c>
      <c r="J18">
        <v>1.35</v>
      </c>
      <c r="K18" t="s">
        <v>460</v>
      </c>
      <c r="N18" t="s">
        <v>356</v>
      </c>
      <c r="AB18" s="200"/>
    </row>
    <row r="19" spans="2:53">
      <c r="B19" t="s">
        <v>450</v>
      </c>
      <c r="D19" s="422">
        <f>Input!C32</f>
        <v>500</v>
      </c>
      <c r="E19" t="s">
        <v>394</v>
      </c>
      <c r="H19" t="s">
        <v>405</v>
      </c>
      <c r="J19" s="422">
        <f>Input!C28</f>
        <v>8520</v>
      </c>
      <c r="K19" t="s">
        <v>406</v>
      </c>
      <c r="M19" t="s">
        <v>464</v>
      </c>
      <c r="N19" s="188">
        <f>Fugitives!N58</f>
        <v>3.7810855629139071</v>
      </c>
      <c r="AB19" s="200"/>
    </row>
    <row r="20" spans="2:53">
      <c r="B20" t="s">
        <v>207</v>
      </c>
      <c r="D20" s="338">
        <v>1500</v>
      </c>
      <c r="E20" t="s">
        <v>457</v>
      </c>
      <c r="AB20" s="200"/>
    </row>
    <row r="21" spans="2:53">
      <c r="B21" t="s">
        <v>477</v>
      </c>
      <c r="D21" s="183">
        <f>D19*D20</f>
        <v>750000</v>
      </c>
      <c r="E21" t="s">
        <v>478</v>
      </c>
      <c r="AB21" s="200"/>
    </row>
    <row r="22" spans="2:53">
      <c r="B22" t="s">
        <v>546</v>
      </c>
      <c r="D22" s="207">
        <f>Input!D44</f>
        <v>104.6</v>
      </c>
      <c r="E22" t="s">
        <v>547</v>
      </c>
      <c r="F22" s="334"/>
      <c r="AB22" s="200"/>
      <c r="AF22" s="182"/>
      <c r="AG22" s="182"/>
      <c r="AH22" s="182"/>
      <c r="AI22" s="182"/>
      <c r="AJ22" s="182"/>
      <c r="AK22" s="182"/>
      <c r="AL22" s="182"/>
      <c r="AM22" s="182"/>
      <c r="AN22" s="182"/>
      <c r="AO22" s="182"/>
      <c r="AP22" s="182"/>
      <c r="AQ22" s="182"/>
      <c r="AR22" s="182"/>
      <c r="AS22" s="182"/>
      <c r="AT22" s="182"/>
      <c r="AU22" s="182"/>
      <c r="AV22" s="182"/>
      <c r="AW22" s="182"/>
      <c r="AX22" s="182"/>
    </row>
    <row r="23" spans="2:53">
      <c r="D23" s="183">
        <f>D22*D19</f>
        <v>52300</v>
      </c>
      <c r="E23" t="s">
        <v>548</v>
      </c>
      <c r="AB23" s="200"/>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row>
    <row r="24" spans="2:53">
      <c r="D24" s="183">
        <f>D23*Fuel_Specs!C14/1000000</f>
        <v>6666.3420635893117</v>
      </c>
      <c r="E24" t="s">
        <v>446</v>
      </c>
      <c r="AB24" s="200"/>
      <c r="AF24" s="182"/>
      <c r="AG24" s="182"/>
      <c r="AH24" s="182"/>
      <c r="AI24" s="182"/>
      <c r="AJ24" s="182"/>
      <c r="AK24" s="182"/>
      <c r="AL24" s="182"/>
      <c r="AM24" s="182"/>
      <c r="AN24" s="182"/>
      <c r="AO24" s="182"/>
      <c r="AP24" s="182"/>
      <c r="AQ24" s="182"/>
      <c r="AR24" s="182"/>
      <c r="AS24" s="182"/>
      <c r="AT24" s="182"/>
      <c r="AU24" s="182"/>
      <c r="AV24" s="182"/>
      <c r="AW24" s="182"/>
      <c r="AX24" s="182"/>
      <c r="AY24" s="182"/>
      <c r="AZ24" s="182"/>
      <c r="BA24" s="182"/>
    </row>
    <row r="25" spans="2:53">
      <c r="D25" s="511">
        <f>D24*1000/BtuperMJ/Fuel_Specs!N14</f>
        <v>164.31967206051402</v>
      </c>
      <c r="E25" t="s">
        <v>356</v>
      </c>
      <c r="AB25" s="200"/>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182"/>
    </row>
    <row r="26" spans="2:53" ht="21">
      <c r="AB26" s="200"/>
      <c r="AF26" s="182"/>
      <c r="AG26" s="1727" t="s">
        <v>1338</v>
      </c>
      <c r="AH26" s="182"/>
      <c r="AI26" s="1728"/>
      <c r="AJ26" s="182"/>
      <c r="AK26" s="182"/>
      <c r="AL26" s="182"/>
      <c r="AM26" s="182"/>
      <c r="AN26" s="182"/>
      <c r="AO26" s="182"/>
      <c r="AP26" s="182"/>
      <c r="AQ26" s="182"/>
      <c r="AR26" s="182"/>
      <c r="AS26" s="182"/>
      <c r="AT26" s="182"/>
      <c r="AU26" s="182"/>
      <c r="AV26" s="182"/>
      <c r="AW26" s="182"/>
      <c r="AX26" s="182"/>
      <c r="AY26" s="182"/>
      <c r="AZ26" s="182"/>
      <c r="BA26" s="182"/>
    </row>
    <row r="27" spans="2:53">
      <c r="D27" s="1724"/>
      <c r="E27" s="1724"/>
      <c r="F27" s="1724"/>
      <c r="G27" s="1724"/>
      <c r="H27" s="1724"/>
      <c r="I27" s="1724"/>
      <c r="J27" s="1724"/>
      <c r="K27" s="1724"/>
      <c r="L27" s="1724"/>
      <c r="M27" s="1724"/>
      <c r="N27" s="1724"/>
      <c r="O27" s="1724"/>
      <c r="P27" s="1724"/>
      <c r="Q27" s="1724"/>
      <c r="R27" s="1724"/>
      <c r="S27" s="1724"/>
      <c r="AB27" s="200"/>
      <c r="AF27" s="182"/>
      <c r="AG27" s="182" t="s">
        <v>353</v>
      </c>
      <c r="AH27" s="182"/>
      <c r="AI27" s="182"/>
      <c r="AJ27" s="182"/>
      <c r="AK27" s="182"/>
      <c r="AL27" s="182"/>
      <c r="AM27" s="182"/>
      <c r="AN27" s="182"/>
      <c r="AO27" s="1716"/>
      <c r="AP27" s="182"/>
      <c r="AQ27" s="182"/>
      <c r="AR27" s="182"/>
      <c r="AS27" s="182"/>
      <c r="AT27" s="182"/>
      <c r="AU27" s="182"/>
      <c r="AV27" s="182"/>
      <c r="AW27" s="182"/>
      <c r="AX27" s="182"/>
      <c r="AY27" s="182"/>
      <c r="AZ27" s="182"/>
      <c r="BA27" s="182"/>
    </row>
    <row r="28" spans="2:53" ht="18">
      <c r="D28" s="1724"/>
      <c r="E28" s="1724"/>
      <c r="F28" s="1724"/>
      <c r="G28" s="1724"/>
      <c r="H28" s="1724"/>
      <c r="I28" s="1724"/>
      <c r="J28" s="1724"/>
      <c r="K28" s="1724"/>
      <c r="L28" s="1724"/>
      <c r="M28" s="1724"/>
      <c r="N28" s="1724"/>
      <c r="O28" s="1724"/>
      <c r="P28" s="1724"/>
      <c r="Q28" s="1724"/>
      <c r="R28" s="1724"/>
      <c r="S28" s="1724"/>
      <c r="AB28" s="200"/>
      <c r="AF28" s="182"/>
      <c r="AG28" s="1720">
        <f>D25</f>
        <v>164.31967206051402</v>
      </c>
      <c r="AH28" s="182" t="s">
        <v>459</v>
      </c>
      <c r="AI28" s="182" t="s">
        <v>1127</v>
      </c>
      <c r="AJ28" s="182"/>
      <c r="AK28" s="182"/>
      <c r="AL28" s="182"/>
      <c r="AM28" s="182"/>
      <c r="AN28" s="182"/>
      <c r="AO28" s="308" t="s">
        <v>1128</v>
      </c>
      <c r="AP28" s="1720">
        <f>AP34+AI36+AP51+AL36+AI29+AU33</f>
        <v>47348.032208526383</v>
      </c>
      <c r="AQ28" s="182" t="s">
        <v>1129</v>
      </c>
      <c r="AR28" s="182"/>
      <c r="AS28" s="182"/>
      <c r="AT28" s="182"/>
      <c r="AU28" s="182"/>
      <c r="AV28" s="182"/>
      <c r="AY28" s="182"/>
      <c r="AZ28" s="182"/>
      <c r="BA28" s="182"/>
    </row>
    <row r="29" spans="2:53" ht="18">
      <c r="D29" s="1724"/>
      <c r="E29" s="1724"/>
      <c r="F29" s="1724"/>
      <c r="G29" s="1724"/>
      <c r="H29" s="1724"/>
      <c r="I29" s="1724"/>
      <c r="J29" s="1724"/>
      <c r="K29" s="1724"/>
      <c r="L29" s="1724"/>
      <c r="M29" s="1724"/>
      <c r="N29" s="1724"/>
      <c r="O29" s="1724"/>
      <c r="P29" s="1724"/>
      <c r="Q29" s="1724"/>
      <c r="R29" s="1724"/>
      <c r="S29" s="1724"/>
      <c r="AB29" s="200"/>
      <c r="AF29" s="182"/>
      <c r="AG29" s="1730">
        <f>AG28*Fuel_Specs!F14</f>
        <v>142.13651633234463</v>
      </c>
      <c r="AH29" s="182" t="s">
        <v>213</v>
      </c>
      <c r="AI29" s="1720">
        <f>I75</f>
        <v>523.11826437764432</v>
      </c>
      <c r="AJ29" s="182" t="s">
        <v>1129</v>
      </c>
      <c r="AK29" s="182"/>
      <c r="AL29" s="182"/>
      <c r="AM29" s="182"/>
      <c r="AN29" s="182"/>
      <c r="AO29" s="182"/>
      <c r="AP29" s="1730">
        <f>AP28*12/44</f>
        <v>12913.099693234468</v>
      </c>
      <c r="AQ29" s="182" t="s">
        <v>213</v>
      </c>
      <c r="AR29" s="182"/>
      <c r="AS29" s="182"/>
      <c r="AT29" s="182"/>
      <c r="AU29" s="182"/>
      <c r="AV29" s="182"/>
      <c r="AY29" s="182"/>
      <c r="AZ29" s="182"/>
      <c r="BA29" s="182"/>
    </row>
    <row r="30" spans="2:53">
      <c r="D30" s="1724"/>
      <c r="E30" s="1724"/>
      <c r="F30" s="1724"/>
      <c r="G30" s="1724"/>
      <c r="H30" s="1724"/>
      <c r="I30" s="1724"/>
      <c r="J30" s="1724"/>
      <c r="K30" s="1724"/>
      <c r="L30" s="1724"/>
      <c r="M30" s="1724"/>
      <c r="N30" s="1724"/>
      <c r="O30" s="1724"/>
      <c r="P30" s="1724"/>
      <c r="Q30" s="1724"/>
      <c r="R30" s="1724"/>
      <c r="S30" s="1724"/>
      <c r="AB30" s="200"/>
      <c r="AF30" s="182"/>
      <c r="AG30" s="1717">
        <f>D24/1000</f>
        <v>6.6663420635893118</v>
      </c>
      <c r="AH30" s="182" t="s">
        <v>449</v>
      </c>
      <c r="AI30" s="1730">
        <f>AI29*12/44</f>
        <v>142.66861755753936</v>
      </c>
      <c r="AJ30" s="182" t="s">
        <v>213</v>
      </c>
      <c r="AK30" s="182"/>
      <c r="AL30" s="182"/>
      <c r="AM30" s="182"/>
      <c r="AN30" s="182"/>
      <c r="AO30" s="182"/>
      <c r="AP30" s="182"/>
      <c r="AQ30" s="182"/>
      <c r="AR30" s="182"/>
      <c r="AS30" s="182"/>
      <c r="AT30" s="182"/>
      <c r="AU30" s="182"/>
      <c r="AV30" s="182"/>
      <c r="AY30" s="182"/>
      <c r="AZ30" s="182"/>
      <c r="BA30" s="182"/>
    </row>
    <row r="31" spans="2:53" ht="15.75" thickBot="1">
      <c r="D31" s="1724"/>
      <c r="E31" s="1724"/>
      <c r="F31" s="1724"/>
      <c r="G31" s="1724"/>
      <c r="H31" s="1724"/>
      <c r="I31" s="1724"/>
      <c r="J31" s="1724"/>
      <c r="K31" s="1724"/>
      <c r="L31" s="1724"/>
      <c r="M31" s="1724"/>
      <c r="N31" s="1724"/>
      <c r="O31" s="1724"/>
      <c r="P31" s="1724"/>
      <c r="Q31" s="1724"/>
      <c r="R31" s="1724"/>
      <c r="S31" s="1724"/>
      <c r="AB31" s="200"/>
      <c r="AF31" s="182"/>
      <c r="AG31" s="182"/>
      <c r="AH31" s="182"/>
      <c r="AI31" s="182"/>
      <c r="AJ31" s="182"/>
      <c r="AK31" s="182"/>
      <c r="AL31" s="182"/>
      <c r="AM31" s="182"/>
      <c r="AN31" s="182"/>
      <c r="AO31" s="182"/>
      <c r="AP31" s="182"/>
      <c r="AQ31" s="182"/>
      <c r="AR31" s="182"/>
      <c r="AS31" s="182"/>
      <c r="AT31" s="182"/>
      <c r="AU31" s="182" t="s">
        <v>52</v>
      </c>
      <c r="AV31" s="182"/>
      <c r="AY31" s="182"/>
      <c r="AZ31" s="182"/>
      <c r="BA31" s="182"/>
    </row>
    <row r="32" spans="2:53">
      <c r="D32" s="1724"/>
      <c r="E32" s="1724"/>
      <c r="F32" s="1724"/>
      <c r="G32" s="1724"/>
      <c r="H32" s="1724"/>
      <c r="I32" s="1724"/>
      <c r="J32" s="1724"/>
      <c r="K32" s="1724"/>
      <c r="L32" s="1724"/>
      <c r="M32" s="1724"/>
      <c r="N32" s="1724"/>
      <c r="O32" s="1724"/>
      <c r="P32" s="1724"/>
      <c r="Q32" s="1724"/>
      <c r="R32" s="1724"/>
      <c r="S32" s="1724"/>
      <c r="AB32" s="200"/>
      <c r="AF32" s="182"/>
      <c r="AG32" s="182"/>
      <c r="AH32" s="1759" t="s">
        <v>458</v>
      </c>
      <c r="AI32" s="182"/>
      <c r="AJ32" s="182"/>
      <c r="AK32" s="182"/>
      <c r="AL32" s="182"/>
      <c r="AM32" s="182"/>
      <c r="AN32" s="182"/>
      <c r="AO32" s="182"/>
      <c r="AP32" s="182"/>
      <c r="AQ32" s="182"/>
      <c r="AR32" s="182"/>
      <c r="AS32" s="182"/>
      <c r="AT32" s="182"/>
      <c r="AU32" s="182" t="str">
        <f>IF(Input!C24="NO","Product","Flared")</f>
        <v>Flared</v>
      </c>
      <c r="AV32" s="182"/>
      <c r="AY32" s="182"/>
      <c r="AZ32" s="182"/>
      <c r="BA32" s="182"/>
    </row>
    <row r="33" spans="4:54" ht="22.5" customHeight="1" thickBot="1">
      <c r="D33" s="1724"/>
      <c r="E33" s="1724"/>
      <c r="F33" s="1724"/>
      <c r="G33" s="1724"/>
      <c r="H33" s="1724"/>
      <c r="I33" s="1724"/>
      <c r="J33" s="1724"/>
      <c r="K33" s="1724"/>
      <c r="L33" s="1724"/>
      <c r="M33" s="1724"/>
      <c r="N33" s="1724"/>
      <c r="O33" s="1724"/>
      <c r="P33" s="1724" t="s">
        <v>1534</v>
      </c>
      <c r="Q33" s="1724"/>
      <c r="R33" s="1724"/>
      <c r="S33" s="1724"/>
      <c r="T33" s="1724"/>
      <c r="U33" s="1724"/>
      <c r="V33" s="1724"/>
      <c r="W33" s="1733"/>
      <c r="X33" s="1724"/>
      <c r="Y33" s="1724"/>
      <c r="Z33" s="1724"/>
      <c r="AA33" s="1724" t="s">
        <v>1535</v>
      </c>
      <c r="AB33" s="1734"/>
      <c r="AC33" s="1724"/>
      <c r="AD33" s="1724"/>
      <c r="AE33" s="1724"/>
      <c r="AF33" s="182"/>
      <c r="AG33" s="182"/>
      <c r="AH33" s="1760"/>
      <c r="AI33" s="182"/>
      <c r="AJ33" s="182"/>
      <c r="AK33" s="182"/>
      <c r="AL33" s="182"/>
      <c r="AM33" s="1718"/>
      <c r="AN33" s="182"/>
      <c r="AO33" s="182"/>
      <c r="AP33" s="182" t="s">
        <v>1270</v>
      </c>
      <c r="AQ33" s="182"/>
      <c r="AR33" s="182"/>
      <c r="AS33" s="182"/>
      <c r="AT33" s="1719"/>
      <c r="AU33" s="1720">
        <f>IF(Input!C24="YES",'PSE LNG Operations'!F74,0)</f>
        <v>11786.483274850061</v>
      </c>
      <c r="AV33" s="182" t="s">
        <v>1129</v>
      </c>
      <c r="AY33" s="182"/>
      <c r="AZ33" s="182" t="s">
        <v>873</v>
      </c>
      <c r="BA33" s="182"/>
    </row>
    <row r="34" spans="4:54" ht="18">
      <c r="D34" s="1724"/>
      <c r="E34" s="1724"/>
      <c r="F34" s="1724"/>
      <c r="G34" s="1724"/>
      <c r="H34" s="1724"/>
      <c r="I34" s="1724"/>
      <c r="J34" s="1724"/>
      <c r="K34" s="1724"/>
      <c r="L34" s="1724"/>
      <c r="M34" s="1724"/>
      <c r="N34" s="1724"/>
      <c r="O34" s="1724"/>
      <c r="P34" s="1724"/>
      <c r="Q34" s="1724"/>
      <c r="R34" s="1724"/>
      <c r="S34" s="1724"/>
      <c r="AB34" s="200"/>
      <c r="AF34" s="182"/>
      <c r="AG34" s="182"/>
      <c r="AH34" s="182"/>
      <c r="AI34" s="182"/>
      <c r="AJ34" s="182"/>
      <c r="AK34" s="182"/>
      <c r="AL34" s="182" t="s">
        <v>497</v>
      </c>
      <c r="AM34" s="1718"/>
      <c r="AN34" s="182"/>
      <c r="AO34" s="182"/>
      <c r="AP34" s="1720">
        <f>AP35*CO2_MW/C_MW</f>
        <v>27898.860380427741</v>
      </c>
      <c r="AQ34" s="182" t="s">
        <v>1129</v>
      </c>
      <c r="AR34" s="182"/>
      <c r="AS34" s="182"/>
      <c r="AT34" s="1719"/>
      <c r="AU34" s="1720">
        <f>AM41*Input!G131/Input!C131</f>
        <v>4360.828852226502</v>
      </c>
      <c r="AV34" s="182" t="s">
        <v>402</v>
      </c>
      <c r="AY34" s="182"/>
      <c r="AZ34" s="1725">
        <f>Input!D57/AU51</f>
        <v>6.2164386558460274</v>
      </c>
      <c r="BA34" s="182"/>
    </row>
    <row r="35" spans="4:54" ht="19.5">
      <c r="D35" s="1724"/>
      <c r="E35" s="1724"/>
      <c r="F35" s="1724"/>
      <c r="G35" s="1724"/>
      <c r="H35" s="1724"/>
      <c r="I35" s="1724"/>
      <c r="J35" s="1724"/>
      <c r="K35" s="1724"/>
      <c r="L35" s="1724"/>
      <c r="M35" s="1724"/>
      <c r="N35" s="1724"/>
      <c r="O35" s="1724"/>
      <c r="P35" s="1724"/>
      <c r="Q35" s="1724"/>
      <c r="R35" s="1724"/>
      <c r="S35" s="1724"/>
      <c r="U35" s="1425" t="s">
        <v>1366</v>
      </c>
      <c r="AB35" s="200"/>
      <c r="AF35" s="182"/>
      <c r="AG35" s="182"/>
      <c r="AH35" s="182"/>
      <c r="AI35" s="182" t="s">
        <v>1381</v>
      </c>
      <c r="AJ35" s="182"/>
      <c r="AK35" s="182"/>
      <c r="AL35" s="182" t="s">
        <v>1130</v>
      </c>
      <c r="AM35" s="182"/>
      <c r="AN35" s="182"/>
      <c r="AO35" s="182"/>
      <c r="AP35" s="1730">
        <f>AG40-AU35-AU42-AU47-AP52-AI51-AL37-AI38</f>
        <v>7615.7896113113229</v>
      </c>
      <c r="AQ35" s="182" t="s">
        <v>213</v>
      </c>
      <c r="AR35" s="182"/>
      <c r="AS35" s="182"/>
      <c r="AT35" s="1719"/>
      <c r="AU35" s="1730">
        <f>Fuel_Specs!F24*'PSE LNG Operations'!AU34</f>
        <v>3567.4009330966628</v>
      </c>
      <c r="AV35" s="182" t="s">
        <v>213</v>
      </c>
      <c r="AY35" s="182"/>
      <c r="AZ35" s="182"/>
      <c r="BA35" s="182"/>
    </row>
    <row r="36" spans="4:54" ht="18" customHeight="1" thickBot="1">
      <c r="D36" s="1724"/>
      <c r="E36" s="1724"/>
      <c r="F36" s="1724"/>
      <c r="G36" s="1724"/>
      <c r="H36" s="1724"/>
      <c r="I36" s="1724"/>
      <c r="J36" s="1724"/>
      <c r="K36" s="1724"/>
      <c r="L36" s="1724"/>
      <c r="M36" s="1724"/>
      <c r="N36" s="1724"/>
      <c r="O36" s="1724"/>
      <c r="P36" s="1724"/>
      <c r="Q36" s="1724"/>
      <c r="R36" s="1724"/>
      <c r="S36" s="1724"/>
      <c r="U36" s="1064"/>
      <c r="V36" s="1777" t="s">
        <v>503</v>
      </c>
      <c r="W36" s="1777"/>
      <c r="X36" s="1259" t="s">
        <v>1365</v>
      </c>
      <c r="Y36" s="1259" t="s">
        <v>224</v>
      </c>
      <c r="Z36" s="1442" t="s">
        <v>490</v>
      </c>
      <c r="AA36" s="1064"/>
      <c r="AB36" s="1064"/>
      <c r="AF36" s="182"/>
      <c r="AG36" s="182"/>
      <c r="AH36" s="182"/>
      <c r="AI36" s="1720">
        <f>F72</f>
        <v>5358.2014772399998</v>
      </c>
      <c r="AJ36" s="182" t="s">
        <v>1129</v>
      </c>
      <c r="AK36" s="182"/>
      <c r="AL36" s="1720">
        <f>F76</f>
        <v>841.58327483093922</v>
      </c>
      <c r="AM36" s="182" t="s">
        <v>1129</v>
      </c>
      <c r="AN36" s="182"/>
      <c r="AO36" s="182"/>
      <c r="AP36" s="182"/>
      <c r="AQ36" s="182"/>
      <c r="AR36" s="182"/>
      <c r="AS36" s="182"/>
      <c r="AT36" s="1719"/>
      <c r="AU36" s="1717">
        <f>AU34*1000*Fuel_Specs!N24*BtuperMJ/1000000000</f>
        <v>171.38134165693512</v>
      </c>
      <c r="AV36" s="182" t="s">
        <v>359</v>
      </c>
      <c r="AY36" s="182"/>
      <c r="AZ36" s="182"/>
      <c r="BA36" s="182"/>
    </row>
    <row r="37" spans="4:54" ht="20.25" customHeight="1">
      <c r="D37" s="1724"/>
      <c r="E37" s="1724"/>
      <c r="F37" s="1724"/>
      <c r="G37" s="1724"/>
      <c r="H37" s="1724"/>
      <c r="I37" s="1724"/>
      <c r="J37" s="1724"/>
      <c r="K37" s="1724"/>
      <c r="L37" s="1724"/>
      <c r="M37" s="1724"/>
      <c r="N37" s="1724"/>
      <c r="O37" s="1724"/>
      <c r="P37" s="1724"/>
      <c r="Q37" s="1724"/>
      <c r="R37" s="1724"/>
      <c r="S37" s="1724"/>
      <c r="U37" s="200"/>
      <c r="V37" s="221" t="s">
        <v>496</v>
      </c>
      <c r="W37" s="221" t="s">
        <v>489</v>
      </c>
      <c r="X37" s="221" t="s">
        <v>489</v>
      </c>
      <c r="Y37" s="221" t="s">
        <v>489</v>
      </c>
      <c r="Z37" s="1065" t="s">
        <v>489</v>
      </c>
      <c r="AA37" s="1065" t="s">
        <v>493</v>
      </c>
      <c r="AB37" s="1065" t="s">
        <v>20</v>
      </c>
      <c r="AF37" s="182"/>
      <c r="AG37" s="182"/>
      <c r="AH37" s="182"/>
      <c r="AI37" s="1720">
        <f>AI38/Fuel_Specs!F47</f>
        <v>1942.6245031065298</v>
      </c>
      <c r="AJ37" s="182" t="s">
        <v>401</v>
      </c>
      <c r="AK37" s="182"/>
      <c r="AL37" s="1730">
        <f>AL36*12/44</f>
        <v>229.52271131752886</v>
      </c>
      <c r="AM37" s="182" t="s">
        <v>213</v>
      </c>
      <c r="AN37" s="182"/>
      <c r="AO37" s="1782" t="s">
        <v>384</v>
      </c>
      <c r="AP37" s="1773"/>
      <c r="AQ37" s="182"/>
      <c r="AR37" s="182"/>
      <c r="AS37" s="182"/>
      <c r="AT37" s="1719"/>
      <c r="AU37" s="182"/>
      <c r="AV37" s="182"/>
      <c r="AY37" s="182"/>
      <c r="AZ37" s="182"/>
      <c r="BA37" s="182"/>
    </row>
    <row r="38" spans="4:54" ht="15.75" customHeight="1" thickBot="1">
      <c r="D38" s="1724"/>
      <c r="E38" s="1724"/>
      <c r="F38" s="1724"/>
      <c r="G38" s="1724"/>
      <c r="H38" s="1724"/>
      <c r="I38" s="1724"/>
      <c r="J38" s="1724"/>
      <c r="K38" s="1724"/>
      <c r="L38" s="1724"/>
      <c r="M38" s="1724"/>
      <c r="N38" s="1724"/>
      <c r="O38" s="1724"/>
      <c r="P38" s="1724"/>
      <c r="Q38" s="1724"/>
      <c r="R38" s="1724"/>
      <c r="S38" s="1724"/>
      <c r="U38" s="361"/>
      <c r="V38" s="1443"/>
      <c r="W38" s="1443"/>
      <c r="X38" s="1443"/>
      <c r="Y38" s="1443"/>
      <c r="Z38" s="781"/>
      <c r="AA38" s="361"/>
      <c r="AB38" s="361"/>
      <c r="AF38" s="182"/>
      <c r="AG38" s="182" t="s">
        <v>1473</v>
      </c>
      <c r="AH38" s="182"/>
      <c r="AI38" s="1730">
        <f>AI36*12/44</f>
        <v>1461.327675610909</v>
      </c>
      <c r="AJ38" s="182" t="s">
        <v>213</v>
      </c>
      <c r="AK38" s="182"/>
      <c r="AL38" s="182"/>
      <c r="AM38" s="182"/>
      <c r="AN38" s="182"/>
      <c r="AO38" s="1774"/>
      <c r="AP38" s="1775"/>
      <c r="AQ38" s="182"/>
      <c r="AR38" s="1761"/>
      <c r="AS38" s="182"/>
      <c r="AT38" s="1719"/>
      <c r="AU38" s="182"/>
      <c r="AV38" s="182"/>
      <c r="AY38" s="230">
        <f>AU34*$AZ$34</f>
        <v>27108.82504850949</v>
      </c>
      <c r="AZ38" s="1726" t="s">
        <v>496</v>
      </c>
      <c r="BA38" s="182"/>
    </row>
    <row r="39" spans="4:54" ht="15.75" customHeight="1" thickTop="1">
      <c r="D39" s="1724"/>
      <c r="E39" s="1724"/>
      <c r="F39" s="1724"/>
      <c r="G39" s="1724"/>
      <c r="H39" s="1724"/>
      <c r="I39" s="1724"/>
      <c r="J39" s="1724"/>
      <c r="K39" s="1724"/>
      <c r="L39" s="1724"/>
      <c r="M39" s="1724"/>
      <c r="N39" s="1724"/>
      <c r="O39" s="1724"/>
      <c r="P39" s="1724"/>
      <c r="Q39" s="1724"/>
      <c r="R39" s="1724"/>
      <c r="S39" s="1724"/>
      <c r="U39" s="222" t="s">
        <v>494</v>
      </c>
      <c r="V39" s="362"/>
      <c r="W39" s="362"/>
      <c r="X39" s="362"/>
      <c r="Y39" s="362"/>
      <c r="Z39" s="200"/>
      <c r="AA39" s="182"/>
      <c r="AB39" s="317"/>
      <c r="AF39" s="182"/>
      <c r="AG39" s="1720">
        <f>Input!C57*Input!D28/lbperkg/1000</f>
        <v>163119.48879615351</v>
      </c>
      <c r="AH39" s="182" t="s">
        <v>401</v>
      </c>
      <c r="AI39" s="182"/>
      <c r="AJ39" s="324"/>
      <c r="AK39" s="324"/>
      <c r="AL39" s="182"/>
      <c r="AM39" s="182"/>
      <c r="AN39" s="182"/>
      <c r="AO39" s="308"/>
      <c r="AP39" s="308"/>
      <c r="AQ39" s="182"/>
      <c r="AR39" s="1761"/>
      <c r="AS39" s="182"/>
      <c r="AT39" s="1719"/>
      <c r="AU39" s="182"/>
      <c r="AV39" s="182"/>
      <c r="AY39" s="182"/>
      <c r="AZ39" s="1726"/>
      <c r="BA39" s="182"/>
    </row>
    <row r="40" spans="4:54" ht="18" customHeight="1" thickBot="1">
      <c r="D40" s="1724"/>
      <c r="E40" s="1724"/>
      <c r="F40" s="1724"/>
      <c r="G40" s="1724"/>
      <c r="H40" s="1724"/>
      <c r="I40" s="1724"/>
      <c r="J40" s="1724"/>
      <c r="K40" s="1724"/>
      <c r="L40" s="1724"/>
      <c r="M40" s="1724"/>
      <c r="N40" s="1724"/>
      <c r="O40" s="1724"/>
      <c r="P40" s="1724"/>
      <c r="Q40" s="1724"/>
      <c r="R40" s="1724"/>
      <c r="S40" s="1724"/>
      <c r="U40" t="s">
        <v>495</v>
      </c>
      <c r="V40" s="1278">
        <f>Input!C57</f>
        <v>1012995</v>
      </c>
      <c r="W40" s="1447">
        <f>AG39</f>
        <v>163119.48879615351</v>
      </c>
      <c r="X40" s="362"/>
      <c r="Y40" s="362"/>
      <c r="Z40" s="327">
        <f>AG40</f>
        <v>122705.6608357065</v>
      </c>
      <c r="AA40" s="183"/>
      <c r="AB40" s="421"/>
      <c r="AF40" s="182"/>
      <c r="AG40" s="1730">
        <f>AG39*Input!C86</f>
        <v>122705.6608357065</v>
      </c>
      <c r="AH40" s="182" t="s">
        <v>213</v>
      </c>
      <c r="AI40" s="182"/>
      <c r="AJ40" s="324"/>
      <c r="AN40" s="182"/>
      <c r="AO40" s="182"/>
      <c r="AP40" s="182"/>
      <c r="AQ40" s="182"/>
      <c r="AR40" s="1761"/>
      <c r="AS40" s="230"/>
      <c r="AT40" s="1719"/>
      <c r="AU40" s="182" t="s">
        <v>347</v>
      </c>
      <c r="AV40" s="182"/>
      <c r="AY40" s="230"/>
      <c r="AZ40" s="1726"/>
      <c r="BA40" s="182"/>
    </row>
    <row r="41" spans="4:54" ht="15.75" customHeight="1" thickBot="1">
      <c r="D41" s="1724"/>
      <c r="E41" s="1724"/>
      <c r="F41" s="1724"/>
      <c r="G41" s="1724"/>
      <c r="H41" s="1724"/>
      <c r="I41" s="1724"/>
      <c r="J41" s="1724"/>
      <c r="K41" s="1724"/>
      <c r="L41" s="1724"/>
      <c r="M41" s="1724"/>
      <c r="N41" s="1724"/>
      <c r="O41" s="1724"/>
      <c r="P41" s="1724"/>
      <c r="Q41" s="1724"/>
      <c r="R41" s="1724"/>
      <c r="S41" s="1724"/>
      <c r="U41" s="187" t="s">
        <v>500</v>
      </c>
      <c r="V41" s="315">
        <f>SUM(V40)</f>
        <v>1012995</v>
      </c>
      <c r="W41" s="315">
        <f>SUM(W40:W40)</f>
        <v>163119.48879615351</v>
      </c>
      <c r="X41" s="301"/>
      <c r="Y41" s="301"/>
      <c r="Z41" s="327">
        <f>SUM(Z40:Z40)</f>
        <v>122705.6608357065</v>
      </c>
      <c r="AB41" s="421"/>
      <c r="AF41" s="182"/>
      <c r="AG41" s="1717">
        <f>AG39*1000*Fuel_Specs!N47*BtuperMJ/1000000000</f>
        <v>7578.3699635901958</v>
      </c>
      <c r="AH41" s="182" t="s">
        <v>449</v>
      </c>
      <c r="AI41" s="182"/>
      <c r="AJ41" s="1762" t="s">
        <v>400</v>
      </c>
      <c r="AK41" s="1763"/>
      <c r="AL41" s="1764"/>
      <c r="AM41" s="1545">
        <f>AG39-AI36</f>
        <v>157761.2873189135</v>
      </c>
      <c r="AN41" s="182" t="s">
        <v>401</v>
      </c>
      <c r="AO41" s="1783" t="s">
        <v>872</v>
      </c>
      <c r="AP41" s="1784"/>
      <c r="AQ41" s="182" t="s">
        <v>213</v>
      </c>
      <c r="AR41" s="182"/>
      <c r="AS41" s="182"/>
      <c r="AT41" s="1719"/>
      <c r="AU41" s="1720">
        <f>AU43*JperBtu/Fuel_Specs!N25</f>
        <v>129896.52480992481</v>
      </c>
      <c r="AV41" s="182" t="s">
        <v>445</v>
      </c>
      <c r="AY41" s="230">
        <f>AG39*$AZ$34</f>
        <v>1014022.2956742516</v>
      </c>
      <c r="AZ41" s="1726" t="s">
        <v>496</v>
      </c>
      <c r="BA41" s="230">
        <f>Upstream!C15</f>
        <v>1012995</v>
      </c>
      <c r="BB41" t="s">
        <v>1528</v>
      </c>
    </row>
    <row r="42" spans="4:54" ht="15.75" customHeight="1">
      <c r="D42" s="1724"/>
      <c r="E42" s="1724"/>
      <c r="F42" s="1724"/>
      <c r="G42" s="1724"/>
      <c r="H42" s="1724"/>
      <c r="I42" s="1724"/>
      <c r="J42" s="1724"/>
      <c r="K42" s="1724"/>
      <c r="L42" s="1724"/>
      <c r="M42" s="1724"/>
      <c r="N42" s="1724"/>
      <c r="O42" s="1724"/>
      <c r="P42" s="1724"/>
      <c r="Q42" s="1724"/>
      <c r="R42" s="1724"/>
      <c r="S42" s="1724"/>
      <c r="U42" s="358" t="s">
        <v>488</v>
      </c>
      <c r="V42" s="358"/>
      <c r="W42" s="1444"/>
      <c r="X42" s="1444"/>
      <c r="Y42" s="1444"/>
      <c r="Z42" s="1064"/>
      <c r="AA42" s="204"/>
      <c r="AB42" s="421"/>
      <c r="AF42" s="182"/>
      <c r="AG42" s="182"/>
      <c r="AH42" s="182"/>
      <c r="AI42" s="182"/>
      <c r="AJ42" s="1765"/>
      <c r="AK42" s="1766"/>
      <c r="AL42" s="1767"/>
      <c r="AM42" s="182"/>
      <c r="AN42" s="182"/>
      <c r="AO42" s="1785"/>
      <c r="AP42" s="1786"/>
      <c r="AQ42" s="1732">
        <f>AM43-AP35-AU35</f>
        <v>109828.78409019788</v>
      </c>
      <c r="AR42" s="1772" t="s">
        <v>399</v>
      </c>
      <c r="AS42" s="1773"/>
      <c r="AT42" s="1719"/>
      <c r="AU42" s="1730">
        <f>AU41*Fuel_Specs!F25</f>
        <v>97549.764262168086</v>
      </c>
      <c r="AV42" s="182" t="s">
        <v>213</v>
      </c>
      <c r="AY42" s="230">
        <f>AU41*$AZ$34</f>
        <v>807493.77808847919</v>
      </c>
      <c r="AZ42" s="1726" t="s">
        <v>496</v>
      </c>
      <c r="BA42" s="1725">
        <f>BA41/BA52</f>
        <v>1.1168472778229199</v>
      </c>
      <c r="BB42" t="s">
        <v>1531</v>
      </c>
    </row>
    <row r="43" spans="4:54" ht="15.75" customHeight="1" thickBot="1">
      <c r="D43" s="1724"/>
      <c r="E43" s="1724"/>
      <c r="F43" s="1724"/>
      <c r="G43" s="1724"/>
      <c r="H43" s="1724"/>
      <c r="I43" s="1724"/>
      <c r="J43" s="1724"/>
      <c r="K43" s="1724"/>
      <c r="L43" s="1724"/>
      <c r="M43" s="1724"/>
      <c r="N43" s="1724"/>
      <c r="O43" s="1724"/>
      <c r="P43" s="1724"/>
      <c r="Q43" s="1724"/>
      <c r="R43" s="1724"/>
      <c r="S43" s="1724"/>
      <c r="U43" t="s">
        <v>498</v>
      </c>
      <c r="V43" s="315">
        <f>W43*$AZ$34</f>
        <v>0</v>
      </c>
      <c r="W43" s="315">
        <f>IF(Input!C24="NO",AU34,0)</f>
        <v>0</v>
      </c>
      <c r="X43" s="301"/>
      <c r="Y43" s="301"/>
      <c r="Z43" s="327">
        <f>IF(Input!C24="NO",AU35,0)</f>
        <v>0</v>
      </c>
      <c r="AA43" s="185" t="s">
        <v>376</v>
      </c>
      <c r="AB43" s="421"/>
      <c r="AF43" s="182"/>
      <c r="AI43" s="182"/>
      <c r="AJ43" s="1768"/>
      <c r="AK43" s="1769"/>
      <c r="AL43" s="1770"/>
      <c r="AM43" s="1730">
        <f>AG40-AI38-AL37-AI51</f>
        <v>121011.97463460587</v>
      </c>
      <c r="AN43" s="229" t="s">
        <v>213</v>
      </c>
      <c r="AO43" s="1787"/>
      <c r="AP43" s="1788"/>
      <c r="AQ43" s="182"/>
      <c r="AR43" s="1774"/>
      <c r="AS43" s="1775"/>
      <c r="AT43" s="1719"/>
      <c r="AU43" s="1717">
        <f>D5</f>
        <v>6088.8463715331163</v>
      </c>
      <c r="AV43" s="182" t="s">
        <v>359</v>
      </c>
      <c r="AY43" s="182"/>
      <c r="AZ43" s="1726"/>
      <c r="BA43" s="1725">
        <f>(AG39)/(AU51+AP52/Fuel_Specs!F25)</f>
        <v>1.1153684819679122</v>
      </c>
      <c r="BB43" s="1675" t="s">
        <v>1530</v>
      </c>
    </row>
    <row r="44" spans="4:54">
      <c r="D44" s="1724"/>
      <c r="E44" s="1724"/>
      <c r="F44" s="1724"/>
      <c r="G44" s="1724"/>
      <c r="H44" s="1724"/>
      <c r="I44" s="1724"/>
      <c r="J44" s="1724"/>
      <c r="K44" s="1724"/>
      <c r="L44" s="1724"/>
      <c r="M44" s="1724"/>
      <c r="N44" s="1724"/>
      <c r="O44" s="1724"/>
      <c r="P44" s="1724"/>
      <c r="Q44" s="1724"/>
      <c r="R44" s="1724"/>
      <c r="S44" s="1724"/>
      <c r="U44" t="s">
        <v>347</v>
      </c>
      <c r="V44" s="315">
        <f>W44*$AZ$34</f>
        <v>907013</v>
      </c>
      <c r="W44" s="315">
        <f>AU51</f>
        <v>145905.56590581522</v>
      </c>
      <c r="X44" s="301"/>
      <c r="Y44" s="301"/>
      <c r="Z44" s="327">
        <f>AU52</f>
        <v>109572.24282541407</v>
      </c>
      <c r="AB44" s="421"/>
      <c r="AF44" s="182"/>
      <c r="AG44" s="182"/>
      <c r="AH44" s="182"/>
      <c r="AI44" s="182"/>
      <c r="AJ44" s="182"/>
      <c r="AK44" s="182"/>
      <c r="AL44" s="182"/>
      <c r="AM44" s="229"/>
      <c r="AN44" s="229"/>
      <c r="AO44" s="229"/>
      <c r="AP44" s="182"/>
      <c r="AQ44" s="182"/>
      <c r="AR44" s="1761"/>
      <c r="AS44" s="182"/>
      <c r="AT44" s="1719"/>
      <c r="AU44" s="1719"/>
      <c r="AV44" s="1719"/>
      <c r="AY44" s="182"/>
      <c r="AZ44" s="1726"/>
      <c r="BA44" s="182"/>
    </row>
    <row r="45" spans="4:54" ht="15.75" thickBot="1">
      <c r="D45" s="1724"/>
      <c r="E45" s="1724"/>
      <c r="F45" s="1724"/>
      <c r="G45" s="1724"/>
      <c r="H45" s="1724"/>
      <c r="I45" s="1724"/>
      <c r="J45" s="1724"/>
      <c r="K45" s="1724"/>
      <c r="L45" s="1724"/>
      <c r="M45" s="1724"/>
      <c r="N45" s="1724"/>
      <c r="O45" s="1724"/>
      <c r="P45" s="1724"/>
      <c r="Q45" s="1724"/>
      <c r="R45" s="1724"/>
      <c r="S45" s="1724"/>
      <c r="U45" s="187" t="s">
        <v>499</v>
      </c>
      <c r="V45" s="315">
        <f>SUM(V43:V44)</f>
        <v>907013</v>
      </c>
      <c r="W45" s="315">
        <f t="shared" ref="W45" si="0">SUM(W43:W44)</f>
        <v>145905.56590581522</v>
      </c>
      <c r="X45" s="315"/>
      <c r="Y45" s="315"/>
      <c r="Z45" s="327">
        <f>SUM(Z43:Z44)</f>
        <v>109572.24282541407</v>
      </c>
      <c r="AB45" s="421"/>
      <c r="AF45" s="182"/>
      <c r="AG45" s="230"/>
      <c r="AH45" s="182"/>
      <c r="AI45" s="182"/>
      <c r="AJ45" s="182"/>
      <c r="AK45" s="182"/>
      <c r="AL45" s="182"/>
      <c r="AM45" s="1721"/>
      <c r="AN45" s="229"/>
      <c r="AO45" s="229"/>
      <c r="AP45" s="182"/>
      <c r="AQ45" s="182"/>
      <c r="AR45" s="1761"/>
      <c r="AS45" s="182"/>
      <c r="AT45" s="1719"/>
      <c r="AU45" s="182" t="s">
        <v>1475</v>
      </c>
      <c r="AV45" s="182"/>
      <c r="AY45" s="182"/>
      <c r="AZ45" s="1726"/>
      <c r="BA45" s="182"/>
    </row>
    <row r="46" spans="4:54">
      <c r="D46" s="1724"/>
      <c r="E46" s="1724"/>
      <c r="F46" s="1724"/>
      <c r="G46" s="1724"/>
      <c r="H46" s="1724"/>
      <c r="I46" s="1724"/>
      <c r="J46" s="1724"/>
      <c r="K46" s="1724"/>
      <c r="L46" s="1724"/>
      <c r="M46" s="1724"/>
      <c r="N46" s="1724"/>
      <c r="O46" s="1724"/>
      <c r="P46" s="1724"/>
      <c r="Q46" s="1724"/>
      <c r="R46" s="1724"/>
      <c r="S46" s="1724"/>
      <c r="U46" s="358" t="s">
        <v>491</v>
      </c>
      <c r="V46" s="358"/>
      <c r="W46" s="1444"/>
      <c r="X46" s="1444"/>
      <c r="Y46" s="1444"/>
      <c r="Z46" s="1064"/>
      <c r="AA46" s="204"/>
      <c r="AB46" s="421"/>
      <c r="AF46" s="182"/>
      <c r="AG46" s="182"/>
      <c r="AH46" s="182"/>
      <c r="AI46" s="182"/>
      <c r="AJ46" s="182"/>
      <c r="AK46" s="182"/>
      <c r="AL46" s="182"/>
      <c r="AM46" s="229"/>
      <c r="AN46" s="229"/>
      <c r="AO46" s="229"/>
      <c r="AP46" s="182"/>
      <c r="AQ46" s="182"/>
      <c r="AR46" s="1778" t="s">
        <v>398</v>
      </c>
      <c r="AS46" s="1779"/>
      <c r="AT46" s="336"/>
      <c r="AU46" s="1720">
        <f>AU48*JperBtu/Fuel_Specs!N25</f>
        <v>16009.041095890412</v>
      </c>
      <c r="AV46" s="182" t="s">
        <v>445</v>
      </c>
      <c r="AY46" s="182"/>
      <c r="AZ46" s="1726"/>
      <c r="BA46" s="182"/>
    </row>
    <row r="47" spans="4:54" ht="18" customHeight="1" thickBot="1">
      <c r="D47" s="1724"/>
      <c r="E47" s="1724"/>
      <c r="F47" s="1724"/>
      <c r="G47" s="1724"/>
      <c r="H47" s="1724"/>
      <c r="I47" s="1724"/>
      <c r="J47" s="1724"/>
      <c r="K47" s="1724"/>
      <c r="L47" s="1724"/>
      <c r="M47" s="1724"/>
      <c r="N47" s="1724"/>
      <c r="O47" s="1724"/>
      <c r="P47" s="1724"/>
      <c r="Q47" s="1724"/>
      <c r="R47" s="1724"/>
      <c r="S47" s="1724"/>
      <c r="U47" t="s">
        <v>442</v>
      </c>
      <c r="V47" s="315"/>
      <c r="W47" s="315"/>
      <c r="X47" s="315">
        <f>AI36</f>
        <v>5358.2014772399998</v>
      </c>
      <c r="Y47" s="315"/>
      <c r="Z47" s="327">
        <f>AI38</f>
        <v>1461.327675610909</v>
      </c>
      <c r="AB47" s="1440" t="s">
        <v>1354</v>
      </c>
      <c r="AF47" s="182"/>
      <c r="AG47" s="182"/>
      <c r="AH47" s="182"/>
      <c r="AI47" s="182"/>
      <c r="AJ47" s="182"/>
      <c r="AK47" s="182"/>
      <c r="AL47" s="182"/>
      <c r="AM47" s="229"/>
      <c r="AN47" s="229"/>
      <c r="AO47" s="229"/>
      <c r="AP47" s="182"/>
      <c r="AQ47" s="182"/>
      <c r="AR47" s="1780"/>
      <c r="AS47" s="1781"/>
      <c r="AT47" s="1722"/>
      <c r="AU47" s="1730">
        <f>AU46*Fuel_Specs!F25</f>
        <v>12022.478563245981</v>
      </c>
      <c r="AV47" s="182" t="s">
        <v>213</v>
      </c>
      <c r="AY47" s="230">
        <f>AU46*$AZ$34</f>
        <v>99519.221911520814</v>
      </c>
      <c r="AZ47" s="1726" t="s">
        <v>496</v>
      </c>
      <c r="BA47" s="182"/>
    </row>
    <row r="48" spans="4:54" ht="16.5" customHeight="1">
      <c r="D48" s="1724"/>
      <c r="E48" s="1724"/>
      <c r="F48" s="1724"/>
      <c r="G48" s="1724"/>
      <c r="H48" s="1724"/>
      <c r="I48" s="1724"/>
      <c r="J48" s="1724"/>
      <c r="K48" s="1724"/>
      <c r="L48" s="1724"/>
      <c r="M48" s="1724"/>
      <c r="N48" s="1724"/>
      <c r="O48" s="1724"/>
      <c r="P48" s="1724"/>
      <c r="Q48" s="1724"/>
      <c r="R48" s="1724"/>
      <c r="S48" s="1724"/>
      <c r="U48" s="235" t="s">
        <v>1131</v>
      </c>
      <c r="V48" s="315"/>
      <c r="W48" s="1445"/>
      <c r="X48" s="1445">
        <f>AL36</f>
        <v>841.58327483093922</v>
      </c>
      <c r="Y48" s="1445"/>
      <c r="Z48" s="1446">
        <f>AL37</f>
        <v>229.52271131752886</v>
      </c>
      <c r="AA48" s="185" t="s">
        <v>506</v>
      </c>
      <c r="AB48" s="421" t="s">
        <v>1355</v>
      </c>
      <c r="AF48" s="182"/>
      <c r="AG48" s="182"/>
      <c r="AH48" s="182"/>
      <c r="AI48" s="182"/>
      <c r="AJ48" s="182"/>
      <c r="AK48" s="182"/>
      <c r="AL48" s="182"/>
      <c r="AM48" s="229"/>
      <c r="AN48" s="182"/>
      <c r="AO48" s="182"/>
      <c r="AP48" s="182"/>
      <c r="AQ48" s="182"/>
      <c r="AR48" s="182"/>
      <c r="AS48" s="182"/>
      <c r="AT48" s="1722"/>
      <c r="AU48" s="1717">
        <f>D4</f>
        <v>750.41724119311561</v>
      </c>
      <c r="AV48" s="182" t="s">
        <v>359</v>
      </c>
      <c r="AY48" s="182"/>
      <c r="AZ48" s="1726"/>
      <c r="BA48" s="182"/>
    </row>
    <row r="49" spans="1:54">
      <c r="D49" s="1724"/>
      <c r="E49" s="1724"/>
      <c r="F49" s="1724"/>
      <c r="G49" s="1724"/>
      <c r="H49" s="1724"/>
      <c r="I49" s="1724"/>
      <c r="J49" s="1724"/>
      <c r="K49" s="1724"/>
      <c r="L49" s="1724"/>
      <c r="M49" s="1724"/>
      <c r="N49" s="1724"/>
      <c r="O49" s="1724"/>
      <c r="P49" s="1724"/>
      <c r="Q49" s="1724"/>
      <c r="R49" s="1724"/>
      <c r="S49" s="1724"/>
      <c r="U49" t="s">
        <v>1339</v>
      </c>
      <c r="V49" s="315"/>
      <c r="W49" s="315"/>
      <c r="X49" s="315">
        <f>AP34-X48</f>
        <v>27057.277105596801</v>
      </c>
      <c r="Y49" s="315"/>
      <c r="Z49" s="327">
        <f>AP35</f>
        <v>7615.7896113113229</v>
      </c>
      <c r="AB49" s="421" t="s">
        <v>1357</v>
      </c>
      <c r="AF49" s="182"/>
      <c r="AG49" s="182"/>
      <c r="AH49" s="182"/>
      <c r="AI49" s="182"/>
      <c r="AJ49" s="182" t="s">
        <v>386</v>
      </c>
      <c r="AK49" s="182"/>
      <c r="AL49" s="182"/>
      <c r="AM49" s="229"/>
      <c r="AN49" s="182"/>
      <c r="AO49" s="182"/>
      <c r="AP49" s="182"/>
      <c r="AQ49" s="182"/>
      <c r="AR49" s="182"/>
      <c r="AS49" s="182"/>
      <c r="AT49" s="1722"/>
      <c r="AU49" s="182"/>
      <c r="AV49" s="182"/>
      <c r="AY49" s="182"/>
      <c r="AZ49" s="1726"/>
      <c r="BA49" s="182"/>
    </row>
    <row r="50" spans="1:54" ht="18.75" thickBot="1">
      <c r="D50" s="1724"/>
      <c r="E50" s="1724"/>
      <c r="F50" s="1724"/>
      <c r="G50" s="1724"/>
      <c r="H50" s="1724"/>
      <c r="I50" s="1724"/>
      <c r="J50" s="1724"/>
      <c r="K50" s="1724"/>
      <c r="L50" s="1724"/>
      <c r="M50" s="1724"/>
      <c r="N50" s="1724"/>
      <c r="O50" s="1724"/>
      <c r="P50" s="1724"/>
      <c r="Q50" s="1724"/>
      <c r="R50" s="1724"/>
      <c r="S50" s="1724"/>
      <c r="U50" t="s">
        <v>1340</v>
      </c>
      <c r="V50" s="315"/>
      <c r="W50" s="1445"/>
      <c r="X50" s="315">
        <f>IF(Input!C24="YES",AU33,0)</f>
        <v>11786.483274850061</v>
      </c>
      <c r="Y50" s="301"/>
      <c r="Z50" s="327">
        <f>IF(Input!C24="YES",AU35,0)</f>
        <v>3567.4009330966628</v>
      </c>
      <c r="AB50" s="421" t="s">
        <v>1356</v>
      </c>
      <c r="AF50" s="182"/>
      <c r="AG50" s="182"/>
      <c r="AH50" s="182"/>
      <c r="AI50" s="1723">
        <f>G77</f>
        <v>3.7810855629139071</v>
      </c>
      <c r="AJ50" s="182" t="s">
        <v>476</v>
      </c>
      <c r="AK50" s="182"/>
      <c r="AL50" s="182"/>
      <c r="AM50" s="229"/>
      <c r="AN50" s="182"/>
      <c r="AO50" s="182"/>
      <c r="AP50" s="182" t="s">
        <v>1529</v>
      </c>
      <c r="AQ50" s="182"/>
      <c r="AR50" s="182"/>
      <c r="AS50" s="182"/>
      <c r="AT50" s="1722"/>
      <c r="AU50" s="182" t="s">
        <v>380</v>
      </c>
      <c r="AV50" s="182"/>
      <c r="AY50" s="182"/>
      <c r="AZ50" s="1726"/>
      <c r="BA50" s="182"/>
    </row>
    <row r="51" spans="1:54" ht="18.75" thickBot="1">
      <c r="D51" s="1724"/>
      <c r="E51" s="1724"/>
      <c r="F51" s="1724"/>
      <c r="G51" s="1724"/>
      <c r="H51" s="1724"/>
      <c r="I51" s="1724"/>
      <c r="J51" s="1724"/>
      <c r="K51" s="1724"/>
      <c r="L51" s="1724"/>
      <c r="M51" s="1724"/>
      <c r="N51" s="1724"/>
      <c r="O51" s="1724"/>
      <c r="P51" s="1724"/>
      <c r="Q51" s="1724"/>
      <c r="R51" s="1724"/>
      <c r="S51" s="1724"/>
      <c r="U51" t="s">
        <v>1132</v>
      </c>
      <c r="V51" s="315"/>
      <c r="W51" s="1448"/>
      <c r="X51" s="301"/>
      <c r="Y51" s="1448">
        <f>AI50</f>
        <v>3.7810855629139071</v>
      </c>
      <c r="Z51" s="327">
        <f>AI51</f>
        <v>2.8358141721854304</v>
      </c>
      <c r="AB51" s="1431" t="s">
        <v>1358</v>
      </c>
      <c r="AC51" s="1432"/>
      <c r="AD51" s="1433">
        <v>95</v>
      </c>
      <c r="AF51" s="182"/>
      <c r="AG51" s="182"/>
      <c r="AH51" s="182"/>
      <c r="AI51" s="1731">
        <f>AI50*12/16</f>
        <v>2.8358141721854304</v>
      </c>
      <c r="AJ51" s="182" t="s">
        <v>213</v>
      </c>
      <c r="AK51" s="182"/>
      <c r="AL51" s="182"/>
      <c r="AM51" s="182"/>
      <c r="AN51" s="182"/>
      <c r="AO51" s="182"/>
      <c r="AP51" s="1720">
        <f>F79</f>
        <v>939.78553680000005</v>
      </c>
      <c r="AQ51" s="182" t="s">
        <v>1129</v>
      </c>
      <c r="AR51" s="182"/>
      <c r="AS51" s="182"/>
      <c r="AT51" s="1722"/>
      <c r="AU51" s="1720">
        <f>AU41+AU46</f>
        <v>145905.56590581522</v>
      </c>
      <c r="AV51" s="182" t="s">
        <v>445</v>
      </c>
      <c r="AY51" s="182"/>
      <c r="AZ51" s="1726"/>
      <c r="BA51" s="182"/>
    </row>
    <row r="52" spans="1:54">
      <c r="D52" s="1724"/>
      <c r="E52" s="1724"/>
      <c r="F52" s="1724"/>
      <c r="G52" s="1724"/>
      <c r="H52" s="1724"/>
      <c r="I52" s="1724"/>
      <c r="J52" s="1724"/>
      <c r="K52" s="1724"/>
      <c r="L52" s="1724"/>
      <c r="M52" s="1724"/>
      <c r="N52" s="1724"/>
      <c r="O52" s="1724"/>
      <c r="P52" s="1724"/>
      <c r="Q52" s="1724"/>
      <c r="R52" s="1724"/>
      <c r="S52" s="1724"/>
      <c r="U52" t="s">
        <v>1341</v>
      </c>
      <c r="V52" s="315"/>
      <c r="W52" s="315"/>
      <c r="X52" s="315">
        <f>AP51</f>
        <v>939.78553680000005</v>
      </c>
      <c r="Y52" s="301"/>
      <c r="Z52" s="327">
        <f>AP52</f>
        <v>256.54126478381772</v>
      </c>
      <c r="AB52" s="421" t="s">
        <v>1353</v>
      </c>
      <c r="AF52" s="182"/>
      <c r="AG52" s="182"/>
      <c r="AH52" s="182"/>
      <c r="AI52" s="182"/>
      <c r="AJ52" s="182"/>
      <c r="AK52" s="182"/>
      <c r="AL52" s="182"/>
      <c r="AM52" s="182"/>
      <c r="AN52" s="182"/>
      <c r="AO52" s="182"/>
      <c r="AP52" s="1730">
        <f>AP51*C_MW/CO2_MW</f>
        <v>256.54126478381772</v>
      </c>
      <c r="AQ52" s="182" t="s">
        <v>213</v>
      </c>
      <c r="AR52" s="182"/>
      <c r="AS52" s="182"/>
      <c r="AT52" s="1722"/>
      <c r="AU52" s="1730">
        <f>AU51*Fuel_Specs!F25</f>
        <v>109572.24282541407</v>
      </c>
      <c r="AV52" s="182" t="s">
        <v>213</v>
      </c>
      <c r="AY52" s="230">
        <f>AU51*$AZ$34</f>
        <v>907013</v>
      </c>
      <c r="AZ52" s="1726" t="s">
        <v>496</v>
      </c>
      <c r="BA52" s="230">
        <f>Upstream!D15</f>
        <v>907013</v>
      </c>
      <c r="BB52" t="s">
        <v>1526</v>
      </c>
    </row>
    <row r="53" spans="1:54">
      <c r="D53" s="1724"/>
      <c r="E53" s="1724"/>
      <c r="F53" s="1724"/>
      <c r="G53" s="1724"/>
      <c r="H53" s="1724"/>
      <c r="I53" s="1724"/>
      <c r="J53" s="1724"/>
      <c r="K53" s="1724"/>
      <c r="L53" s="1724"/>
      <c r="M53" s="1724"/>
      <c r="N53" s="1724"/>
      <c r="O53" s="1724"/>
      <c r="P53" s="1724"/>
      <c r="Q53" s="1724"/>
      <c r="R53" s="1724"/>
      <c r="S53" s="1724"/>
      <c r="U53" s="187" t="s">
        <v>492</v>
      </c>
      <c r="V53" s="315"/>
      <c r="W53" s="315"/>
      <c r="X53" s="315">
        <f>SUM(X47:X52)</f>
        <v>45983.330669317802</v>
      </c>
      <c r="Y53" s="315">
        <f>SUM(Y47:Y52)</f>
        <v>3.7810855629139071</v>
      </c>
      <c r="Z53" s="327">
        <f>SUM(Z47:Z52)</f>
        <v>13133.418010292426</v>
      </c>
      <c r="AA53" s="187"/>
      <c r="AB53" s="317"/>
      <c r="AF53" s="182"/>
      <c r="AG53" s="182"/>
      <c r="AH53" s="182"/>
      <c r="AI53" s="182"/>
      <c r="AJ53" s="182"/>
      <c r="AK53" s="182"/>
      <c r="AL53" s="182"/>
      <c r="AM53" s="182"/>
      <c r="AN53" s="182"/>
      <c r="AO53" s="182"/>
      <c r="AP53" s="182"/>
      <c r="AQ53" s="182"/>
      <c r="AR53" s="182"/>
      <c r="AS53" s="182"/>
      <c r="AT53" s="182"/>
      <c r="AU53" s="1717">
        <f>AU43+AU48</f>
        <v>6839.2636127262322</v>
      </c>
      <c r="AV53" s="182" t="s">
        <v>359</v>
      </c>
      <c r="AY53" s="182"/>
      <c r="AZ53" s="182"/>
      <c r="BA53" s="182"/>
    </row>
    <row r="54" spans="1:54" ht="15.75" thickBot="1">
      <c r="D54" s="1724"/>
      <c r="E54" s="1724"/>
      <c r="F54" s="1724"/>
      <c r="G54" s="1724"/>
      <c r="H54" s="1724"/>
      <c r="I54" s="1724"/>
      <c r="J54" s="1724"/>
      <c r="K54" s="1724"/>
      <c r="L54" s="1724"/>
      <c r="M54" s="1724"/>
      <c r="N54" s="1724"/>
      <c r="O54" s="1724"/>
      <c r="P54" s="1724"/>
      <c r="Q54" s="1724"/>
      <c r="R54" s="1724"/>
      <c r="S54" s="1724"/>
      <c r="U54" s="348" t="s">
        <v>501</v>
      </c>
      <c r="V54" s="1605"/>
      <c r="W54" s="1605"/>
      <c r="X54" s="1605">
        <f>X45+X53</f>
        <v>45983.330669317802</v>
      </c>
      <c r="Y54" s="1605">
        <f>Y45+Y53</f>
        <v>3.7810855629139071</v>
      </c>
      <c r="Z54" s="1585">
        <f>Z45+Z53</f>
        <v>122705.6608357065</v>
      </c>
      <c r="AA54" s="351"/>
      <c r="AB54" s="351"/>
      <c r="AF54" s="182"/>
      <c r="AG54" s="182"/>
      <c r="AH54" s="182"/>
      <c r="AI54" s="182"/>
      <c r="AJ54" s="182"/>
      <c r="AK54" s="182"/>
      <c r="AL54" s="182"/>
      <c r="AM54" s="182"/>
      <c r="AN54" s="182"/>
      <c r="AO54" s="182"/>
      <c r="AP54" s="182"/>
      <c r="AQ54" s="182"/>
      <c r="AR54" s="182"/>
      <c r="AS54" s="182"/>
      <c r="AT54" s="182"/>
      <c r="AU54" s="182"/>
      <c r="AV54" s="182"/>
      <c r="AY54" s="182"/>
      <c r="AZ54" s="182"/>
      <c r="BA54" s="182"/>
    </row>
    <row r="55" spans="1:54" ht="21" thickBot="1">
      <c r="D55" s="1724"/>
      <c r="E55" s="1724"/>
      <c r="F55" s="1724"/>
      <c r="G55" s="1724"/>
      <c r="H55" s="1724"/>
      <c r="I55" s="1724"/>
      <c r="J55" s="1724"/>
      <c r="K55" s="1724"/>
      <c r="L55" s="1724"/>
      <c r="M55" s="1724"/>
      <c r="N55" s="1724"/>
      <c r="O55" s="1724"/>
      <c r="P55" s="1724"/>
      <c r="Q55" s="1724"/>
      <c r="R55" s="1724"/>
      <c r="S55" s="1724"/>
      <c r="U55" s="1602" t="s">
        <v>502</v>
      </c>
      <c r="V55" s="1603"/>
      <c r="W55" s="1603"/>
      <c r="X55" s="1603"/>
      <c r="Y55" s="1603"/>
      <c r="Z55" s="1604">
        <f>Z41-Z54</f>
        <v>0</v>
      </c>
      <c r="AA55" s="351"/>
      <c r="AB55" s="351"/>
      <c r="AF55" s="182"/>
      <c r="AG55" s="1729" t="s">
        <v>1474</v>
      </c>
      <c r="AH55" s="182"/>
      <c r="AI55" s="182"/>
      <c r="AJ55" s="182"/>
      <c r="AK55" s="182"/>
      <c r="AL55" s="182"/>
      <c r="AM55" s="182"/>
      <c r="AN55" s="182"/>
      <c r="AO55" s="182"/>
      <c r="AP55" s="182"/>
      <c r="AQ55" s="182"/>
      <c r="AR55" s="182"/>
      <c r="AS55" s="182"/>
      <c r="AT55" s="182"/>
      <c r="AU55" s="182"/>
      <c r="AV55" s="182"/>
      <c r="AW55" s="182"/>
      <c r="AY55" s="182"/>
      <c r="AZ55" s="182"/>
      <c r="BA55" s="182"/>
    </row>
    <row r="56" spans="1:54" ht="18.75">
      <c r="D56" s="1724"/>
      <c r="E56" s="1724"/>
      <c r="F56" s="1724"/>
      <c r="G56" s="1724"/>
      <c r="H56" s="1724"/>
      <c r="I56" s="1724"/>
      <c r="J56" s="1724"/>
      <c r="K56" s="1724"/>
      <c r="L56" s="1724"/>
      <c r="M56" s="1724"/>
      <c r="N56" s="1724"/>
      <c r="O56" s="1724"/>
      <c r="P56" s="1724"/>
      <c r="Q56" s="1724"/>
      <c r="R56" s="1724"/>
      <c r="S56" s="1724"/>
      <c r="AB56" s="200"/>
      <c r="AF56" s="182"/>
      <c r="AG56" s="1729" t="s">
        <v>1532</v>
      </c>
      <c r="AH56" s="182"/>
      <c r="AI56" s="182"/>
      <c r="AJ56" s="182"/>
      <c r="AK56" s="182"/>
      <c r="AL56" s="182"/>
      <c r="AM56" s="182"/>
      <c r="AN56" s="182"/>
      <c r="AO56" s="182"/>
      <c r="AP56" s="182"/>
      <c r="AQ56" s="182"/>
      <c r="AR56" s="182"/>
      <c r="AS56" s="182"/>
      <c r="AT56" s="182"/>
      <c r="AU56" s="182"/>
      <c r="AV56" s="182"/>
      <c r="AW56" s="182"/>
      <c r="AY56" s="182"/>
      <c r="AZ56" s="182"/>
      <c r="BA56" s="182"/>
    </row>
    <row r="57" spans="1:54" ht="18.75">
      <c r="D57" s="1724"/>
      <c r="E57" s="1724"/>
      <c r="F57" s="1724"/>
      <c r="G57" s="1724"/>
      <c r="H57" s="1724"/>
      <c r="I57" s="1724"/>
      <c r="J57" s="1724"/>
      <c r="K57" s="1724"/>
      <c r="L57" s="1724"/>
      <c r="M57" s="1724"/>
      <c r="N57" s="1724"/>
      <c r="O57" s="1724"/>
      <c r="P57" s="1724"/>
      <c r="Q57" s="1724"/>
      <c r="R57" s="1724"/>
      <c r="S57" s="1724"/>
      <c r="U57" s="200"/>
      <c r="V57" s="200"/>
      <c r="W57" s="200"/>
      <c r="X57" s="200"/>
      <c r="Y57" s="200"/>
      <c r="Z57" s="360"/>
      <c r="AA57" s="200"/>
      <c r="AB57" s="200"/>
      <c r="AG57" s="1729" t="s">
        <v>1533</v>
      </c>
      <c r="AY57" s="182"/>
      <c r="AZ57" s="182"/>
      <c r="BA57" s="182"/>
    </row>
    <row r="58" spans="1:54">
      <c r="D58" s="1724"/>
      <c r="E58" s="1724"/>
      <c r="F58" s="1724"/>
      <c r="G58" s="1724"/>
      <c r="H58" s="1724"/>
      <c r="I58" s="1724"/>
      <c r="J58" s="1724"/>
      <c r="K58" s="1724"/>
      <c r="L58" s="1724"/>
      <c r="M58" s="1724"/>
      <c r="N58" s="1724"/>
      <c r="O58" s="1724"/>
      <c r="P58" s="1724"/>
      <c r="Q58" s="1724"/>
      <c r="R58" s="1724"/>
      <c r="S58" s="1724"/>
      <c r="U58" s="363" t="s">
        <v>504</v>
      </c>
      <c r="V58" s="200"/>
      <c r="W58" s="200"/>
      <c r="X58" s="200"/>
      <c r="Y58" s="200"/>
      <c r="Z58" s="360"/>
      <c r="AA58" s="200"/>
      <c r="AB58" s="200"/>
    </row>
    <row r="59" spans="1:54">
      <c r="B59" s="1277"/>
      <c r="C59" s="182"/>
      <c r="D59" s="1724"/>
      <c r="E59" s="1724"/>
      <c r="F59" s="1724"/>
      <c r="G59" s="1724"/>
      <c r="H59" s="1724"/>
      <c r="I59" s="1724"/>
      <c r="J59" s="1724"/>
      <c r="K59" s="1724"/>
      <c r="L59" s="1724"/>
      <c r="M59" s="1724"/>
      <c r="N59" s="1724"/>
      <c r="O59" s="1724"/>
      <c r="P59" s="1724"/>
      <c r="Q59" s="1724"/>
      <c r="R59" s="1724"/>
      <c r="S59" s="1724"/>
      <c r="U59" s="363"/>
      <c r="V59" s="200"/>
      <c r="W59" s="200"/>
      <c r="X59" s="200"/>
      <c r="Y59" s="200"/>
      <c r="Z59" s="360"/>
      <c r="AA59" s="200"/>
      <c r="AB59" s="200"/>
    </row>
    <row r="60" spans="1:54">
      <c r="B60" s="230"/>
      <c r="C60" s="182"/>
      <c r="U60" s="363"/>
      <c r="V60" s="200"/>
      <c r="W60" s="200"/>
      <c r="X60" s="200"/>
      <c r="Y60" s="200"/>
      <c r="Z60" s="360"/>
      <c r="AA60" s="200"/>
      <c r="AB60" s="200"/>
    </row>
    <row r="61" spans="1:54">
      <c r="U61" s="362" t="s">
        <v>507</v>
      </c>
      <c r="AB61" s="200"/>
    </row>
    <row r="62" spans="1:54" ht="21">
      <c r="A62" s="1239" t="s">
        <v>1182</v>
      </c>
      <c r="C62" s="304" t="s">
        <v>1442</v>
      </c>
      <c r="D62" s="304"/>
      <c r="E62" s="1551"/>
      <c r="F62" s="1753" t="s">
        <v>1465</v>
      </c>
      <c r="G62" s="1753"/>
      <c r="H62" s="1753"/>
      <c r="I62" s="1753"/>
      <c r="U62" s="235" t="s">
        <v>505</v>
      </c>
      <c r="AB62" s="200"/>
    </row>
    <row r="63" spans="1:54" ht="18.75" thickBot="1">
      <c r="C63" s="1193" t="s">
        <v>1174</v>
      </c>
      <c r="D63" s="279" t="s">
        <v>1172</v>
      </c>
      <c r="E63" s="1552"/>
      <c r="F63" s="1469" t="s">
        <v>277</v>
      </c>
      <c r="G63" s="1469" t="s">
        <v>278</v>
      </c>
      <c r="H63" s="1469" t="s">
        <v>279</v>
      </c>
      <c r="I63" s="1469" t="s">
        <v>276</v>
      </c>
      <c r="K63" s="1313" t="s">
        <v>1450</v>
      </c>
      <c r="AB63" s="200"/>
    </row>
    <row r="64" spans="1:54" ht="15.75" thickTop="1">
      <c r="C64" s="362" t="s">
        <v>523</v>
      </c>
      <c r="D64" s="1233" t="s">
        <v>1443</v>
      </c>
      <c r="E64" s="1553"/>
      <c r="F64" s="343">
        <f>Factors!$D$71</f>
        <v>59329.894999999997</v>
      </c>
      <c r="G64" s="1232">
        <f>Factors!$E$71</f>
        <v>1.06</v>
      </c>
      <c r="H64" s="1232">
        <f>Factors!$F$71</f>
        <v>0.35</v>
      </c>
      <c r="I64" s="346">
        <f>Factors!$G$71</f>
        <v>59460.695</v>
      </c>
      <c r="AB64" s="200"/>
    </row>
    <row r="65" spans="3:28">
      <c r="C65" s="421" t="s">
        <v>470</v>
      </c>
      <c r="D65" s="1066" t="s">
        <v>384</v>
      </c>
      <c r="E65" s="1553"/>
      <c r="F65" s="343">
        <f>Factors!D81</f>
        <v>68662.016739283121</v>
      </c>
      <c r="G65" s="1232">
        <f>Factors!E81</f>
        <v>1.06</v>
      </c>
      <c r="H65" s="1232">
        <f>Factors!F81</f>
        <v>1.0680000000000001</v>
      </c>
      <c r="I65" s="346">
        <f>Factors!G81</f>
        <v>59659.753090572827</v>
      </c>
      <c r="AB65" s="200"/>
    </row>
    <row r="66" spans="3:28">
      <c r="C66" s="421" t="s">
        <v>1267</v>
      </c>
      <c r="D66" s="1066" t="s">
        <v>384</v>
      </c>
      <c r="E66" s="1553"/>
      <c r="F66" s="343">
        <f>Factors!D80</f>
        <v>68773.433332339118</v>
      </c>
      <c r="G66" s="1232">
        <f>Factors!E80</f>
        <v>1.0680000000000001</v>
      </c>
      <c r="H66" s="1232">
        <f>Factors!F80</f>
        <v>1.0680000000000001</v>
      </c>
      <c r="I66" s="346">
        <f>Factors!G80</f>
        <v>69118.397332339111</v>
      </c>
      <c r="AB66" s="200"/>
    </row>
    <row r="67" spans="3:28">
      <c r="C67" s="421" t="s">
        <v>1173</v>
      </c>
      <c r="D67" s="1066" t="s">
        <v>1367</v>
      </c>
      <c r="E67" s="1553"/>
      <c r="F67" s="343">
        <f>Factors!D63</f>
        <v>78187.235473148816</v>
      </c>
      <c r="G67" s="1232">
        <f>Factors!E63</f>
        <v>4.2210000000000001</v>
      </c>
      <c r="H67" s="1232">
        <f>Factors!F63</f>
        <v>0.6</v>
      </c>
      <c r="I67" s="1701">
        <f>F67+G67*CH4_GWP+H67*N2O_GWP</f>
        <v>78471.560473148813</v>
      </c>
      <c r="AB67" s="200"/>
    </row>
    <row r="68" spans="3:28">
      <c r="C68" s="421" t="s">
        <v>385</v>
      </c>
      <c r="D68" s="1240" t="s">
        <v>1443</v>
      </c>
      <c r="E68" s="1553"/>
      <c r="F68" s="343">
        <f>Factors!$D$71*$O$10/('Direct End use'!$F$22*1000)</f>
        <v>1252.3506726815083</v>
      </c>
      <c r="G68" s="1232">
        <f>Factors!$E$71*$O$10/('Direct End use'!$F$22*1000)</f>
        <v>2.2374752442127176E-2</v>
      </c>
      <c r="H68" s="1232">
        <f>Factors!$F$71*$O$10/('Direct End use'!$F$22*1000)</f>
        <v>7.3878899573061423E-3</v>
      </c>
      <c r="I68" s="344">
        <f>Factors!$G$71*$O$10/('Direct End use'!$F$22*1000)</f>
        <v>1255.1116326998388</v>
      </c>
      <c r="K68" s="346">
        <f>$AP$35/Input!$E$86*Input!$E$82*1000*BtuperMJ/1000000*F65/1000000-F76</f>
        <v>27066.046264319797</v>
      </c>
      <c r="L68" s="346"/>
      <c r="M68" s="346"/>
      <c r="N68" s="346"/>
      <c r="AB68" s="200"/>
    </row>
    <row r="69" spans="3:28">
      <c r="C69" s="198" t="s">
        <v>385</v>
      </c>
      <c r="D69" s="1434" t="s">
        <v>1444</v>
      </c>
      <c r="E69" s="1554"/>
      <c r="F69" s="1436">
        <f>Upstream!D47*$O$12</f>
        <v>0.95570852228387804</v>
      </c>
      <c r="G69" s="1437">
        <f>Upstream!E47*$O$12</f>
        <v>1.8253003119035871E-3</v>
      </c>
      <c r="H69" s="1437">
        <f>Upstream!F47*$O$12</f>
        <v>1.872102884003679E-5</v>
      </c>
      <c r="I69" s="1702">
        <f>Upstream!G47*$O$12</f>
        <v>1.0069198966757986</v>
      </c>
      <c r="AB69" s="200"/>
    </row>
    <row r="70" spans="3:28">
      <c r="C70" s="1438"/>
      <c r="D70" s="1439"/>
      <c r="E70" s="1555"/>
      <c r="F70" s="1755" t="s">
        <v>1214</v>
      </c>
      <c r="G70" s="1755"/>
      <c r="H70" s="1755"/>
      <c r="I70" s="1755"/>
      <c r="K70" s="1413"/>
      <c r="L70" s="1413" t="s">
        <v>1370</v>
      </c>
      <c r="M70" s="1413"/>
      <c r="N70" s="1413"/>
      <c r="O70" s="1413"/>
      <c r="AB70" s="200"/>
    </row>
    <row r="71" spans="3:28" ht="18" customHeight="1" thickBot="1">
      <c r="C71" s="781" t="s">
        <v>1174</v>
      </c>
      <c r="D71" s="279" t="s">
        <v>1172</v>
      </c>
      <c r="E71" s="1552"/>
      <c r="F71" s="279" t="s">
        <v>277</v>
      </c>
      <c r="G71" s="279" t="s">
        <v>278</v>
      </c>
      <c r="H71" s="279" t="s">
        <v>279</v>
      </c>
      <c r="I71" s="279" t="s">
        <v>276</v>
      </c>
      <c r="K71" s="781" t="s">
        <v>1174</v>
      </c>
      <c r="L71" s="279" t="s">
        <v>277</v>
      </c>
      <c r="M71" s="279" t="s">
        <v>278</v>
      </c>
      <c r="N71" s="279" t="s">
        <v>279</v>
      </c>
      <c r="O71" s="279" t="s">
        <v>276</v>
      </c>
      <c r="AB71" s="200"/>
    </row>
    <row r="72" spans="3:28" ht="15.75" thickTop="1">
      <c r="C72" t="s">
        <v>523</v>
      </c>
      <c r="D72" s="1233" t="s">
        <v>1443</v>
      </c>
      <c r="E72" s="1556"/>
      <c r="F72" s="339">
        <f>F64*($D$10+$D$12)/1000000</f>
        <v>5358.2014772399998</v>
      </c>
      <c r="G72" s="1230">
        <f>G64*($D$10+$D$12)/1000000</f>
        <v>9.5730720000000005E-2</v>
      </c>
      <c r="H72" s="1230">
        <f>H64*($D$10+$D$12)/1000000</f>
        <v>3.1609199999999997E-2</v>
      </c>
      <c r="I72" s="339">
        <f>I64*($D$10+$D$12)/1000000</f>
        <v>5370.0142868399998</v>
      </c>
      <c r="K72" t="s">
        <v>523</v>
      </c>
      <c r="L72" s="178">
        <f t="shared" ref="L72:O78" si="1">F72*1000/$AU$53</f>
        <v>783.44713417240848</v>
      </c>
      <c r="M72" s="178">
        <f t="shared" si="1"/>
        <v>1.3997226225038037E-2</v>
      </c>
      <c r="N72" s="178">
        <f t="shared" si="1"/>
        <v>4.6217256403427477E-3</v>
      </c>
      <c r="O72" s="178">
        <f t="shared" si="1"/>
        <v>785.17433906885663</v>
      </c>
      <c r="AB72" s="200"/>
    </row>
    <row r="73" spans="3:28">
      <c r="C73" s="337" t="s">
        <v>1451</v>
      </c>
      <c r="D73" s="345" t="s">
        <v>384</v>
      </c>
      <c r="E73" s="1556"/>
      <c r="F73" s="346">
        <f>AP34</f>
        <v>27898.860380427741</v>
      </c>
      <c r="G73" s="1229">
        <f>$AP$35/Input!$E$86*Input!$E$82*1000*BtuperMJ/1000000*G65/1000000</f>
        <v>0.43083627187686718</v>
      </c>
      <c r="H73" s="1229">
        <f>$AP$35/Input!$E$86*Input!$E$82*1000*BtuperMJ/1000000*H65/1000000</f>
        <v>0.43408786638159824</v>
      </c>
      <c r="I73" s="1228">
        <f>F73+G73*CH4_GWP+H73*N2O_GWP</f>
        <v>28038.989471406381</v>
      </c>
      <c r="K73" s="337" t="s">
        <v>1171</v>
      </c>
      <c r="L73" s="178">
        <f t="shared" si="1"/>
        <v>4079.2199219393506</v>
      </c>
      <c r="M73" s="178">
        <f t="shared" si="1"/>
        <v>6.299454097297609E-2</v>
      </c>
      <c r="N73" s="178">
        <f t="shared" si="1"/>
        <v>6.3469971470885359E-2</v>
      </c>
      <c r="O73" s="178">
        <f t="shared" si="1"/>
        <v>4099.7088369619987</v>
      </c>
    </row>
    <row r="74" spans="3:28">
      <c r="C74" s="337" t="s">
        <v>1383</v>
      </c>
      <c r="D74" s="345" t="s">
        <v>384</v>
      </c>
      <c r="E74" s="1556"/>
      <c r="F74" s="346">
        <f>F66/1000000*Fuel_Specs!$B$24/Fuel_Specs!$E$24*$AU$34*IF(Input!C24="NO",0,1)</f>
        <v>11786.483274850061</v>
      </c>
      <c r="G74" s="1229">
        <f>G66/1000000*Fuel_Specs!$B$24/Fuel_Specs!$E$24*$AU$34</f>
        <v>0.18303527288960669</v>
      </c>
      <c r="H74" s="1229">
        <f>H66/1000000*Fuel_Specs!$B$24/Fuel_Specs!$E$24*$AU$34</f>
        <v>0.18303527288960669</v>
      </c>
      <c r="I74" s="339">
        <f>F74+G74*CH4_GWP+H74*N2O_GWP</f>
        <v>11845.603667993404</v>
      </c>
      <c r="K74" s="337" t="s">
        <v>1269</v>
      </c>
      <c r="L74" s="178">
        <f t="shared" si="1"/>
        <v>1723.3556040913875</v>
      </c>
      <c r="M74" s="178">
        <f t="shared" si="1"/>
        <v>2.6762424034807178E-2</v>
      </c>
      <c r="N74" s="178">
        <f t="shared" si="1"/>
        <v>2.6762424034807178E-2</v>
      </c>
      <c r="O74" s="178">
        <f t="shared" si="1"/>
        <v>1731.9998670546302</v>
      </c>
    </row>
    <row r="75" spans="3:28">
      <c r="C75" s="421" t="s">
        <v>1173</v>
      </c>
      <c r="D75" s="1066" t="s">
        <v>1367</v>
      </c>
      <c r="E75" s="1557"/>
      <c r="F75" s="346">
        <f>F67*$D$24/1000000</f>
        <v>521.22285667041433</v>
      </c>
      <c r="G75" s="1229">
        <f>G67*$D$24/1000000</f>
        <v>2.8138629850410487E-2</v>
      </c>
      <c r="H75" s="1229">
        <f>H67*$D$24/1000000</f>
        <v>3.9998052381535866E-3</v>
      </c>
      <c r="I75" s="1228">
        <f>F75+G75*CH4_GWP+H75*N2O_GWP</f>
        <v>523.11826437764432</v>
      </c>
      <c r="K75" s="421" t="s">
        <v>1173</v>
      </c>
      <c r="L75" s="178">
        <f t="shared" si="1"/>
        <v>76.210376757600542</v>
      </c>
      <c r="M75" s="178">
        <f t="shared" si="1"/>
        <v>4.1142777123038855E-3</v>
      </c>
      <c r="N75" s="178">
        <f t="shared" si="1"/>
        <v>5.8482980985129836E-4</v>
      </c>
      <c r="O75" s="178">
        <f t="shared" si="1"/>
        <v>76.487512983743812</v>
      </c>
    </row>
    <row r="76" spans="3:28">
      <c r="C76" s="337" t="s">
        <v>474</v>
      </c>
      <c r="D76" s="337" t="s">
        <v>1380</v>
      </c>
      <c r="E76" s="1558"/>
      <c r="F76" s="346">
        <f>AM41*Input!E130/Input!C131</f>
        <v>841.58327483093922</v>
      </c>
      <c r="G76" s="1229">
        <v>0</v>
      </c>
      <c r="H76" s="1229">
        <v>0</v>
      </c>
      <c r="I76" s="346">
        <f>F76</f>
        <v>841.58327483093922</v>
      </c>
      <c r="K76" s="337" t="s">
        <v>474</v>
      </c>
      <c r="L76" s="178">
        <f t="shared" si="1"/>
        <v>123.0517380942817</v>
      </c>
      <c r="M76" s="178">
        <f t="shared" si="1"/>
        <v>0</v>
      </c>
      <c r="N76" s="178">
        <f t="shared" si="1"/>
        <v>0</v>
      </c>
      <c r="O76" s="178">
        <f t="shared" si="1"/>
        <v>123.0517380942817</v>
      </c>
    </row>
    <row r="77" spans="3:28">
      <c r="C77" s="1234" t="s">
        <v>386</v>
      </c>
      <c r="D77" s="1234" t="s">
        <v>1177</v>
      </c>
      <c r="E77" s="1559"/>
      <c r="F77" s="1235">
        <v>0</v>
      </c>
      <c r="G77" s="1236">
        <f>N19</f>
        <v>3.7810855629139071</v>
      </c>
      <c r="H77" s="1236">
        <v>0</v>
      </c>
      <c r="I77" s="1231">
        <f>F77+G77*CH4_GWP+H77*N2O_GWP</f>
        <v>94.527139072847675</v>
      </c>
      <c r="K77" s="421" t="s">
        <v>386</v>
      </c>
      <c r="L77" s="178">
        <f t="shared" si="1"/>
        <v>0</v>
      </c>
      <c r="M77" s="178">
        <f t="shared" si="1"/>
        <v>0.55284980620986912</v>
      </c>
      <c r="N77" s="178">
        <f t="shared" si="1"/>
        <v>0</v>
      </c>
      <c r="O77" s="178">
        <f t="shared" si="1"/>
        <v>13.821245155246729</v>
      </c>
    </row>
    <row r="78" spans="3:28" ht="15.75" thickBot="1">
      <c r="C78" s="275" t="s">
        <v>1186</v>
      </c>
      <c r="D78" s="275"/>
      <c r="E78" s="1560"/>
      <c r="F78" s="1523">
        <f>SUM(F72:F77)</f>
        <v>46406.351264019155</v>
      </c>
      <c r="G78" s="1523">
        <f>SUM(G72:G77)</f>
        <v>4.5188264575307917</v>
      </c>
      <c r="H78" s="1523">
        <f>SUM(H72:H77)</f>
        <v>0.65273214450935857</v>
      </c>
      <c r="I78" s="1523">
        <f>SUM(I72:I77)</f>
        <v>46713.836104521215</v>
      </c>
      <c r="K78" s="1452" t="s">
        <v>1186</v>
      </c>
      <c r="L78" s="1453">
        <f t="shared" si="1"/>
        <v>6785.2847750550281</v>
      </c>
      <c r="M78" s="1453">
        <f t="shared" si="1"/>
        <v>0.66071827515499448</v>
      </c>
      <c r="N78" s="1453">
        <f t="shared" si="1"/>
        <v>9.5438950955886587E-2</v>
      </c>
      <c r="O78" s="1453">
        <f t="shared" si="1"/>
        <v>6830.2435393187579</v>
      </c>
    </row>
    <row r="79" spans="3:28">
      <c r="C79" s="421" t="s">
        <v>1178</v>
      </c>
      <c r="D79" s="421" t="s">
        <v>240</v>
      </c>
      <c r="E79" s="1561"/>
      <c r="F79" s="343">
        <f>F68*'Direct End use'!$F$22/1000</f>
        <v>939.78553680000005</v>
      </c>
      <c r="G79" s="343">
        <f>G68*'Direct End use'!$F$22/1000</f>
        <v>1.67904E-2</v>
      </c>
      <c r="H79" s="343">
        <f>H68*'Direct End use'!$F$22/1000</f>
        <v>5.5439999999999994E-3</v>
      </c>
      <c r="I79" s="343">
        <f>I68*'Direct End use'!$F$22/1000</f>
        <v>941.85740880000014</v>
      </c>
    </row>
    <row r="80" spans="3:28">
      <c r="C80" s="198" t="s">
        <v>385</v>
      </c>
      <c r="D80" s="1238" t="s">
        <v>1179</v>
      </c>
      <c r="E80" s="1562"/>
      <c r="F80" s="1241">
        <f>F69*'Direct End use'!$F$22/1000</f>
        <v>0.71718015267701696</v>
      </c>
      <c r="G80" s="1241">
        <f>G69*'Direct End use'!$F$22/1000</f>
        <v>1.3697368244076234E-3</v>
      </c>
      <c r="H80" s="1241">
        <f>H69*'Direct End use'!$F$22/1000</f>
        <v>1.404858281443716E-5</v>
      </c>
      <c r="I80" s="1241">
        <f>I69*'Direct End use'!$F$22/1000</f>
        <v>0.75561005096590983</v>
      </c>
    </row>
    <row r="81" spans="1:19">
      <c r="C81" s="182" t="s">
        <v>386</v>
      </c>
      <c r="D81" s="1233"/>
      <c r="E81" s="1556"/>
      <c r="F81" s="1242"/>
      <c r="G81" s="1242"/>
      <c r="H81" s="1242"/>
      <c r="I81" s="1242"/>
    </row>
    <row r="82" spans="1:19">
      <c r="A82" s="1383" t="s">
        <v>1488</v>
      </c>
      <c r="C82" s="421" t="s">
        <v>1184</v>
      </c>
      <c r="D82" s="421" t="s">
        <v>1177</v>
      </c>
      <c r="E82" s="1556"/>
      <c r="F82" s="1242">
        <v>0</v>
      </c>
      <c r="G82" s="1242">
        <f>G123</f>
        <v>6.8686341798940536</v>
      </c>
      <c r="H82" s="1242">
        <v>0</v>
      </c>
      <c r="I82" s="1242">
        <f>H123</f>
        <v>171.71585449735133</v>
      </c>
      <c r="J82" t="s">
        <v>1043</v>
      </c>
    </row>
    <row r="83" spans="1:19">
      <c r="C83" s="421" t="s">
        <v>1185</v>
      </c>
      <c r="D83" s="421" t="s">
        <v>1177</v>
      </c>
      <c r="E83" s="1556"/>
      <c r="F83" s="1242">
        <v>0</v>
      </c>
      <c r="G83" s="1242">
        <f>G124</f>
        <v>176.93409418475926</v>
      </c>
      <c r="H83" s="1242">
        <v>0</v>
      </c>
      <c r="I83" s="1242">
        <f>H124</f>
        <v>4423.3523546189817</v>
      </c>
    </row>
    <row r="84" spans="1:19" ht="15.75" thickBot="1">
      <c r="C84" s="1234" t="s">
        <v>1314</v>
      </c>
      <c r="D84" s="1234" t="s">
        <v>1177</v>
      </c>
      <c r="E84" s="1563"/>
      <c r="F84" s="1241">
        <v>1</v>
      </c>
      <c r="G84" s="1241">
        <f>G125</f>
        <v>0</v>
      </c>
      <c r="H84" s="1241">
        <v>1</v>
      </c>
      <c r="I84" s="1241">
        <f>H125</f>
        <v>0</v>
      </c>
    </row>
    <row r="85" spans="1:19" ht="15.75" thickTop="1">
      <c r="C85" s="275" t="s">
        <v>211</v>
      </c>
      <c r="D85" s="275"/>
      <c r="E85" s="1560"/>
      <c r="F85" s="1523">
        <f>SUM(F78:F84)</f>
        <v>47347.853980971835</v>
      </c>
      <c r="G85" s="1523">
        <f>SUM(G78:G84)</f>
        <v>188.33971495900852</v>
      </c>
      <c r="H85" s="1523">
        <f>SUM(H78:H84)</f>
        <v>1.658290193092173</v>
      </c>
      <c r="I85" s="1523">
        <f>SUM(I78:I84)</f>
        <v>52251.517332488518</v>
      </c>
      <c r="J85" s="334"/>
      <c r="K85" s="1451" t="s">
        <v>211</v>
      </c>
      <c r="L85" s="1451">
        <f>F85*1000/$AU$53</f>
        <v>6922.9461915854235</v>
      </c>
      <c r="M85" s="1451">
        <f>G85*1000/$AU$53</f>
        <v>27.538010760186726</v>
      </c>
      <c r="N85" s="1451">
        <f>H85*1000/$AU$53</f>
        <v>0.24246619036682429</v>
      </c>
      <c r="O85" s="1451">
        <f>I85*1000/$AU$53</f>
        <v>7639.9332283757785</v>
      </c>
      <c r="S85" s="301"/>
    </row>
    <row r="86" spans="1:19" ht="29.25" customHeight="1">
      <c r="E86" s="1564"/>
      <c r="P86" s="301"/>
      <c r="S86" s="301"/>
    </row>
    <row r="87" spans="1:19" ht="17.25" customHeight="1">
      <c r="C87" s="1438"/>
      <c r="D87" s="1439"/>
      <c r="E87" s="1439"/>
      <c r="F87" s="1771" t="s">
        <v>1214</v>
      </c>
      <c r="G87" s="1771"/>
      <c r="H87" s="1771"/>
      <c r="I87" s="1771"/>
      <c r="K87" s="421"/>
      <c r="L87" s="1313"/>
      <c r="M87" s="1313"/>
      <c r="N87" s="1313"/>
      <c r="O87" s="1313"/>
      <c r="P87" s="301"/>
      <c r="S87" s="301"/>
    </row>
    <row r="88" spans="1:19" ht="18.75" thickBot="1">
      <c r="A88" s="677"/>
      <c r="C88" s="781" t="s">
        <v>1174</v>
      </c>
      <c r="D88" s="279" t="s">
        <v>1172</v>
      </c>
      <c r="E88" s="279"/>
      <c r="F88" s="279" t="s">
        <v>277</v>
      </c>
      <c r="G88" s="279" t="s">
        <v>278</v>
      </c>
      <c r="H88" s="279" t="s">
        <v>279</v>
      </c>
      <c r="I88" s="279" t="s">
        <v>276</v>
      </c>
      <c r="J88" s="677"/>
    </row>
    <row r="89" spans="1:19" ht="15.75" thickTop="1">
      <c r="A89" s="677"/>
      <c r="C89" s="421" t="str">
        <f>C79</f>
        <v xml:space="preserve">Vaporizer </v>
      </c>
      <c r="D89" s="421" t="str">
        <f t="shared" ref="D89" si="2">D79</f>
        <v>Boiler</v>
      </c>
      <c r="E89" s="421"/>
      <c r="F89" s="343">
        <f t="shared" ref="F89:I90" si="3">F79</f>
        <v>939.78553680000005</v>
      </c>
      <c r="G89" s="343">
        <f t="shared" si="3"/>
        <v>1.67904E-2</v>
      </c>
      <c r="H89" s="343">
        <f t="shared" si="3"/>
        <v>5.5439999999999994E-3</v>
      </c>
      <c r="I89" s="343">
        <f t="shared" si="3"/>
        <v>941.85740880000014</v>
      </c>
      <c r="J89" s="677"/>
      <c r="K89" s="317"/>
      <c r="L89" s="398"/>
      <c r="M89" s="398"/>
      <c r="N89" s="398"/>
      <c r="O89" s="398"/>
    </row>
    <row r="90" spans="1:19">
      <c r="A90" s="677"/>
      <c r="C90" s="198" t="str">
        <f>C80</f>
        <v>Vaporizer</v>
      </c>
      <c r="D90" s="1238" t="str">
        <f t="shared" ref="D90" si="4">D80</f>
        <v xml:space="preserve">Pump - power </v>
      </c>
      <c r="E90" s="1238"/>
      <c r="F90" s="1241">
        <f t="shared" si="3"/>
        <v>0.71718015267701696</v>
      </c>
      <c r="G90" s="1241">
        <f t="shared" si="3"/>
        <v>1.3697368244076234E-3</v>
      </c>
      <c r="H90" s="1241">
        <f t="shared" si="3"/>
        <v>1.404858281443716E-5</v>
      </c>
      <c r="I90" s="1241">
        <f t="shared" si="3"/>
        <v>0.75561005096590983</v>
      </c>
      <c r="J90" s="677"/>
      <c r="K90" s="317"/>
      <c r="L90" s="398"/>
      <c r="M90" s="398"/>
      <c r="N90" s="398"/>
      <c r="O90" s="398"/>
    </row>
    <row r="91" spans="1:19">
      <c r="A91" s="677"/>
      <c r="C91" s="200"/>
      <c r="D91" s="1313"/>
      <c r="E91" s="1313"/>
      <c r="F91" s="1313"/>
      <c r="G91" s="1313"/>
      <c r="H91" s="1313"/>
      <c r="I91" s="1313"/>
      <c r="J91" s="677"/>
      <c r="K91" s="317"/>
      <c r="L91" s="398"/>
      <c r="M91" s="398"/>
      <c r="N91" s="398"/>
      <c r="O91" s="398"/>
    </row>
    <row r="92" spans="1:19">
      <c r="A92" s="677"/>
      <c r="C92" s="200"/>
      <c r="D92" s="1313"/>
      <c r="E92" s="1313"/>
      <c r="F92" s="1313"/>
      <c r="G92" s="1313"/>
      <c r="H92" s="1313"/>
      <c r="I92" s="1313"/>
      <c r="J92" s="677"/>
      <c r="K92" s="317"/>
      <c r="L92" s="398"/>
      <c r="M92" s="398"/>
      <c r="N92" s="398"/>
      <c r="O92" s="398"/>
    </row>
    <row r="93" spans="1:19">
      <c r="A93" s="677"/>
      <c r="C93" s="1461"/>
      <c r="D93" s="1462"/>
      <c r="E93" s="1462"/>
      <c r="F93" s="1462"/>
      <c r="G93" s="1313"/>
      <c r="H93" s="1313"/>
      <c r="I93" s="1313"/>
      <c r="J93" s="677"/>
      <c r="K93" s="317"/>
      <c r="L93" s="398"/>
      <c r="M93" s="398"/>
      <c r="N93" s="398"/>
      <c r="O93" s="398"/>
    </row>
    <row r="94" spans="1:19">
      <c r="A94" s="677"/>
      <c r="C94" s="689"/>
      <c r="D94" s="677"/>
      <c r="E94" s="677"/>
      <c r="F94" s="677"/>
      <c r="G94" s="677"/>
      <c r="H94" s="677"/>
      <c r="I94" s="677"/>
      <c r="J94" s="677"/>
      <c r="K94" s="343"/>
    </row>
    <row r="95" spans="1:19" ht="50.25" thickBot="1">
      <c r="A95" s="718" t="s">
        <v>1181</v>
      </c>
      <c r="C95" s="744" t="s">
        <v>1175</v>
      </c>
      <c r="D95" s="747" t="s">
        <v>1331</v>
      </c>
      <c r="E95" s="747" t="s">
        <v>1332</v>
      </c>
      <c r="F95" s="747" t="s">
        <v>1010</v>
      </c>
      <c r="H95" s="677"/>
      <c r="I95" s="677"/>
      <c r="J95" s="677"/>
      <c r="K95" s="343"/>
    </row>
    <row r="96" spans="1:19" ht="15.75" thickTop="1">
      <c r="A96" s="677"/>
      <c r="C96" s="677" t="s">
        <v>1011</v>
      </c>
      <c r="D96" s="684">
        <f>I111*J123</f>
        <v>2.3528258570854228</v>
      </c>
      <c r="E96" s="710">
        <f>J111*J123</f>
        <v>58.820646427135571</v>
      </c>
      <c r="F96" s="719">
        <f>(D123+D124)/D126*J123</f>
        <v>1</v>
      </c>
      <c r="G96" s="677"/>
      <c r="H96" s="677" t="s">
        <v>1395</v>
      </c>
      <c r="I96" s="677"/>
      <c r="J96" s="677"/>
      <c r="K96" s="343"/>
    </row>
    <row r="97" spans="1:11">
      <c r="A97" s="677"/>
      <c r="C97" s="677" t="s">
        <v>1012</v>
      </c>
      <c r="D97" s="684">
        <f>I115*J124</f>
        <v>6.416091944287035</v>
      </c>
      <c r="E97" s="720">
        <f>J115*J124</f>
        <v>160.40229860717588</v>
      </c>
      <c r="F97" s="719">
        <f>D124/D126*J124</f>
        <v>0.51999999999999991</v>
      </c>
      <c r="G97" s="677"/>
      <c r="H97" s="677"/>
      <c r="I97" s="677"/>
      <c r="J97" s="677"/>
      <c r="K97" s="343"/>
    </row>
    <row r="98" spans="1:11">
      <c r="A98" s="677"/>
      <c r="C98" s="677" t="s">
        <v>1013</v>
      </c>
      <c r="D98" s="684">
        <f>I119*J125</f>
        <v>0</v>
      </c>
      <c r="E98" s="720">
        <f>J119*J125</f>
        <v>0</v>
      </c>
      <c r="F98" s="719">
        <f>(D124+D125)/D126*J125</f>
        <v>0</v>
      </c>
      <c r="G98" s="677"/>
      <c r="H98" s="677"/>
      <c r="I98" s="677">
        <v>10000</v>
      </c>
      <c r="J98" s="677" t="s">
        <v>291</v>
      </c>
      <c r="K98" s="343"/>
    </row>
    <row r="99" spans="1:11">
      <c r="A99" s="677"/>
      <c r="C99" s="745" t="s">
        <v>211</v>
      </c>
      <c r="D99" s="748">
        <f>SUM(D96:D98)</f>
        <v>8.7689178013724582</v>
      </c>
      <c r="E99" s="746">
        <f>SUMPRODUCT(E96:E98,F96:F98)</f>
        <v>142.22984170286702</v>
      </c>
      <c r="F99" s="749"/>
      <c r="G99" s="677"/>
      <c r="H99" s="677"/>
      <c r="I99" s="677">
        <v>0.5</v>
      </c>
      <c r="J99" s="677" t="s">
        <v>1396</v>
      </c>
      <c r="K99" s="343" t="s">
        <v>1397</v>
      </c>
    </row>
    <row r="100" spans="1:11">
      <c r="A100" s="677"/>
      <c r="C100" s="677" t="s">
        <v>1399</v>
      </c>
      <c r="D100" s="1463"/>
      <c r="E100" s="1206"/>
      <c r="F100" s="1464"/>
      <c r="G100" s="677"/>
      <c r="H100" s="677"/>
      <c r="I100" s="677">
        <f>I99*0.4</f>
        <v>0.2</v>
      </c>
      <c r="J100" s="677" t="s">
        <v>1398</v>
      </c>
      <c r="K100" s="343"/>
    </row>
    <row r="101" spans="1:11">
      <c r="A101" s="677"/>
      <c r="C101" s="679"/>
      <c r="D101" s="1463"/>
      <c r="E101" s="1206"/>
      <c r="F101" s="1464"/>
      <c r="G101" s="677"/>
      <c r="H101" s="677"/>
      <c r="I101" s="677">
        <f>I100/I98/80000*1000000</f>
        <v>2.5000000000000001E-4</v>
      </c>
      <c r="J101" s="677"/>
      <c r="K101" s="343"/>
    </row>
    <row r="102" spans="1:11">
      <c r="A102" s="677"/>
      <c r="C102" s="679"/>
      <c r="D102" s="1463"/>
      <c r="E102" s="1206"/>
      <c r="F102" s="1464"/>
      <c r="G102" s="677"/>
      <c r="H102" s="677"/>
      <c r="I102" s="677"/>
      <c r="J102" s="677"/>
      <c r="K102" s="343"/>
    </row>
    <row r="103" spans="1:11">
      <c r="A103" s="677"/>
      <c r="C103" s="679"/>
      <c r="D103" s="1463"/>
      <c r="E103" s="1206"/>
      <c r="F103" s="1464"/>
      <c r="G103" s="677"/>
      <c r="H103" s="677"/>
      <c r="I103" s="677"/>
      <c r="J103" s="677"/>
      <c r="K103" s="343"/>
    </row>
    <row r="104" spans="1:11">
      <c r="A104" s="677"/>
      <c r="C104" s="677"/>
      <c r="D104" s="677"/>
      <c r="E104" s="677"/>
      <c r="F104" s="677"/>
      <c r="G104" s="677"/>
      <c r="H104" s="677"/>
      <c r="I104" s="677"/>
      <c r="J104" s="677"/>
      <c r="K104" s="343"/>
    </row>
    <row r="105" spans="1:11" ht="15.75" thickBot="1">
      <c r="A105" s="677"/>
      <c r="C105" s="743" t="s">
        <v>1014</v>
      </c>
      <c r="D105" s="800">
        <f>E126</f>
        <v>1.4130686606877508E-3</v>
      </c>
      <c r="E105" s="729" t="s">
        <v>1015</v>
      </c>
      <c r="F105" s="729"/>
      <c r="G105" s="677"/>
      <c r="H105" s="722"/>
      <c r="I105" s="722"/>
      <c r="J105" s="677"/>
      <c r="K105" s="343"/>
    </row>
    <row r="106" spans="1:11" ht="15.75" thickTop="1">
      <c r="A106" s="677"/>
      <c r="C106" s="677"/>
      <c r="D106" s="677"/>
      <c r="E106" s="677"/>
      <c r="F106" s="677"/>
      <c r="G106" s="677"/>
      <c r="H106" s="722"/>
      <c r="I106" s="722"/>
      <c r="J106" s="677"/>
      <c r="K106" s="343"/>
    </row>
    <row r="107" spans="1:11" ht="15.75" thickBot="1">
      <c r="A107" s="677"/>
      <c r="C107" s="729" t="s">
        <v>1016</v>
      </c>
      <c r="D107" s="801">
        <v>380000</v>
      </c>
      <c r="E107" s="729" t="s">
        <v>1017</v>
      </c>
      <c r="F107" s="729"/>
      <c r="G107" s="677"/>
      <c r="H107" s="722"/>
      <c r="I107" s="722"/>
      <c r="J107" s="677"/>
      <c r="K107" s="343"/>
    </row>
    <row r="108" spans="1:11" ht="15.75" thickTop="1">
      <c r="A108" s="677"/>
      <c r="C108" s="677"/>
      <c r="D108" s="720"/>
      <c r="E108" s="677"/>
      <c r="F108" s="677"/>
      <c r="G108" s="677"/>
      <c r="H108" s="677"/>
      <c r="I108" s="677"/>
      <c r="J108" s="677"/>
      <c r="K108" s="343"/>
    </row>
    <row r="109" spans="1:11">
      <c r="A109" s="677"/>
      <c r="C109" s="1648" t="s">
        <v>1018</v>
      </c>
      <c r="D109" s="677"/>
      <c r="E109" s="677"/>
      <c r="F109" s="677"/>
      <c r="G109" s="677"/>
      <c r="H109" s="677"/>
      <c r="I109" s="677"/>
      <c r="J109" s="677"/>
      <c r="K109" s="343"/>
    </row>
    <row r="110" spans="1:11" ht="60.75" thickBot="1">
      <c r="A110" s="677"/>
      <c r="C110" s="1649" t="s">
        <v>1019</v>
      </c>
      <c r="D110" s="729"/>
      <c r="E110" s="730" t="s">
        <v>1020</v>
      </c>
      <c r="F110" s="731" t="s">
        <v>1021</v>
      </c>
      <c r="G110" s="731" t="s">
        <v>1022</v>
      </c>
      <c r="H110" s="731" t="s">
        <v>1023</v>
      </c>
      <c r="I110" s="731" t="s">
        <v>1315</v>
      </c>
      <c r="J110" s="731" t="s">
        <v>1316</v>
      </c>
      <c r="K110" s="343"/>
    </row>
    <row r="111" spans="1:11" ht="15.75" thickTop="1">
      <c r="A111" s="677"/>
      <c r="C111" s="1650">
        <v>2.2000000000000001E-3</v>
      </c>
      <c r="D111" s="751"/>
      <c r="E111" s="750">
        <v>0.95</v>
      </c>
      <c r="F111" s="733">
        <f>C111*(1-E111)</f>
        <v>1.100000000000001E-4</v>
      </c>
      <c r="G111" s="734">
        <f>G115+H111</f>
        <v>380994.03823803569</v>
      </c>
      <c r="H111" s="735">
        <f>G115/(1-F111)-G115</f>
        <v>41.909344206214882</v>
      </c>
      <c r="I111" s="736">
        <f>H111*Fuel_Specs!$E$25/($D$107*Fuel_Specs!$C$25/1000000)</f>
        <v>2.3528258570854228</v>
      </c>
      <c r="J111" s="734">
        <f>I111*CH4_GWP</f>
        <v>58.820646427135571</v>
      </c>
      <c r="K111" s="343"/>
    </row>
    <row r="112" spans="1:11">
      <c r="A112" s="677"/>
      <c r="C112" s="1651"/>
      <c r="D112" s="679"/>
      <c r="E112" s="737"/>
      <c r="F112" s="738"/>
      <c r="G112" s="739"/>
      <c r="H112" s="740"/>
      <c r="I112" s="716"/>
      <c r="J112" s="739"/>
      <c r="K112" s="343"/>
    </row>
    <row r="113" spans="1:17">
      <c r="A113" s="677"/>
      <c r="C113" s="1648" t="s">
        <v>1012</v>
      </c>
      <c r="D113" s="724"/>
      <c r="E113" s="725"/>
      <c r="F113" s="725"/>
      <c r="G113" s="726"/>
      <c r="H113" s="727"/>
      <c r="I113" s="723"/>
      <c r="J113" s="728"/>
      <c r="K113" s="343"/>
    </row>
    <row r="114" spans="1:17" ht="60.75" thickBot="1">
      <c r="A114" s="677"/>
      <c r="C114" s="1652" t="s">
        <v>1024</v>
      </c>
      <c r="D114" s="730" t="s">
        <v>1025</v>
      </c>
      <c r="E114" s="730" t="s">
        <v>1020</v>
      </c>
      <c r="F114" s="731" t="s">
        <v>1021</v>
      </c>
      <c r="G114" s="731" t="s">
        <v>1022</v>
      </c>
      <c r="H114" s="731" t="s">
        <v>1023</v>
      </c>
      <c r="I114" s="731" t="s">
        <v>1315</v>
      </c>
      <c r="J114" s="731" t="s">
        <v>1316</v>
      </c>
      <c r="K114" s="343"/>
    </row>
    <row r="115" spans="1:17" ht="15.75" thickTop="1">
      <c r="A115" s="943" t="s">
        <v>1522</v>
      </c>
      <c r="C115" s="1650">
        <v>1.5E-3</v>
      </c>
      <c r="D115" s="753">
        <v>4</v>
      </c>
      <c r="E115" s="1637">
        <v>0.95</v>
      </c>
      <c r="F115" s="1634">
        <f>C115*D115*(1-E115)</f>
        <v>3.000000000000003E-4</v>
      </c>
      <c r="G115" s="734">
        <f>G119+H115</f>
        <v>380952.12889382947</v>
      </c>
      <c r="H115" s="734">
        <f>G119/(1-F115)-G119</f>
        <v>114.28563866810873</v>
      </c>
      <c r="I115" s="736">
        <f>H115*Fuel_Specs!$E$25/($D$107*Fuel_Specs!$C$25/1000000)</f>
        <v>6.416091944287035</v>
      </c>
      <c r="J115" s="734">
        <f>I115*CH4_GWP</f>
        <v>160.40229860717588</v>
      </c>
      <c r="K115" s="343"/>
    </row>
    <row r="116" spans="1:17">
      <c r="A116" s="677"/>
      <c r="C116" s="1651"/>
      <c r="D116" s="741"/>
      <c r="E116" s="737"/>
      <c r="F116" s="742"/>
      <c r="G116" s="739"/>
      <c r="H116" s="739"/>
      <c r="I116" s="716"/>
      <c r="J116" s="739"/>
      <c r="K116" s="343"/>
    </row>
    <row r="117" spans="1:17">
      <c r="A117" s="677"/>
      <c r="C117" s="1648" t="s">
        <v>1013</v>
      </c>
      <c r="D117" s="723"/>
      <c r="E117" s="723"/>
      <c r="F117" s="723"/>
      <c r="G117" s="723"/>
      <c r="H117" s="723"/>
      <c r="I117" s="723"/>
      <c r="J117" s="723"/>
      <c r="K117" s="343"/>
    </row>
    <row r="118" spans="1:17" ht="60.75" thickBot="1">
      <c r="A118" s="677"/>
      <c r="C118" s="1649" t="s">
        <v>1019</v>
      </c>
      <c r="D118" s="729"/>
      <c r="E118" s="730" t="s">
        <v>1020</v>
      </c>
      <c r="F118" s="731" t="s">
        <v>1021</v>
      </c>
      <c r="G118" s="731" t="s">
        <v>1022</v>
      </c>
      <c r="H118" s="731" t="s">
        <v>1023</v>
      </c>
      <c r="I118" s="731" t="s">
        <v>1315</v>
      </c>
      <c r="J118" s="731" t="s">
        <v>1316</v>
      </c>
      <c r="K118" s="343"/>
    </row>
    <row r="119" spans="1:17" ht="15.75" thickTop="1">
      <c r="A119" s="677"/>
      <c r="C119" s="1650">
        <v>2.2000000000000001E-3</v>
      </c>
      <c r="D119" s="751"/>
      <c r="E119" s="750">
        <v>0</v>
      </c>
      <c r="F119" s="732">
        <f>C119*(1-E119)</f>
        <v>2.2000000000000001E-3</v>
      </c>
      <c r="G119" s="734">
        <f>H119+D107</f>
        <v>380837.84325516137</v>
      </c>
      <c r="H119" s="734">
        <f>D107/(1-F119)-D107</f>
        <v>837.84325516136596</v>
      </c>
      <c r="I119" s="736">
        <f>H119*Fuel_Specs!$E$25/($D$107*Fuel_Specs!$C$25/1000000)</f>
        <v>47.037225522511292</v>
      </c>
      <c r="J119" s="734">
        <f>I119*CH4_GWP</f>
        <v>1175.9306380627822</v>
      </c>
      <c r="K119" s="343"/>
    </row>
    <row r="120" spans="1:17">
      <c r="A120" s="677"/>
      <c r="C120" s="724"/>
      <c r="D120" s="677"/>
      <c r="E120" s="725"/>
      <c r="F120" s="724"/>
      <c r="G120" s="727"/>
      <c r="H120" s="727"/>
      <c r="I120" s="728"/>
      <c r="J120" s="727"/>
      <c r="K120" s="343"/>
    </row>
    <row r="121" spans="1:17">
      <c r="A121" s="677"/>
      <c r="C121" s="724"/>
      <c r="D121" s="677"/>
      <c r="E121" s="725"/>
      <c r="F121" s="724"/>
      <c r="G121" s="727"/>
      <c r="H121" s="727"/>
      <c r="I121" s="728"/>
      <c r="J121" s="727"/>
      <c r="K121" s="343"/>
    </row>
    <row r="122" spans="1:17" ht="48.75" thickBot="1">
      <c r="A122" s="677"/>
      <c r="C122" s="1225" t="s">
        <v>1544</v>
      </c>
      <c r="D122" s="747" t="s">
        <v>1026</v>
      </c>
      <c r="E122" s="1416" t="s">
        <v>1014</v>
      </c>
      <c r="F122" s="747" t="s">
        <v>1183</v>
      </c>
      <c r="G122" s="747" t="s">
        <v>1317</v>
      </c>
      <c r="H122" s="747" t="s">
        <v>1333</v>
      </c>
      <c r="I122" s="677"/>
      <c r="J122" s="723" t="s">
        <v>1060</v>
      </c>
      <c r="K122" s="343"/>
      <c r="M122" s="1628" t="s">
        <v>1415</v>
      </c>
      <c r="N122" s="1628"/>
      <c r="O122" s="1628"/>
      <c r="P122" s="235"/>
      <c r="Q122" s="235"/>
    </row>
    <row r="123" spans="1:17" ht="16.5" thickTop="1" thickBot="1">
      <c r="A123" s="677"/>
      <c r="C123" s="677" t="s">
        <v>1027</v>
      </c>
      <c r="D123" s="720">
        <f>('Direct End use'!E31+'Direct End use'!E28)*1000000</f>
        <v>37931506.84931507</v>
      </c>
      <c r="E123" s="721">
        <f>(1/((1-F111)))-1</f>
        <v>1.1001210133110284E-4</v>
      </c>
      <c r="F123" s="720">
        <f>D123*E123</f>
        <v>4172.9247751482708</v>
      </c>
      <c r="G123" s="720">
        <f>F123*Fuel_Specs!$E$25/1000000</f>
        <v>6.8686341798940536</v>
      </c>
      <c r="H123" s="720">
        <f>G123*CH4_GWP</f>
        <v>171.71585449735133</v>
      </c>
      <c r="I123" s="677"/>
      <c r="J123" s="723">
        <f>IF(D123&gt;0,1,0)</f>
        <v>1</v>
      </c>
      <c r="K123" s="343"/>
      <c r="M123" s="1628" t="s">
        <v>1414</v>
      </c>
      <c r="N123" s="1628"/>
      <c r="O123" s="1628"/>
      <c r="P123" s="235"/>
      <c r="Q123" s="235"/>
    </row>
    <row r="124" spans="1:17" ht="15.75" thickTop="1">
      <c r="A124" s="677"/>
      <c r="C124" s="677" t="s">
        <v>1028</v>
      </c>
      <c r="D124" s="720">
        <f>'Direct End use'!E39*1000000</f>
        <v>41092465.753424652</v>
      </c>
      <c r="E124" s="721">
        <f>(1/((1-F111)*(1-F115)*(1-F119)))-1</f>
        <v>2.6158901000938872E-3</v>
      </c>
      <c r="F124" s="720">
        <f>D124*E124</f>
        <v>107493.37435283065</v>
      </c>
      <c r="G124" s="720">
        <f>F124/1000000*Fuel_Specs!$E$25</f>
        <v>176.93409418475926</v>
      </c>
      <c r="H124" s="720">
        <f>G124*CH4_GWP</f>
        <v>4423.3523546189817</v>
      </c>
      <c r="I124" s="677"/>
      <c r="J124" s="723">
        <f>IF(D124&gt;0,1,0)</f>
        <v>1</v>
      </c>
      <c r="K124" s="343"/>
      <c r="M124" s="235"/>
      <c r="N124" s="235"/>
      <c r="O124" s="235"/>
      <c r="P124" s="235"/>
      <c r="Q124" s="235"/>
    </row>
    <row r="125" spans="1:17">
      <c r="A125" s="677"/>
      <c r="C125" s="677" t="s">
        <v>372</v>
      </c>
      <c r="D125" s="720">
        <f>('Direct End use'!E35+'Direct End use'!E25)*1000000</f>
        <v>0</v>
      </c>
      <c r="E125" s="721">
        <f>(1/((1-F119)))-1</f>
        <v>2.2048506714771321E-3</v>
      </c>
      <c r="F125" s="720">
        <f>D125*E125</f>
        <v>0</v>
      </c>
      <c r="G125" s="720">
        <f>F125/1000000*Fuel_Specs!$E$25</f>
        <v>0</v>
      </c>
      <c r="H125" s="720">
        <f>G125*CH4_GWP</f>
        <v>0</v>
      </c>
      <c r="I125" s="677"/>
      <c r="J125" s="723">
        <f>IF(D125&gt;0,1,0)</f>
        <v>0</v>
      </c>
      <c r="K125" s="343"/>
      <c r="M125" s="235"/>
      <c r="N125" s="235"/>
      <c r="O125" s="235"/>
      <c r="P125" s="235"/>
      <c r="Q125" s="235"/>
    </row>
    <row r="126" spans="1:17">
      <c r="C126" s="824" t="s">
        <v>211</v>
      </c>
      <c r="D126" s="825">
        <f>SUM(D123:D125)</f>
        <v>79023972.602739722</v>
      </c>
      <c r="E126" s="826">
        <f>SUMPRODUCT(D123:D125,E123:E125)/D126</f>
        <v>1.4130686606877508E-3</v>
      </c>
      <c r="F126" s="825">
        <f>D126*E126</f>
        <v>111666.29912797893</v>
      </c>
      <c r="G126" s="825">
        <f>SUM(G123:G125)</f>
        <v>183.80272836465332</v>
      </c>
      <c r="H126" s="825">
        <f>G126*CH4_GWP</f>
        <v>4595.0682091163326</v>
      </c>
      <c r="I126" s="677"/>
      <c r="J126" s="677"/>
      <c r="K126" s="343"/>
    </row>
    <row r="127" spans="1:17">
      <c r="C127" s="689" t="s">
        <v>904</v>
      </c>
      <c r="K127" s="343"/>
    </row>
    <row r="128" spans="1:17">
      <c r="C128" s="689"/>
      <c r="K128" s="343"/>
    </row>
    <row r="129" spans="1:19" ht="15.75" thickBot="1">
      <c r="K129" s="343"/>
      <c r="N129" s="1703" t="s">
        <v>555</v>
      </c>
      <c r="O129" s="1700"/>
      <c r="P129" s="1700"/>
      <c r="Q129" s="1700"/>
      <c r="R129" s="236"/>
      <c r="S129" s="301"/>
    </row>
    <row r="130" spans="1:19" ht="21.75" thickTop="1">
      <c r="A130" s="1239" t="s">
        <v>1180</v>
      </c>
      <c r="C130" s="348" t="s">
        <v>1176</v>
      </c>
      <c r="D130" s="1755" t="s">
        <v>1214</v>
      </c>
      <c r="E130" s="1755"/>
      <c r="F130" s="1755"/>
      <c r="G130" s="1755"/>
      <c r="I130" s="1500" t="s">
        <v>1461</v>
      </c>
      <c r="J130" s="236"/>
      <c r="K130" s="236"/>
      <c r="L130" s="236"/>
      <c r="M130" s="236"/>
      <c r="N130" s="304" t="s">
        <v>554</v>
      </c>
      <c r="O130" s="313"/>
      <c r="P130" s="1776" t="s">
        <v>553</v>
      </c>
      <c r="Q130" s="1776"/>
      <c r="R130" s="1776"/>
      <c r="S130" s="1776"/>
    </row>
    <row r="131" spans="1:19" ht="18.75" thickBot="1">
      <c r="C131" s="179"/>
      <c r="D131" s="1548" t="s">
        <v>277</v>
      </c>
      <c r="E131" s="1548" t="s">
        <v>278</v>
      </c>
      <c r="F131" s="1548" t="s">
        <v>279</v>
      </c>
      <c r="G131" s="1548" t="s">
        <v>276</v>
      </c>
      <c r="H131" s="1313" t="s">
        <v>136</v>
      </c>
      <c r="I131" s="1428" t="s">
        <v>1523</v>
      </c>
      <c r="J131" s="236" t="s">
        <v>1359</v>
      </c>
      <c r="K131" s="236"/>
      <c r="L131" s="236"/>
      <c r="M131" s="236"/>
      <c r="N131" s="228"/>
      <c r="O131" s="228"/>
      <c r="P131" s="500" t="s">
        <v>277</v>
      </c>
      <c r="Q131" s="500" t="s">
        <v>278</v>
      </c>
      <c r="R131" s="500" t="s">
        <v>279</v>
      </c>
      <c r="S131" s="500" t="s">
        <v>276</v>
      </c>
    </row>
    <row r="132" spans="1:19" ht="15.75" thickTop="1">
      <c r="C132" s="249" t="s">
        <v>1458</v>
      </c>
      <c r="D132" s="398">
        <f>$F$72</f>
        <v>5358.2014772399998</v>
      </c>
      <c r="E132" s="1611">
        <f>G72+G76</f>
        <v>9.5730720000000005E-2</v>
      </c>
      <c r="F132" s="1611">
        <f>H72+H76</f>
        <v>3.1609199999999997E-2</v>
      </c>
      <c r="G132" s="398">
        <f t="shared" ref="G132:G137" si="5">D132+E132*CH4_GWP+F132*N2O_GWP</f>
        <v>5370.0142868399998</v>
      </c>
      <c r="H132" s="398">
        <f t="shared" ref="H132:H137" si="6">D132*C_MW/CO2_MW+E132+C_MW/CH4_MW</f>
        <v>1463.5183422773625</v>
      </c>
      <c r="I132" s="1429">
        <f>4930*2</f>
        <v>9860</v>
      </c>
      <c r="J132" s="236" t="s">
        <v>1525</v>
      </c>
      <c r="K132" s="236"/>
      <c r="L132" s="236"/>
      <c r="M132" s="236"/>
      <c r="N132" s="249" t="s">
        <v>384</v>
      </c>
      <c r="P132" s="342">
        <v>27110</v>
      </c>
      <c r="Q132" s="323">
        <v>40</v>
      </c>
      <c r="R132" s="323">
        <v>3.3000000000000002E-2</v>
      </c>
      <c r="S132" s="342">
        <v>28131</v>
      </c>
    </row>
    <row r="133" spans="1:19">
      <c r="C133" s="249" t="s">
        <v>1456</v>
      </c>
      <c r="D133" s="398">
        <f>$F$76</f>
        <v>841.58327483093922</v>
      </c>
      <c r="E133" s="185"/>
      <c r="F133" s="185"/>
      <c r="G133" s="219">
        <f t="shared" si="5"/>
        <v>841.58327483093922</v>
      </c>
      <c r="H133" s="398">
        <f t="shared" si="6"/>
        <v>230.48286007210268</v>
      </c>
      <c r="J133" s="236"/>
      <c r="K133" s="236"/>
      <c r="L133" s="236"/>
      <c r="M133" s="236"/>
    </row>
    <row r="134" spans="1:19">
      <c r="C134" s="249" t="s">
        <v>1462</v>
      </c>
      <c r="D134" s="398">
        <f>F73</f>
        <v>27898.860380427741</v>
      </c>
      <c r="E134" s="398">
        <f>G73</f>
        <v>0.43083627187686718</v>
      </c>
      <c r="F134" s="398">
        <f>H73</f>
        <v>0.43408786638159824</v>
      </c>
      <c r="G134" s="398">
        <f t="shared" si="5"/>
        <v>28038.989471406381</v>
      </c>
      <c r="H134" s="398">
        <f t="shared" si="6"/>
        <v>7616.9691509867644</v>
      </c>
      <c r="I134" s="1429">
        <f>28131*2</f>
        <v>56262</v>
      </c>
      <c r="J134" s="236" t="s">
        <v>1524</v>
      </c>
      <c r="K134" s="236"/>
      <c r="L134" s="236"/>
      <c r="M134" s="236"/>
      <c r="N134" s="249" t="s">
        <v>385</v>
      </c>
      <c r="P134" s="342">
        <v>841</v>
      </c>
      <c r="Q134" s="323">
        <v>3.5999999999999997E-2</v>
      </c>
      <c r="R134" s="323">
        <v>1.6000000000000001E-3</v>
      </c>
      <c r="S134" s="342">
        <v>842</v>
      </c>
    </row>
    <row r="135" spans="1:19">
      <c r="C135" s="249" t="s">
        <v>1361</v>
      </c>
      <c r="D135" s="219">
        <f>+F74</f>
        <v>11786.483274850061</v>
      </c>
      <c r="E135" s="219">
        <f>+G74</f>
        <v>0.18303527288960669</v>
      </c>
      <c r="F135" s="219">
        <f>+H74</f>
        <v>0.18303527288960669</v>
      </c>
      <c r="G135" s="219">
        <f t="shared" si="5"/>
        <v>11845.603667993404</v>
      </c>
      <c r="H135" s="398">
        <f t="shared" si="6"/>
        <v>3218.3884969270775</v>
      </c>
      <c r="I135" s="1430" t="s">
        <v>1457</v>
      </c>
      <c r="J135" s="236"/>
      <c r="K135" s="236"/>
      <c r="L135" s="236"/>
      <c r="M135" s="236"/>
      <c r="N135" s="249" t="s">
        <v>551</v>
      </c>
      <c r="P135" s="342">
        <v>4183</v>
      </c>
      <c r="Q135" s="323">
        <v>7.8799999999999995E-2</v>
      </c>
      <c r="R135" s="323">
        <v>7.9000000000000008E-3</v>
      </c>
      <c r="S135" s="342">
        <v>4186</v>
      </c>
    </row>
    <row r="136" spans="1:19">
      <c r="C136" s="249" t="str">
        <f>C77</f>
        <v>Fugitives</v>
      </c>
      <c r="D136" s="398">
        <f>F77</f>
        <v>0</v>
      </c>
      <c r="E136" s="1611">
        <f>G77</f>
        <v>3.7810855629139071</v>
      </c>
      <c r="F136" s="1611">
        <f>H77</f>
        <v>0</v>
      </c>
      <c r="G136" s="398">
        <f t="shared" si="5"/>
        <v>94.527139072847675</v>
      </c>
      <c r="H136" s="398">
        <f t="shared" si="6"/>
        <v>4.529788966479547</v>
      </c>
      <c r="I136" s="1429">
        <f>95*2</f>
        <v>190</v>
      </c>
      <c r="J136" s="236"/>
      <c r="K136" s="236"/>
      <c r="L136" s="236"/>
      <c r="M136" s="236"/>
      <c r="N136" s="249" t="s">
        <v>552</v>
      </c>
      <c r="P136" s="342">
        <v>744</v>
      </c>
      <c r="Q136" s="323">
        <v>1.4E-2</v>
      </c>
      <c r="R136" s="323">
        <v>1.4E-3</v>
      </c>
      <c r="S136" s="342">
        <v>744</v>
      </c>
    </row>
    <row r="137" spans="1:19">
      <c r="C137" s="249" t="str">
        <f>C67</f>
        <v>Emergency  Generator</v>
      </c>
      <c r="D137" s="1612">
        <f>F75</f>
        <v>521.22285667041433</v>
      </c>
      <c r="E137" s="1613">
        <f>G75</f>
        <v>2.8138629850410487E-2</v>
      </c>
      <c r="F137" s="1613">
        <f>H75</f>
        <v>3.9998052381535866E-3</v>
      </c>
      <c r="G137" s="1612">
        <f t="shared" si="5"/>
        <v>523.11826437764432</v>
      </c>
      <c r="H137" s="398">
        <f t="shared" si="6"/>
        <v>143.05948594360763</v>
      </c>
      <c r="I137" s="1429">
        <v>536</v>
      </c>
      <c r="J137" s="236"/>
      <c r="K137" s="236"/>
      <c r="L137" s="236"/>
      <c r="M137" s="236"/>
      <c r="N137" s="249" t="s">
        <v>556</v>
      </c>
      <c r="P137" s="342">
        <v>534</v>
      </c>
      <c r="Q137" s="323">
        <v>0.03</v>
      </c>
      <c r="R137" s="323">
        <v>6.0000000000000001E-3</v>
      </c>
      <c r="S137" s="342">
        <v>536</v>
      </c>
    </row>
    <row r="138" spans="1:19">
      <c r="C138" s="1067" t="s">
        <v>1133</v>
      </c>
      <c r="D138" s="1547">
        <f>SUM(D132:D137)</f>
        <v>46406.351264019155</v>
      </c>
      <c r="E138" s="1614">
        <f>SUM(E132:E137)</f>
        <v>4.5188264575307908</v>
      </c>
      <c r="F138" s="1614">
        <f>SUM(F132:F137)</f>
        <v>0.65273214450935857</v>
      </c>
      <c r="G138" s="1636">
        <f>D138+E138*CH4_GWP+F138*N2O_GWP+I138</f>
        <v>46713.836104521208</v>
      </c>
      <c r="H138" s="1547">
        <f>SUM(H132:H137)</f>
        <v>12676.948125173394</v>
      </c>
      <c r="I138" s="178">
        <f>J138*G132</f>
        <v>0</v>
      </c>
      <c r="J138" s="236">
        <f>IF(Input!C24="NO",-1,0)</f>
        <v>0</v>
      </c>
      <c r="K138" s="236" t="s">
        <v>1466</v>
      </c>
      <c r="L138" s="236"/>
      <c r="M138" s="236"/>
      <c r="N138" s="249" t="s">
        <v>386</v>
      </c>
      <c r="P138" s="342" t="s">
        <v>550</v>
      </c>
      <c r="Q138" s="323"/>
      <c r="R138" s="323" t="s">
        <v>550</v>
      </c>
      <c r="S138" s="342">
        <v>95</v>
      </c>
    </row>
    <row r="139" spans="1:19">
      <c r="C139" s="249" t="s">
        <v>385</v>
      </c>
      <c r="D139" s="219">
        <f>F79</f>
        <v>939.78553680000005</v>
      </c>
      <c r="E139" s="1615">
        <f>G79</f>
        <v>1.67904E-2</v>
      </c>
      <c r="F139" s="1615">
        <f>H79</f>
        <v>5.5439999999999994E-3</v>
      </c>
      <c r="G139" s="219">
        <f>D139+E139*CH4_GWP+F139*N2O_GWP</f>
        <v>941.85740880000003</v>
      </c>
      <c r="H139" s="398">
        <f>D139*C_MW/CO2_MW+E139+C_MW/CH4_MW</f>
        <v>257.30675858738334</v>
      </c>
      <c r="I139" s="1430"/>
      <c r="N139" s="347" t="s">
        <v>211</v>
      </c>
      <c r="O139" s="347"/>
      <c r="P139" s="347">
        <v>33411</v>
      </c>
      <c r="Q139" s="347">
        <v>40.6</v>
      </c>
      <c r="R139" s="347">
        <v>0.05</v>
      </c>
      <c r="S139" s="347">
        <v>34533</v>
      </c>
    </row>
    <row r="140" spans="1:19">
      <c r="C140" s="184" t="s">
        <v>1543</v>
      </c>
      <c r="D140" s="185">
        <v>0</v>
      </c>
      <c r="E140" s="1615">
        <f>G126</f>
        <v>183.80272836465332</v>
      </c>
      <c r="F140" s="1615">
        <v>0</v>
      </c>
      <c r="G140" s="219">
        <f>D140+E140*CH4_GWP+F140*N2O_GWP</f>
        <v>4595.0682091163326</v>
      </c>
      <c r="H140" s="398">
        <f>D140*C_MW/CO2_MW+E140+C_MW/CH4_MW</f>
        <v>184.55143176821895</v>
      </c>
      <c r="I140" s="1429">
        <f>842*2</f>
        <v>1684</v>
      </c>
    </row>
    <row r="141" spans="1:19">
      <c r="C141" s="1068" t="s">
        <v>211</v>
      </c>
      <c r="D141" s="1547">
        <f>SUM(D138:D139)</f>
        <v>47346.136800819157</v>
      </c>
      <c r="E141" s="1614">
        <f>SUM(E138:E139)</f>
        <v>4.5356168575307905</v>
      </c>
      <c r="F141" s="1614">
        <f>SUM(F138:F139)</f>
        <v>0.65827614450935856</v>
      </c>
      <c r="G141" s="1636">
        <f>D141+E141*CH4_GWP+F141*N2O_GWP</f>
        <v>47655.693513321217</v>
      </c>
      <c r="H141" s="1547">
        <f>SUM(H138:H139)</f>
        <v>12934.254883760777</v>
      </c>
      <c r="I141" s="183">
        <f>SUM(I132:I140)</f>
        <v>68532</v>
      </c>
      <c r="K141" s="1066"/>
    </row>
    <row r="142" spans="1:19">
      <c r="D142" s="1066"/>
      <c r="E142" s="1066"/>
      <c r="F142" s="1066"/>
      <c r="G142" s="1066"/>
      <c r="H142" s="1066"/>
      <c r="I142" s="1066"/>
      <c r="J142" s="1066"/>
      <c r="K142" s="343"/>
    </row>
    <row r="143" spans="1:19">
      <c r="C143" s="1066" t="s">
        <v>1463</v>
      </c>
      <c r="D143" s="1066"/>
      <c r="E143" s="1066"/>
      <c r="F143" s="1066"/>
      <c r="G143" s="1066"/>
      <c r="H143" s="1066"/>
      <c r="I143" s="1066"/>
      <c r="J143" s="1066"/>
      <c r="K143" s="343"/>
    </row>
    <row r="144" spans="1:19">
      <c r="C144" s="1550">
        <f>AU34*1000/Input!D28</f>
        <v>12284.024935849302</v>
      </c>
      <c r="D144" s="1066" t="s">
        <v>1464</v>
      </c>
      <c r="E144" s="1066"/>
      <c r="F144" s="1066"/>
      <c r="G144" s="1066"/>
      <c r="H144" s="1066"/>
      <c r="I144" s="1066"/>
      <c r="J144" s="1066"/>
      <c r="K144" s="343"/>
    </row>
    <row r="145" spans="1:11">
      <c r="C145" s="1550">
        <f>C144/Fuel_Specs!E24*1000</f>
        <v>6387.9484845810202</v>
      </c>
      <c r="D145" s="1066" t="s">
        <v>366</v>
      </c>
      <c r="E145" s="1066"/>
      <c r="F145" s="1066"/>
      <c r="G145" s="1066"/>
      <c r="H145" s="1066"/>
      <c r="I145" s="1066"/>
      <c r="J145" s="1066"/>
      <c r="K145" s="343"/>
    </row>
    <row r="146" spans="1:11">
      <c r="K146" s="343"/>
    </row>
    <row r="147" spans="1:11">
      <c r="K147" s="343"/>
    </row>
    <row r="148" spans="1:11">
      <c r="E148" s="314"/>
      <c r="F148" s="314"/>
    </row>
    <row r="149" spans="1:11" ht="21.75" thickBot="1">
      <c r="A149" s="1239" t="s">
        <v>1541</v>
      </c>
      <c r="C149" s="1739" t="s">
        <v>203</v>
      </c>
      <c r="D149" s="1740" t="s">
        <v>1537</v>
      </c>
      <c r="E149" s="1740" t="s">
        <v>982</v>
      </c>
      <c r="F149" s="1740" t="s">
        <v>32</v>
      </c>
    </row>
    <row r="150" spans="1:11" ht="15.75" thickTop="1">
      <c r="C150" s="301" t="s">
        <v>1494</v>
      </c>
      <c r="D150" s="185" t="s">
        <v>1538</v>
      </c>
      <c r="E150" s="1741">
        <v>1.1168472778229199</v>
      </c>
      <c r="F150" s="1741">
        <v>1.1094434467043528</v>
      </c>
    </row>
    <row r="151" spans="1:11">
      <c r="C151" s="1742" t="s">
        <v>1539</v>
      </c>
      <c r="D151" s="1743" t="s">
        <v>1540</v>
      </c>
      <c r="E151" s="1744">
        <v>1348</v>
      </c>
      <c r="F151" s="1744">
        <v>43.887063554183051</v>
      </c>
    </row>
    <row r="152" spans="1:11">
      <c r="E152" s="314"/>
      <c r="F152" s="314"/>
    </row>
    <row r="153" spans="1:11">
      <c r="E153" s="314"/>
      <c r="F153" s="314"/>
    </row>
    <row r="154" spans="1:11">
      <c r="E154" s="314"/>
      <c r="F154" s="314"/>
    </row>
    <row r="155" spans="1:11">
      <c r="E155" s="314"/>
      <c r="F155" s="314"/>
    </row>
    <row r="156" spans="1:11">
      <c r="E156" s="314"/>
      <c r="F156" s="314"/>
    </row>
  </sheetData>
  <sheetProtection password="C8A2" sheet="1" objects="1" scenarios="1"/>
  <mergeCells count="14">
    <mergeCell ref="AH32:AH33"/>
    <mergeCell ref="AR44:AR45"/>
    <mergeCell ref="AJ41:AL43"/>
    <mergeCell ref="AR38:AR40"/>
    <mergeCell ref="D130:G130"/>
    <mergeCell ref="F70:I70"/>
    <mergeCell ref="F62:I62"/>
    <mergeCell ref="F87:I87"/>
    <mergeCell ref="AR42:AS43"/>
    <mergeCell ref="P130:S130"/>
    <mergeCell ref="V36:W36"/>
    <mergeCell ref="AR46:AS47"/>
    <mergeCell ref="AO37:AP38"/>
    <mergeCell ref="AO41:AP43"/>
  </mergeCells>
  <hyperlinks>
    <hyperlink ref="C127" r:id="rId1"/>
  </hyperlinks>
  <pageMargins left="0.7" right="0.7" top="0.75" bottom="0.75" header="0.3" footer="0.3"/>
  <pageSetup paperSize="9" scale="50" orientation="landscape" r:id="rId2"/>
  <headerFooter>
    <oddHeader>&amp;CTacoma LNG Facility DSEIS Life Cycle Analsis GHG Emission Calculations Scenario A</oddHeader>
    <oddFooter>Page &amp;P of &amp;N</oddFooter>
  </headerFooter>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CECFF"/>
  </sheetPr>
  <dimension ref="C2:G18"/>
  <sheetViews>
    <sheetView workbookViewId="0">
      <selection activeCell="D27" sqref="D27"/>
    </sheetView>
  </sheetViews>
  <sheetFormatPr defaultColWidth="9.140625" defaultRowHeight="15"/>
  <cols>
    <col min="3" max="3" width="33.140625" customWidth="1"/>
    <col min="4" max="4" width="16.7109375" customWidth="1"/>
    <col min="5" max="5" width="21.7109375" customWidth="1"/>
    <col min="6" max="6" width="12.5703125" customWidth="1"/>
    <col min="7" max="7" width="14.28515625" customWidth="1"/>
  </cols>
  <sheetData>
    <row r="2" spans="3:7">
      <c r="C2" s="1383" t="s">
        <v>1257</v>
      </c>
      <c r="F2" t="s">
        <v>1258</v>
      </c>
      <c r="G2" t="s">
        <v>347</v>
      </c>
    </row>
    <row r="3" spans="3:7" ht="32.25" customHeight="1" thickBot="1">
      <c r="C3" s="270" t="s">
        <v>1246</v>
      </c>
      <c r="D3" s="234" t="s">
        <v>2</v>
      </c>
      <c r="E3" s="234" t="s">
        <v>284</v>
      </c>
      <c r="F3" s="234" t="s">
        <v>1247</v>
      </c>
      <c r="G3" s="234" t="s">
        <v>1247</v>
      </c>
    </row>
    <row r="4" spans="3:7" ht="15.75" thickTop="1">
      <c r="C4" s="1250" t="s">
        <v>1252</v>
      </c>
      <c r="D4" s="186" t="s">
        <v>233</v>
      </c>
      <c r="E4" t="s">
        <v>1248</v>
      </c>
      <c r="F4" s="188">
        <f>Results!C45</f>
        <v>5.8873099129972575</v>
      </c>
      <c r="G4" s="188">
        <f>Results!C22</f>
        <v>9.7260273972602747</v>
      </c>
    </row>
    <row r="5" spans="3:7">
      <c r="C5" s="1249" t="s">
        <v>1298</v>
      </c>
      <c r="D5" s="185" t="s">
        <v>233</v>
      </c>
      <c r="E5" t="s">
        <v>300</v>
      </c>
      <c r="F5" s="188">
        <f>Results!C46</f>
        <v>0</v>
      </c>
      <c r="G5" s="188">
        <f>Results!C23</f>
        <v>0</v>
      </c>
    </row>
    <row r="6" spans="3:7">
      <c r="C6" s="1249" t="s">
        <v>371</v>
      </c>
      <c r="D6" s="186" t="s">
        <v>233</v>
      </c>
      <c r="E6" t="s">
        <v>300</v>
      </c>
      <c r="F6" s="188">
        <f>Results!C47</f>
        <v>0</v>
      </c>
      <c r="G6" s="188">
        <f>Results!C24</f>
        <v>0</v>
      </c>
    </row>
    <row r="7" spans="3:7">
      <c r="C7" s="1249" t="s">
        <v>1249</v>
      </c>
      <c r="D7" s="186" t="s">
        <v>290</v>
      </c>
      <c r="E7" t="s">
        <v>287</v>
      </c>
      <c r="F7" s="188">
        <f>Results!C48</f>
        <v>21.477533930965627</v>
      </c>
      <c r="G7" s="188">
        <f>Results!C25</f>
        <v>37.93150684931507</v>
      </c>
    </row>
    <row r="8" spans="3:7">
      <c r="C8" s="1249" t="s">
        <v>372</v>
      </c>
      <c r="D8" s="186" t="s">
        <v>290</v>
      </c>
      <c r="E8" t="s">
        <v>287</v>
      </c>
      <c r="F8" s="188">
        <f>Results!C49</f>
        <v>0</v>
      </c>
      <c r="G8" s="188">
        <f>Results!C27</f>
        <v>0</v>
      </c>
    </row>
    <row r="9" spans="3:7">
      <c r="C9" s="1249" t="s">
        <v>1250</v>
      </c>
      <c r="D9" s="201" t="s">
        <v>290</v>
      </c>
      <c r="E9" s="182" t="s">
        <v>287</v>
      </c>
      <c r="F9" s="188">
        <f>Results!C50</f>
        <v>23.206463651129614</v>
      </c>
      <c r="G9" s="188">
        <f>Results!C29</f>
        <v>41.092465753424655</v>
      </c>
    </row>
    <row r="10" spans="3:7">
      <c r="C10" s="1382" t="s">
        <v>1215</v>
      </c>
      <c r="D10" s="1381" t="s">
        <v>52</v>
      </c>
      <c r="E10" s="198" t="s">
        <v>1251</v>
      </c>
      <c r="F10" s="198"/>
      <c r="G10" s="198"/>
    </row>
    <row r="11" spans="3:7">
      <c r="C11" s="182"/>
      <c r="D11" s="182"/>
      <c r="E11" s="182"/>
      <c r="F11" s="185"/>
    </row>
    <row r="12" spans="3:7" ht="15.75" thickBot="1">
      <c r="C12" s="270" t="s">
        <v>1246</v>
      </c>
      <c r="D12" s="234" t="s">
        <v>2</v>
      </c>
      <c r="E12" s="234" t="s">
        <v>284</v>
      </c>
    </row>
    <row r="13" spans="3:7" ht="15.75" thickTop="1">
      <c r="C13" s="1250" t="s">
        <v>1252</v>
      </c>
      <c r="D13" s="186" t="s">
        <v>233</v>
      </c>
      <c r="E13" t="s">
        <v>1248</v>
      </c>
    </row>
    <row r="14" spans="3:7">
      <c r="C14" s="1249" t="s">
        <v>1298</v>
      </c>
      <c r="D14" s="185" t="s">
        <v>233</v>
      </c>
      <c r="E14" t="s">
        <v>300</v>
      </c>
      <c r="F14" s="185"/>
    </row>
    <row r="15" spans="3:7">
      <c r="C15" s="1249" t="s">
        <v>371</v>
      </c>
      <c r="D15" s="186" t="s">
        <v>233</v>
      </c>
      <c r="E15" t="s">
        <v>300</v>
      </c>
      <c r="F15" s="185"/>
    </row>
    <row r="16" spans="3:7">
      <c r="C16" s="1249" t="s">
        <v>1254</v>
      </c>
      <c r="D16" s="186" t="s">
        <v>290</v>
      </c>
      <c r="E16" t="s">
        <v>287</v>
      </c>
      <c r="F16" s="185"/>
    </row>
    <row r="17" spans="3:6">
      <c r="C17" s="1249" t="s">
        <v>372</v>
      </c>
      <c r="D17" s="186" t="s">
        <v>290</v>
      </c>
      <c r="E17" t="s">
        <v>287</v>
      </c>
      <c r="F17" s="185"/>
    </row>
    <row r="18" spans="3:6">
      <c r="C18" s="1249" t="s">
        <v>1250</v>
      </c>
      <c r="D18" s="201" t="s">
        <v>290</v>
      </c>
      <c r="E18" s="182" t="s">
        <v>287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tint="-0.249977111117893"/>
  </sheetPr>
  <dimension ref="B2:O29"/>
  <sheetViews>
    <sheetView zoomScaleNormal="100" workbookViewId="0"/>
  </sheetViews>
  <sheetFormatPr defaultColWidth="11.42578125" defaultRowHeight="15"/>
  <cols>
    <col min="2" max="2" width="60.42578125" customWidth="1"/>
    <col min="3" max="3" width="19" style="1006" customWidth="1"/>
    <col min="4" max="4" width="15.140625" style="1006" customWidth="1"/>
    <col min="5" max="5" width="18.42578125" style="1006" customWidth="1"/>
    <col min="6" max="6" width="16.5703125" style="1006" customWidth="1"/>
    <col min="7" max="7" width="12.5703125" style="1006" customWidth="1"/>
    <col min="8" max="8" width="14.140625" style="1006" customWidth="1"/>
    <col min="9" max="9" width="20.42578125" customWidth="1"/>
  </cols>
  <sheetData>
    <row r="2" spans="2:15" ht="27" customHeight="1">
      <c r="C2" s="1005"/>
      <c r="D2" s="1005"/>
      <c r="I2" s="1792" t="s">
        <v>1102</v>
      </c>
      <c r="J2" s="1792"/>
      <c r="K2" s="1792"/>
      <c r="L2" s="1792"/>
      <c r="M2" s="1792"/>
      <c r="N2" s="1792"/>
      <c r="O2">
        <f>355/365</f>
        <v>0.9726027397260274</v>
      </c>
    </row>
    <row r="3" spans="2:15" ht="15" customHeight="1">
      <c r="B3" s="1793" t="s">
        <v>374</v>
      </c>
      <c r="C3" s="1794" t="s">
        <v>1075</v>
      </c>
      <c r="D3" s="1795"/>
      <c r="E3" s="1796"/>
      <c r="F3" s="1794" t="s">
        <v>1076</v>
      </c>
      <c r="G3" s="1795"/>
      <c r="H3" s="1796"/>
      <c r="I3" s="1789" t="s">
        <v>1075</v>
      </c>
      <c r="J3" s="1790"/>
      <c r="K3" s="1791"/>
      <c r="L3" s="1789" t="s">
        <v>1076</v>
      </c>
      <c r="M3" s="1790"/>
      <c r="N3" s="1791"/>
    </row>
    <row r="4" spans="2:15" ht="60" customHeight="1">
      <c r="B4" s="1793"/>
      <c r="C4" s="1007" t="s">
        <v>1077</v>
      </c>
      <c r="D4" s="1008" t="s">
        <v>1014</v>
      </c>
      <c r="E4" s="1009" t="s">
        <v>1078</v>
      </c>
      <c r="F4" s="1007" t="s">
        <v>1077</v>
      </c>
      <c r="G4" s="1008" t="s">
        <v>1014</v>
      </c>
      <c r="H4" s="1009" t="s">
        <v>1078</v>
      </c>
      <c r="I4" s="966" t="s">
        <v>1077</v>
      </c>
      <c r="J4" s="974" t="s">
        <v>1014</v>
      </c>
      <c r="K4" s="986" t="s">
        <v>1078</v>
      </c>
      <c r="L4" s="966" t="s">
        <v>1077</v>
      </c>
      <c r="M4" s="974" t="s">
        <v>1014</v>
      </c>
      <c r="N4" s="986" t="s">
        <v>1078</v>
      </c>
    </row>
    <row r="5" spans="2:15">
      <c r="B5" s="958" t="s">
        <v>1079</v>
      </c>
      <c r="C5" s="1010">
        <v>7269653.3839034233</v>
      </c>
      <c r="D5" s="1011">
        <v>0</v>
      </c>
      <c r="E5" s="1010">
        <v>59563.290887703552</v>
      </c>
      <c r="F5" s="1010">
        <v>748261.93766868685</v>
      </c>
      <c r="G5" s="1011">
        <v>0</v>
      </c>
      <c r="H5" s="1010">
        <v>6130.8209758998864</v>
      </c>
      <c r="I5" s="967">
        <f>C5*$O$2</f>
        <v>7070484.7980430555</v>
      </c>
      <c r="J5" s="975">
        <f t="shared" ref="J5:N5" si="0">D5*$O$2</f>
        <v>0</v>
      </c>
      <c r="K5" s="967">
        <f t="shared" si="0"/>
        <v>57931.419904478797</v>
      </c>
      <c r="L5" s="967">
        <f t="shared" si="0"/>
        <v>727761.61060927075</v>
      </c>
      <c r="M5" s="975">
        <f t="shared" si="0"/>
        <v>0</v>
      </c>
      <c r="N5" s="967">
        <f t="shared" si="0"/>
        <v>5962.8532779300267</v>
      </c>
    </row>
    <row r="6" spans="2:15">
      <c r="B6" s="958" t="s">
        <v>1080</v>
      </c>
      <c r="C6" s="1010">
        <v>7266232.6192222619</v>
      </c>
      <c r="D6" s="1011">
        <v>4.7077555322302532E-4</v>
      </c>
      <c r="E6" s="1010">
        <v>5887.9696380011746</v>
      </c>
      <c r="F6" s="1010">
        <v>747909.84</v>
      </c>
      <c r="G6" s="1011">
        <v>4.7077555322302532E-4</v>
      </c>
      <c r="H6" s="1010">
        <v>606.04589209444566</v>
      </c>
      <c r="I6" s="967">
        <f t="shared" ref="I6:I29" si="1">C6*$O$2</f>
        <v>7067157.7529421998</v>
      </c>
      <c r="J6" s="975">
        <f t="shared" ref="J6:J29" si="2">D6*$O$2</f>
        <v>4.5787759286075065E-4</v>
      </c>
      <c r="K6" s="967">
        <f t="shared" ref="K6:K29" si="3">E6*$O$2</f>
        <v>5726.655401343608</v>
      </c>
      <c r="L6" s="967">
        <f t="shared" ref="L6:L29" si="4">F6*$O$2</f>
        <v>727419.15945205477</v>
      </c>
      <c r="M6" s="975">
        <f t="shared" ref="M6:M29" si="5">G6*$O$2</f>
        <v>4.5787759286075065E-4</v>
      </c>
      <c r="N6" s="967">
        <f t="shared" ref="N6:N29" si="6">H6*$O$2</f>
        <v>589.44189505076224</v>
      </c>
    </row>
    <row r="7" spans="2:15">
      <c r="B7" s="958" t="s">
        <v>1081</v>
      </c>
      <c r="C7" s="1010">
        <v>7259336.249784966</v>
      </c>
      <c r="D7" s="1012">
        <v>9.5E-4</v>
      </c>
      <c r="E7" s="1010">
        <v>3483.0148673210697</v>
      </c>
      <c r="F7" s="1010">
        <v>747200</v>
      </c>
      <c r="G7" s="1012">
        <v>9.5E-4</v>
      </c>
      <c r="H7" s="1010">
        <v>358.50505050505052</v>
      </c>
      <c r="I7" s="967">
        <f t="shared" si="1"/>
        <v>7060450.3251333227</v>
      </c>
      <c r="J7" s="976">
        <f t="shared" si="2"/>
        <v>9.2397260273972598E-4</v>
      </c>
      <c r="K7" s="967">
        <f t="shared" si="3"/>
        <v>3387.5898024629582</v>
      </c>
      <c r="L7" s="967">
        <f t="shared" si="4"/>
        <v>726728.76712328766</v>
      </c>
      <c r="M7" s="976">
        <f t="shared" si="5"/>
        <v>9.2397260273972598E-4</v>
      </c>
      <c r="N7" s="967">
        <f t="shared" si="6"/>
        <v>348.68299432682994</v>
      </c>
    </row>
    <row r="8" spans="2:15">
      <c r="B8" s="958" t="s">
        <v>392</v>
      </c>
      <c r="C8" s="1010">
        <v>6818200</v>
      </c>
      <c r="D8" s="1011">
        <v>6.4699810768966248E-2</v>
      </c>
      <c r="E8" s="1010">
        <v>36800.206664051591</v>
      </c>
      <c r="F8" s="1010">
        <v>0</v>
      </c>
      <c r="G8" s="1010"/>
      <c r="H8" s="1010">
        <v>0</v>
      </c>
      <c r="I8" s="967">
        <f t="shared" si="1"/>
        <v>6631400</v>
      </c>
      <c r="J8" s="975">
        <f t="shared" si="2"/>
        <v>6.2927213213652106E-2</v>
      </c>
      <c r="K8" s="967">
        <f t="shared" si="3"/>
        <v>35791.981823940587</v>
      </c>
      <c r="L8" s="967">
        <f t="shared" si="4"/>
        <v>0</v>
      </c>
      <c r="M8" s="967">
        <f t="shared" si="5"/>
        <v>0</v>
      </c>
      <c r="N8" s="967">
        <f t="shared" si="6"/>
        <v>0</v>
      </c>
    </row>
    <row r="9" spans="2:15">
      <c r="B9" s="959" t="s">
        <v>1082</v>
      </c>
      <c r="C9" s="1013">
        <v>6818200</v>
      </c>
      <c r="D9" s="1014"/>
      <c r="E9" s="1015">
        <v>34483.304775251243</v>
      </c>
      <c r="F9" s="1013">
        <v>0</v>
      </c>
      <c r="G9" s="1016"/>
      <c r="H9" s="1015">
        <v>0</v>
      </c>
      <c r="I9" s="968">
        <f t="shared" si="1"/>
        <v>6631400</v>
      </c>
      <c r="J9" s="977">
        <f t="shared" si="2"/>
        <v>0</v>
      </c>
      <c r="K9" s="987">
        <f t="shared" si="3"/>
        <v>33538.556699216962</v>
      </c>
      <c r="L9" s="968">
        <f t="shared" si="4"/>
        <v>0</v>
      </c>
      <c r="M9" s="998">
        <f t="shared" si="5"/>
        <v>0</v>
      </c>
      <c r="N9" s="987">
        <f t="shared" si="6"/>
        <v>0</v>
      </c>
    </row>
    <row r="10" spans="2:15">
      <c r="B10" s="959" t="s">
        <v>1083</v>
      </c>
      <c r="C10" s="1013">
        <v>6818200</v>
      </c>
      <c r="D10" s="1014"/>
      <c r="E10" s="1015">
        <v>2316.9018888003466</v>
      </c>
      <c r="F10" s="1013">
        <v>0</v>
      </c>
      <c r="G10" s="1016"/>
      <c r="H10" s="1015">
        <v>0</v>
      </c>
      <c r="I10" s="968">
        <f t="shared" si="1"/>
        <v>6631400</v>
      </c>
      <c r="J10" s="977">
        <f t="shared" si="2"/>
        <v>0</v>
      </c>
      <c r="K10" s="987">
        <f t="shared" si="3"/>
        <v>2253.4251247236248</v>
      </c>
      <c r="L10" s="968">
        <f t="shared" si="4"/>
        <v>0</v>
      </c>
      <c r="M10" s="998">
        <f t="shared" si="5"/>
        <v>0</v>
      </c>
      <c r="N10" s="987">
        <f t="shared" si="6"/>
        <v>0</v>
      </c>
    </row>
    <row r="11" spans="2:15">
      <c r="B11" s="960" t="s">
        <v>1084</v>
      </c>
      <c r="C11" s="1017">
        <v>6071000</v>
      </c>
      <c r="D11" s="1018"/>
      <c r="E11" s="1019">
        <v>14496.776248131882</v>
      </c>
      <c r="F11" s="1017">
        <v>0</v>
      </c>
      <c r="G11" s="1020"/>
      <c r="H11" s="1019">
        <v>0</v>
      </c>
      <c r="I11" s="969">
        <f t="shared" si="1"/>
        <v>5904671.2328767125</v>
      </c>
      <c r="J11" s="978">
        <f t="shared" si="2"/>
        <v>0</v>
      </c>
      <c r="K11" s="988">
        <f t="shared" si="3"/>
        <v>14099.604296128269</v>
      </c>
      <c r="L11" s="969">
        <f t="shared" si="4"/>
        <v>0</v>
      </c>
      <c r="M11" s="999">
        <f t="shared" si="5"/>
        <v>0</v>
      </c>
      <c r="N11" s="988">
        <f t="shared" si="6"/>
        <v>0</v>
      </c>
    </row>
    <row r="12" spans="2:15">
      <c r="B12" s="959" t="s">
        <v>1027</v>
      </c>
      <c r="C12" s="1013">
        <v>2914080</v>
      </c>
      <c r="D12" s="1021">
        <v>1.1001210133110284E-4</v>
      </c>
      <c r="E12" s="1022">
        <v>173.87137585127476</v>
      </c>
      <c r="F12" s="1013">
        <v>0</v>
      </c>
      <c r="G12" s="1016"/>
      <c r="H12" s="1015">
        <v>0</v>
      </c>
      <c r="I12" s="968">
        <f t="shared" si="1"/>
        <v>2834242.1917808219</v>
      </c>
      <c r="J12" s="979">
        <f t="shared" si="2"/>
        <v>1.0699807115764796E-4</v>
      </c>
      <c r="K12" s="989">
        <f t="shared" si="3"/>
        <v>169.10777651288367</v>
      </c>
      <c r="L12" s="968">
        <f t="shared" si="4"/>
        <v>0</v>
      </c>
      <c r="M12" s="998">
        <f t="shared" si="5"/>
        <v>0</v>
      </c>
      <c r="N12" s="987">
        <f t="shared" si="6"/>
        <v>0</v>
      </c>
    </row>
    <row r="13" spans="2:15">
      <c r="B13" s="959" t="s">
        <v>1085</v>
      </c>
      <c r="C13" s="1013">
        <v>3156920</v>
      </c>
      <c r="D13" s="1021">
        <v>8.3652971157583966E-3</v>
      </c>
      <c r="E13" s="1022">
        <v>14322.904872280607</v>
      </c>
      <c r="F13" s="1013">
        <v>0</v>
      </c>
      <c r="G13" s="1016"/>
      <c r="H13" s="1015">
        <v>0</v>
      </c>
      <c r="I13" s="968">
        <f t="shared" si="1"/>
        <v>3070429.0410958906</v>
      </c>
      <c r="J13" s="979">
        <f t="shared" si="2"/>
        <v>8.1361108934088523E-3</v>
      </c>
      <c r="K13" s="989">
        <f t="shared" si="3"/>
        <v>13930.496519615384</v>
      </c>
      <c r="L13" s="968">
        <f t="shared" si="4"/>
        <v>0</v>
      </c>
      <c r="M13" s="998">
        <f t="shared" si="5"/>
        <v>0</v>
      </c>
      <c r="N13" s="987">
        <f t="shared" si="6"/>
        <v>0</v>
      </c>
    </row>
    <row r="14" spans="2:15">
      <c r="B14" s="961" t="s">
        <v>1086</v>
      </c>
      <c r="C14" s="1023">
        <v>0</v>
      </c>
      <c r="D14" s="1024">
        <v>2.2048506714771321E-3</v>
      </c>
      <c r="E14" s="1025">
        <v>0</v>
      </c>
      <c r="F14" s="1023">
        <v>0</v>
      </c>
      <c r="G14" s="1026"/>
      <c r="H14" s="1027">
        <v>0</v>
      </c>
      <c r="I14" s="970">
        <f t="shared" si="1"/>
        <v>0</v>
      </c>
      <c r="J14" s="980">
        <f t="shared" si="2"/>
        <v>2.1444438037654299E-3</v>
      </c>
      <c r="K14" s="990">
        <f t="shared" si="3"/>
        <v>0</v>
      </c>
      <c r="L14" s="970">
        <f t="shared" si="4"/>
        <v>0</v>
      </c>
      <c r="M14" s="981">
        <f t="shared" si="5"/>
        <v>0</v>
      </c>
      <c r="N14" s="1000">
        <f t="shared" si="6"/>
        <v>0</v>
      </c>
    </row>
    <row r="15" spans="2:15">
      <c r="B15" s="962" t="s">
        <v>1087</v>
      </c>
      <c r="C15" s="1017">
        <v>0</v>
      </c>
      <c r="D15" s="1018"/>
      <c r="E15" s="1019">
        <v>0</v>
      </c>
      <c r="F15" s="1017">
        <v>0</v>
      </c>
      <c r="G15" s="1018"/>
      <c r="H15" s="1019">
        <v>0</v>
      </c>
      <c r="I15" s="969">
        <f t="shared" si="1"/>
        <v>0</v>
      </c>
      <c r="J15" s="978">
        <f t="shared" si="2"/>
        <v>0</v>
      </c>
      <c r="K15" s="988">
        <f t="shared" si="3"/>
        <v>0</v>
      </c>
      <c r="L15" s="969">
        <f t="shared" si="4"/>
        <v>0</v>
      </c>
      <c r="M15" s="978">
        <f t="shared" si="5"/>
        <v>0</v>
      </c>
      <c r="N15" s="988">
        <f t="shared" si="6"/>
        <v>0</v>
      </c>
    </row>
    <row r="16" spans="2:15">
      <c r="B16" s="959" t="s">
        <v>1088</v>
      </c>
      <c r="C16" s="1013">
        <v>0</v>
      </c>
      <c r="D16" s="1014">
        <v>4.7243137605381897E-3</v>
      </c>
      <c r="E16" s="1015">
        <v>0</v>
      </c>
      <c r="F16" s="1013">
        <v>0</v>
      </c>
      <c r="G16" s="1028"/>
      <c r="H16" s="1015">
        <v>0</v>
      </c>
      <c r="I16" s="968">
        <f t="shared" si="1"/>
        <v>0</v>
      </c>
      <c r="J16" s="977">
        <f t="shared" si="2"/>
        <v>4.5948805068248147E-3</v>
      </c>
      <c r="K16" s="987">
        <f t="shared" si="3"/>
        <v>0</v>
      </c>
      <c r="L16" s="968">
        <f t="shared" si="4"/>
        <v>0</v>
      </c>
      <c r="M16" s="982">
        <f t="shared" si="5"/>
        <v>0</v>
      </c>
      <c r="N16" s="987">
        <f t="shared" si="6"/>
        <v>0</v>
      </c>
    </row>
    <row r="17" spans="2:14">
      <c r="B17" s="959" t="s">
        <v>1089</v>
      </c>
      <c r="C17" s="1013">
        <v>0</v>
      </c>
      <c r="D17" s="1014"/>
      <c r="E17" s="1015">
        <v>0</v>
      </c>
      <c r="F17" s="1013">
        <v>0</v>
      </c>
      <c r="G17" s="1028"/>
      <c r="H17" s="1015">
        <v>0</v>
      </c>
      <c r="I17" s="968">
        <f t="shared" si="1"/>
        <v>0</v>
      </c>
      <c r="J17" s="977">
        <f t="shared" si="2"/>
        <v>0</v>
      </c>
      <c r="K17" s="987">
        <f t="shared" si="3"/>
        <v>0</v>
      </c>
      <c r="L17" s="968">
        <f t="shared" si="4"/>
        <v>0</v>
      </c>
      <c r="M17" s="982">
        <f t="shared" si="5"/>
        <v>0</v>
      </c>
      <c r="N17" s="987">
        <f t="shared" si="6"/>
        <v>0</v>
      </c>
    </row>
    <row r="18" spans="2:14">
      <c r="B18" s="961" t="s">
        <v>1090</v>
      </c>
      <c r="C18" s="1023">
        <v>0</v>
      </c>
      <c r="D18" s="1026"/>
      <c r="E18" s="1029">
        <v>0</v>
      </c>
      <c r="F18" s="1023">
        <v>0</v>
      </c>
      <c r="G18" s="1026"/>
      <c r="H18" s="1027">
        <v>0</v>
      </c>
      <c r="I18" s="970">
        <f t="shared" si="1"/>
        <v>0</v>
      </c>
      <c r="J18" s="981">
        <f t="shared" si="2"/>
        <v>0</v>
      </c>
      <c r="K18" s="991">
        <f t="shared" si="3"/>
        <v>0</v>
      </c>
      <c r="L18" s="970">
        <f t="shared" si="4"/>
        <v>0</v>
      </c>
      <c r="M18" s="981">
        <f t="shared" si="5"/>
        <v>0</v>
      </c>
      <c r="N18" s="1000">
        <f t="shared" si="6"/>
        <v>0</v>
      </c>
    </row>
    <row r="19" spans="2:14">
      <c r="B19" s="962" t="s">
        <v>1091</v>
      </c>
      <c r="C19" s="1017">
        <v>3001172.1984138261</v>
      </c>
      <c r="D19" s="1018"/>
      <c r="E19" s="1019">
        <v>235355.16979005496</v>
      </c>
      <c r="F19" s="1017">
        <v>6002344.3968276521</v>
      </c>
      <c r="G19" s="1018"/>
      <c r="H19" s="1019">
        <v>340145.72726988618</v>
      </c>
      <c r="I19" s="969">
        <f t="shared" si="1"/>
        <v>2918948.302566872</v>
      </c>
      <c r="J19" s="978">
        <f t="shared" si="2"/>
        <v>0</v>
      </c>
      <c r="K19" s="988">
        <f t="shared" si="3"/>
        <v>228907.08294649181</v>
      </c>
      <c r="L19" s="969">
        <f t="shared" si="4"/>
        <v>5837896.605133744</v>
      </c>
      <c r="M19" s="978">
        <f t="shared" si="5"/>
        <v>0</v>
      </c>
      <c r="N19" s="988">
        <f t="shared" si="6"/>
        <v>330826.66624879342</v>
      </c>
    </row>
    <row r="20" spans="2:14">
      <c r="B20" s="959" t="s">
        <v>1092</v>
      </c>
      <c r="C20" s="1013">
        <v>2913759.4159357534</v>
      </c>
      <c r="D20" s="1028"/>
      <c r="E20" s="1015">
        <v>233733.43133788116</v>
      </c>
      <c r="F20" s="1013">
        <v>0</v>
      </c>
      <c r="G20" s="1028"/>
      <c r="H20" s="1030">
        <v>0</v>
      </c>
      <c r="I20" s="968">
        <f>C20*$O$2</f>
        <v>2833930.3908416233</v>
      </c>
      <c r="J20" s="982">
        <f t="shared" si="2"/>
        <v>0</v>
      </c>
      <c r="K20" s="987">
        <f t="shared" si="3"/>
        <v>227329.77568478853</v>
      </c>
      <c r="L20" s="968">
        <f t="shared" si="4"/>
        <v>0</v>
      </c>
      <c r="M20" s="982">
        <f t="shared" si="5"/>
        <v>0</v>
      </c>
      <c r="N20" s="992">
        <f t="shared" si="6"/>
        <v>0</v>
      </c>
    </row>
    <row r="21" spans="2:14">
      <c r="B21" s="959" t="s">
        <v>1093</v>
      </c>
      <c r="C21" s="1013">
        <v>87412.782478072593</v>
      </c>
      <c r="D21" s="1028"/>
      <c r="E21" s="1015">
        <v>1621.7384521738113</v>
      </c>
      <c r="F21" s="1013">
        <v>0</v>
      </c>
      <c r="G21" s="1028"/>
      <c r="H21" s="1031">
        <v>0</v>
      </c>
      <c r="I21" s="968">
        <f t="shared" si="1"/>
        <v>85017.91172524869</v>
      </c>
      <c r="J21" s="982">
        <f t="shared" si="2"/>
        <v>0</v>
      </c>
      <c r="K21" s="987">
        <f t="shared" si="3"/>
        <v>1577.307261703296</v>
      </c>
      <c r="L21" s="968">
        <f t="shared" si="4"/>
        <v>0</v>
      </c>
      <c r="M21" s="982">
        <f t="shared" si="5"/>
        <v>0</v>
      </c>
      <c r="N21" s="1001">
        <f t="shared" si="6"/>
        <v>0</v>
      </c>
    </row>
    <row r="22" spans="2:14">
      <c r="B22" s="959" t="s">
        <v>1094</v>
      </c>
      <c r="C22" s="1013">
        <v>0</v>
      </c>
      <c r="D22" s="1028"/>
      <c r="E22" s="1030">
        <v>0</v>
      </c>
      <c r="F22" s="1013">
        <v>3001172.1984138261</v>
      </c>
      <c r="G22" s="1028"/>
      <c r="H22" s="1015">
        <v>55679.686857967521</v>
      </c>
      <c r="I22" s="968">
        <f t="shared" si="1"/>
        <v>0</v>
      </c>
      <c r="J22" s="982">
        <f t="shared" si="2"/>
        <v>0</v>
      </c>
      <c r="K22" s="992">
        <f t="shared" si="3"/>
        <v>0</v>
      </c>
      <c r="L22" s="968">
        <f t="shared" si="4"/>
        <v>2918948.302566872</v>
      </c>
      <c r="M22" s="982">
        <f t="shared" si="5"/>
        <v>0</v>
      </c>
      <c r="N22" s="987">
        <f t="shared" si="6"/>
        <v>54154.215985146497</v>
      </c>
    </row>
    <row r="23" spans="2:14">
      <c r="B23" s="961" t="s">
        <v>1095</v>
      </c>
      <c r="C23" s="1023">
        <v>0</v>
      </c>
      <c r="D23" s="1026"/>
      <c r="E23" s="1029">
        <v>0</v>
      </c>
      <c r="F23" s="1023">
        <v>3001172.1984138261</v>
      </c>
      <c r="G23" s="1026"/>
      <c r="H23" s="1032">
        <v>284466.04041191866</v>
      </c>
      <c r="I23" s="970">
        <f t="shared" si="1"/>
        <v>0</v>
      </c>
      <c r="J23" s="981">
        <f t="shared" si="2"/>
        <v>0</v>
      </c>
      <c r="K23" s="991">
        <f t="shared" si="3"/>
        <v>0</v>
      </c>
      <c r="L23" s="970">
        <f t="shared" si="4"/>
        <v>2918948.302566872</v>
      </c>
      <c r="M23" s="981">
        <f t="shared" si="5"/>
        <v>0</v>
      </c>
      <c r="N23" s="1004">
        <f>H23*$O$2</f>
        <v>276672.4502636469</v>
      </c>
    </row>
    <row r="24" spans="2:14">
      <c r="B24" s="963" t="s">
        <v>1096</v>
      </c>
      <c r="C24" s="1033">
        <v>3224426.7690162002</v>
      </c>
      <c r="D24" s="1034"/>
      <c r="E24" s="1035">
        <v>252863.03468307844</v>
      </c>
      <c r="F24" s="1033">
        <v>3224426.7690162002</v>
      </c>
      <c r="G24" s="1034"/>
      <c r="H24" s="1035">
        <v>365448.86992994609</v>
      </c>
      <c r="I24" s="971">
        <f t="shared" si="1"/>
        <v>3136086.3095910987</v>
      </c>
      <c r="J24" s="983">
        <f t="shared" si="2"/>
        <v>0</v>
      </c>
      <c r="K24" s="993">
        <f t="shared" si="3"/>
        <v>245935.28030819958</v>
      </c>
      <c r="L24" s="971">
        <f t="shared" si="4"/>
        <v>3136086.3095910987</v>
      </c>
      <c r="M24" s="983">
        <f t="shared" si="5"/>
        <v>0</v>
      </c>
      <c r="N24" s="993">
        <f t="shared" si="6"/>
        <v>355436.57212364621</v>
      </c>
    </row>
    <row r="25" spans="2:14">
      <c r="B25" s="959" t="s">
        <v>1097</v>
      </c>
      <c r="C25" s="1013">
        <v>3130511.4262293205</v>
      </c>
      <c r="D25" s="1028"/>
      <c r="E25" s="1015">
        <v>251120.65652820421</v>
      </c>
      <c r="F25" s="1036">
        <v>0</v>
      </c>
      <c r="G25" s="1028"/>
      <c r="H25" s="1030">
        <v>0</v>
      </c>
      <c r="I25" s="968">
        <f t="shared" si="1"/>
        <v>3044743.9898942704</v>
      </c>
      <c r="J25" s="982">
        <f t="shared" si="2"/>
        <v>0</v>
      </c>
      <c r="K25" s="987">
        <f t="shared" si="3"/>
        <v>244240.63854113012</v>
      </c>
      <c r="L25" s="996">
        <f t="shared" si="4"/>
        <v>0</v>
      </c>
      <c r="M25" s="982">
        <f t="shared" si="5"/>
        <v>0</v>
      </c>
      <c r="N25" s="992">
        <f t="shared" si="6"/>
        <v>0</v>
      </c>
    </row>
    <row r="26" spans="2:14">
      <c r="B26" s="1060" t="s">
        <v>1098</v>
      </c>
      <c r="C26" s="1013">
        <v>93915.342786879613</v>
      </c>
      <c r="D26" s="1028"/>
      <c r="E26" s="1015">
        <v>1742.3781548742356</v>
      </c>
      <c r="F26" s="1013">
        <v>0</v>
      </c>
      <c r="G26" s="1028"/>
      <c r="H26" s="1030">
        <v>0</v>
      </c>
      <c r="I26" s="968">
        <f t="shared" si="1"/>
        <v>91342.319696828112</v>
      </c>
      <c r="J26" s="982">
        <f t="shared" si="2"/>
        <v>0</v>
      </c>
      <c r="K26" s="987">
        <f>E26*$O$2</f>
        <v>1694.641767069462</v>
      </c>
      <c r="L26" s="968">
        <f t="shared" si="4"/>
        <v>0</v>
      </c>
      <c r="M26" s="982">
        <f t="shared" si="5"/>
        <v>0</v>
      </c>
      <c r="N26" s="992">
        <f t="shared" si="6"/>
        <v>0</v>
      </c>
    </row>
    <row r="27" spans="2:14">
      <c r="B27" s="959" t="s">
        <v>1099</v>
      </c>
      <c r="C27" s="1013">
        <v>0</v>
      </c>
      <c r="D27" s="1028"/>
      <c r="E27" s="1030">
        <v>0</v>
      </c>
      <c r="F27" s="1013">
        <v>3224426.7690162002</v>
      </c>
      <c r="G27" s="1028"/>
      <c r="H27" s="1015">
        <v>59821.649984015428</v>
      </c>
      <c r="I27" s="968">
        <f t="shared" si="1"/>
        <v>0</v>
      </c>
      <c r="J27" s="982">
        <f t="shared" si="2"/>
        <v>0</v>
      </c>
      <c r="K27" s="992">
        <f t="shared" si="3"/>
        <v>0</v>
      </c>
      <c r="L27" s="968">
        <f t="shared" si="4"/>
        <v>3136086.3095910987</v>
      </c>
      <c r="M27" s="982">
        <f t="shared" si="5"/>
        <v>0</v>
      </c>
      <c r="N27" s="987">
        <f t="shared" si="6"/>
        <v>58182.700669384867</v>
      </c>
    </row>
    <row r="28" spans="2:14" ht="15.75" thickBot="1">
      <c r="B28" s="964" t="s">
        <v>1100</v>
      </c>
      <c r="C28" s="1037">
        <v>0</v>
      </c>
      <c r="D28" s="1038"/>
      <c r="E28" s="1039">
        <v>0</v>
      </c>
      <c r="F28" s="1040">
        <v>3224426.7690162002</v>
      </c>
      <c r="G28" s="1038"/>
      <c r="H28" s="1041">
        <v>305627.21994593064</v>
      </c>
      <c r="I28" s="972">
        <f t="shared" si="1"/>
        <v>0</v>
      </c>
      <c r="J28" s="984">
        <f t="shared" si="2"/>
        <v>0</v>
      </c>
      <c r="K28" s="994">
        <f t="shared" si="3"/>
        <v>0</v>
      </c>
      <c r="L28" s="997">
        <f t="shared" si="4"/>
        <v>3136086.3095910987</v>
      </c>
      <c r="M28" s="984">
        <f t="shared" si="5"/>
        <v>0</v>
      </c>
      <c r="N28" s="1002">
        <f t="shared" si="6"/>
        <v>297253.8714542613</v>
      </c>
    </row>
    <row r="29" spans="2:14" ht="15.75" thickTop="1">
      <c r="B29" s="965" t="s">
        <v>211</v>
      </c>
      <c r="C29" s="1042"/>
      <c r="D29" s="1043"/>
      <c r="E29" s="1044">
        <v>608449.46277834265</v>
      </c>
      <c r="F29" s="1042"/>
      <c r="G29" s="1043"/>
      <c r="H29" s="1044">
        <v>712689.96911833156</v>
      </c>
      <c r="I29" s="973">
        <f t="shared" si="1"/>
        <v>0</v>
      </c>
      <c r="J29" s="985">
        <f t="shared" si="2"/>
        <v>0</v>
      </c>
      <c r="K29" s="995">
        <f t="shared" si="3"/>
        <v>591779.61448304565</v>
      </c>
      <c r="L29" s="973">
        <f t="shared" si="4"/>
        <v>0</v>
      </c>
      <c r="M29" s="985">
        <f t="shared" si="5"/>
        <v>0</v>
      </c>
      <c r="N29" s="995">
        <f t="shared" si="6"/>
        <v>693164.21653974708</v>
      </c>
    </row>
  </sheetData>
  <sheetProtection password="C8A2" sheet="1" objects="1" scenarios="1"/>
  <mergeCells count="6">
    <mergeCell ref="I3:K3"/>
    <mergeCell ref="L3:N3"/>
    <mergeCell ref="I2:N2"/>
    <mergeCell ref="B3:B4"/>
    <mergeCell ref="C3:E3"/>
    <mergeCell ref="F3:H3"/>
  </mergeCells>
  <pageMargins left="0.7" right="0.7" top="0.75" bottom="0.75" header="0.3" footer="0.3"/>
  <pageSetup paperSize="9" scale="50" orientation="landscape" r:id="rId1"/>
  <headerFooter>
    <oddHeader>&amp;CTacoma LNG Facility DSEIS Life Cycle Analsis GHG Emission Calculations Scenario 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8000"/>
  </sheetPr>
  <dimension ref="B1:AN331"/>
  <sheetViews>
    <sheetView zoomScaleNormal="100" zoomScaleSheetLayoutView="80" zoomScalePageLayoutView="30" workbookViewId="0"/>
  </sheetViews>
  <sheetFormatPr defaultColWidth="8" defaultRowHeight="12.75"/>
  <cols>
    <col min="1" max="1" width="8" style="599"/>
    <col min="2" max="2" width="31" style="603" customWidth="1"/>
    <col min="3" max="3" width="13.28515625" style="599" customWidth="1"/>
    <col min="4" max="7" width="13" style="599" customWidth="1"/>
    <col min="8" max="8" width="12.140625" style="1110" customWidth="1"/>
    <col min="9" max="9" width="13" style="599" customWidth="1"/>
    <col min="10" max="10" width="10.5703125" style="599" customWidth="1"/>
    <col min="11" max="12" width="10.140625" style="599" customWidth="1"/>
    <col min="13" max="13" width="10.85546875" style="599" bestFit="1" customWidth="1"/>
    <col min="14" max="14" width="8.42578125" style="599" bestFit="1" customWidth="1"/>
    <col min="15" max="15" width="10" style="599" customWidth="1"/>
    <col min="16" max="16" width="12.7109375" style="599" bestFit="1" customWidth="1"/>
    <col min="17" max="18" width="9.85546875" style="599" customWidth="1"/>
    <col min="19" max="19" width="11.5703125" style="599" customWidth="1"/>
    <col min="20" max="21" width="9.85546875" style="599" customWidth="1"/>
    <col min="22" max="22" width="12" style="599" customWidth="1"/>
    <col min="23" max="23" width="12.5703125" style="599" customWidth="1"/>
    <col min="24" max="16384" width="8" style="599"/>
  </cols>
  <sheetData>
    <row r="1" spans="2:6" ht="15.75">
      <c r="B1" s="598" t="s">
        <v>826</v>
      </c>
    </row>
    <row r="3" spans="2:6" ht="45" customHeight="1" thickBot="1">
      <c r="B3" s="1179" t="s">
        <v>869</v>
      </c>
      <c r="C3" s="234" t="s">
        <v>825</v>
      </c>
      <c r="D3" s="234" t="s">
        <v>824</v>
      </c>
      <c r="E3" s="234" t="s">
        <v>1134</v>
      </c>
      <c r="F3" s="234" t="s">
        <v>1135</v>
      </c>
    </row>
    <row r="4" spans="2:6" ht="13.5" customHeight="1" thickTop="1">
      <c r="B4" s="1180" t="s">
        <v>823</v>
      </c>
      <c r="C4" s="1061">
        <f>O105+T105</f>
        <v>1807.218177450454</v>
      </c>
      <c r="D4" s="1265">
        <f>P105+U105</f>
        <v>0.12270972944127415</v>
      </c>
      <c r="E4" s="1268">
        <f>Q105+V105</f>
        <v>1.221970541893991E-2</v>
      </c>
      <c r="F4" s="1062">
        <f>C4+D4*CH4_GWP+E4*N2O_GWP</f>
        <v>1813.92739290133</v>
      </c>
    </row>
    <row r="5" spans="2:6" ht="13.5" customHeight="1">
      <c r="B5" s="1180" t="s">
        <v>822</v>
      </c>
      <c r="C5" s="1061">
        <f>K220+P220</f>
        <v>3.3459666069662934</v>
      </c>
      <c r="D5" s="1265">
        <f>L220+Q220</f>
        <v>3.5364000000000009E-5</v>
      </c>
      <c r="E5" s="1268">
        <f>M220+R220</f>
        <v>2.526E-6</v>
      </c>
      <c r="F5" s="1062">
        <f>C5+D5*CH4_GWP+E5*N2O_GWP</f>
        <v>3.3476034549662934</v>
      </c>
    </row>
    <row r="6" spans="2:6" ht="13.5" customHeight="1">
      <c r="B6" s="1180" t="s">
        <v>821</v>
      </c>
      <c r="C6" s="1061"/>
      <c r="D6" s="1266"/>
      <c r="E6" s="1269"/>
      <c r="F6" s="1062">
        <f>C6+D6*CH4_GWP+E6*N2O_GWP</f>
        <v>0</v>
      </c>
    </row>
    <row r="7" spans="2:6" ht="13.5" customHeight="1">
      <c r="B7" s="1180" t="s">
        <v>820</v>
      </c>
      <c r="C7" s="1061">
        <f>SUM(C4:C6)</f>
        <v>1810.5641440574204</v>
      </c>
      <c r="D7" s="1265">
        <f t="shared" ref="D7:E7" si="0">SUM(D4:D6)</f>
        <v>0.12274509344127414</v>
      </c>
      <c r="E7" s="1268">
        <f t="shared" si="0"/>
        <v>1.2222231418939909E-2</v>
      </c>
      <c r="F7" s="1061">
        <f>SUM(F4:F6)</f>
        <v>1817.2749963562962</v>
      </c>
    </row>
    <row r="8" spans="2:6" ht="12.75" customHeight="1">
      <c r="B8" s="1180"/>
      <c r="C8" s="1061"/>
      <c r="D8" s="1266"/>
      <c r="E8" s="1269"/>
      <c r="F8" s="1062"/>
    </row>
    <row r="9" spans="2:6" ht="13.5" customHeight="1">
      <c r="B9" s="1180" t="s">
        <v>819</v>
      </c>
      <c r="C9" s="1061">
        <f>O155+T155</f>
        <v>3638.0353054685579</v>
      </c>
      <c r="D9" s="1265">
        <f>P155+U155</f>
        <v>0.27211975273954636</v>
      </c>
      <c r="E9" s="1268">
        <f>Q155+V155</f>
        <v>3.1331372753895623E-2</v>
      </c>
      <c r="F9" s="1062">
        <f>C9+D9*CH4_GWP+E9*N2O_GWP</f>
        <v>3654.1750483677074</v>
      </c>
    </row>
    <row r="10" spans="2:6" ht="13.5" customHeight="1">
      <c r="B10" s="1180" t="s">
        <v>818</v>
      </c>
      <c r="C10" s="1061">
        <f>K234+P234</f>
        <v>298.19063634416824</v>
      </c>
      <c r="D10" s="1265">
        <f t="shared" ref="D10:E10" si="1">L234+Q234</f>
        <v>2.3283599999999998E-3</v>
      </c>
      <c r="E10" s="1268">
        <f t="shared" si="1"/>
        <v>6.4981600000000011E-4</v>
      </c>
      <c r="F10" s="1062">
        <f>C10+D10*CH4_GWP+E10*N2O_GWP</f>
        <v>298.44249051216821</v>
      </c>
    </row>
    <row r="11" spans="2:6" ht="13.5" customHeight="1">
      <c r="B11" s="1180" t="s">
        <v>817</v>
      </c>
      <c r="C11" s="1061"/>
      <c r="D11" s="1266"/>
      <c r="E11" s="1269"/>
      <c r="F11" s="1062">
        <f>C11+D11*CH4_GWP+E11*N2O_GWP</f>
        <v>0</v>
      </c>
    </row>
    <row r="12" spans="2:6" ht="13.5" customHeight="1">
      <c r="B12" s="1180" t="s">
        <v>816</v>
      </c>
      <c r="C12" s="1061">
        <f>SUM(C9:C11)</f>
        <v>3936.225941812726</v>
      </c>
      <c r="D12" s="1265">
        <f t="shared" ref="D12" si="2">SUM(D9:D11)</f>
        <v>0.27444811273954633</v>
      </c>
      <c r="E12" s="1268">
        <f t="shared" ref="E12" si="3">SUM(E9:E11)</f>
        <v>3.198118875389562E-2</v>
      </c>
      <c r="F12" s="1061">
        <f t="shared" ref="F12" si="4">SUM(F9:F11)</f>
        <v>3952.6175388798756</v>
      </c>
    </row>
    <row r="13" spans="2:6" ht="12.75" customHeight="1">
      <c r="B13" s="1180"/>
      <c r="C13" s="1061"/>
      <c r="D13" s="1266"/>
      <c r="E13" s="1269"/>
      <c r="F13" s="1062"/>
    </row>
    <row r="14" spans="2:6" ht="13.5" customHeight="1">
      <c r="B14" s="1180" t="s">
        <v>815</v>
      </c>
      <c r="C14" s="1061">
        <f>O176+T176</f>
        <v>2838.0995737454036</v>
      </c>
      <c r="D14" s="1265">
        <f>P176+U176</f>
        <v>0.23389290695606615</v>
      </c>
      <c r="E14" s="1268">
        <f>Q176+V176</f>
        <v>2.7320733669572678E-2</v>
      </c>
      <c r="F14" s="1062">
        <f>C14+D14*CH4_GWP+E14*N2O_GWP</f>
        <v>2852.088475052838</v>
      </c>
    </row>
    <row r="15" spans="2:6" ht="13.5" customHeight="1">
      <c r="B15" s="1180" t="s">
        <v>814</v>
      </c>
      <c r="C15" s="1061">
        <f>K248+P248</f>
        <v>404.35412190369198</v>
      </c>
      <c r="D15" s="1265">
        <f t="shared" ref="D15:E15" si="5">L248+Q248</f>
        <v>3.0883519999999999E-3</v>
      </c>
      <c r="E15" s="1268">
        <f t="shared" si="5"/>
        <v>9.3831200000000017E-4</v>
      </c>
      <c r="F15" s="1062">
        <f>C15+D15*CH4_GWP+E15*N2O_GWP</f>
        <v>404.71094767969197</v>
      </c>
    </row>
    <row r="16" spans="2:6" ht="13.5" customHeight="1">
      <c r="B16" s="1180" t="s">
        <v>813</v>
      </c>
      <c r="C16" s="1061"/>
      <c r="D16" s="1266"/>
      <c r="E16" s="1269"/>
      <c r="F16" s="1062">
        <f>C16+D16*CH4_GWP+E16*N2O_GWP</f>
        <v>0</v>
      </c>
    </row>
    <row r="17" spans="2:6" ht="13.5" customHeight="1">
      <c r="B17" s="1180" t="s">
        <v>812</v>
      </c>
      <c r="C17" s="1061">
        <f>SUM(C14:C16)</f>
        <v>3242.4536956490956</v>
      </c>
      <c r="D17" s="1265">
        <f t="shared" ref="D17" si="6">SUM(D14:D16)</f>
        <v>0.23698125895606614</v>
      </c>
      <c r="E17" s="1268">
        <f t="shared" ref="E17" si="7">SUM(E14:E16)</f>
        <v>2.8259045669572679E-2</v>
      </c>
      <c r="F17" s="1061">
        <f t="shared" ref="F17" si="8">SUM(F14:F16)</f>
        <v>3256.7994227325298</v>
      </c>
    </row>
    <row r="18" spans="2:6" ht="12.75" customHeight="1">
      <c r="B18" s="1180"/>
      <c r="C18" s="1061"/>
      <c r="D18" s="1266"/>
      <c r="E18" s="1269"/>
      <c r="F18" s="1062"/>
    </row>
    <row r="19" spans="2:6" ht="13.5" customHeight="1">
      <c r="B19" s="1180" t="s">
        <v>811</v>
      </c>
      <c r="C19" s="1061">
        <f>O197+T197</f>
        <v>1655.0642182519352</v>
      </c>
      <c r="D19" s="1265">
        <f>P197+U197</f>
        <v>0.13951050487722527</v>
      </c>
      <c r="E19" s="1268">
        <f>Q197+V197</f>
        <v>1.7572525882184064E-2</v>
      </c>
      <c r="F19" s="1062">
        <f>C19+D19*CH4_GWP+E19*N2O_GWP</f>
        <v>1663.7885935867566</v>
      </c>
    </row>
    <row r="20" spans="2:6" ht="13.5" customHeight="1">
      <c r="B20" s="1180" t="s">
        <v>810</v>
      </c>
      <c r="C20" s="1061">
        <f>K262+P262</f>
        <v>1.9779909074542892</v>
      </c>
      <c r="D20" s="1265">
        <f t="shared" ref="D20:E20" si="9">L262+Q262</f>
        <v>2.5942E-5</v>
      </c>
      <c r="E20" s="1268">
        <f t="shared" si="9"/>
        <v>1.5260000000000001E-6</v>
      </c>
      <c r="F20" s="1062">
        <f>C20+D20*CH4_GWP+E20*N2O_GWP</f>
        <v>1.979094205454289</v>
      </c>
    </row>
    <row r="21" spans="2:6" ht="13.5" customHeight="1">
      <c r="B21" s="1180" t="s">
        <v>809</v>
      </c>
      <c r="C21" s="1061"/>
      <c r="D21" s="1266"/>
      <c r="E21" s="1269"/>
      <c r="F21" s="1062">
        <f>C21+D21*CH4_GWP+E21*N2O_GWP</f>
        <v>0</v>
      </c>
    </row>
    <row r="22" spans="2:6" ht="13.5" customHeight="1">
      <c r="B22" s="1180" t="s">
        <v>808</v>
      </c>
      <c r="C22" s="1061">
        <f>SUM(C19:C21)</f>
        <v>1657.0422091593896</v>
      </c>
      <c r="D22" s="1265">
        <f t="shared" ref="D22" si="10">SUM(D19:D21)</f>
        <v>0.13953644687722527</v>
      </c>
      <c r="E22" s="1268">
        <f t="shared" ref="E22" si="11">SUM(E19:E21)</f>
        <v>1.7574051882184066E-2</v>
      </c>
      <c r="F22" s="1061">
        <f t="shared" ref="F22" si="12">SUM(F19:F21)</f>
        <v>1665.7676877922108</v>
      </c>
    </row>
    <row r="23" spans="2:6" ht="13.5" customHeight="1" thickBot="1">
      <c r="B23" s="1181" t="s">
        <v>807</v>
      </c>
      <c r="C23" s="1063">
        <f>C7+C12+C17+C22</f>
        <v>10646.285990678633</v>
      </c>
      <c r="D23" s="1267">
        <f t="shared" ref="D23:F23" si="13">D7+D12+D17+D22</f>
        <v>0.77371091201411191</v>
      </c>
      <c r="E23" s="1270">
        <f t="shared" si="13"/>
        <v>9.0036517724592272E-2</v>
      </c>
      <c r="F23" s="1063">
        <f t="shared" si="13"/>
        <v>10692.459645760913</v>
      </c>
    </row>
    <row r="24" spans="2:6" ht="13.5" customHeight="1" thickTop="1">
      <c r="B24" s="1182"/>
      <c r="C24" s="674"/>
      <c r="D24" s="674"/>
      <c r="E24" s="1271"/>
      <c r="F24" s="674"/>
    </row>
    <row r="25" spans="2:6" ht="13.5" customHeight="1">
      <c r="B25" s="1182"/>
      <c r="C25" s="674"/>
      <c r="D25" s="674"/>
      <c r="E25" s="674"/>
      <c r="F25" s="674"/>
    </row>
    <row r="26" spans="2:6" ht="38.25" customHeight="1" thickBot="1">
      <c r="B26" s="1179" t="s">
        <v>868</v>
      </c>
      <c r="C26" s="234" t="s">
        <v>825</v>
      </c>
      <c r="D26" s="234" t="s">
        <v>824</v>
      </c>
      <c r="E26" s="234" t="s">
        <v>1134</v>
      </c>
      <c r="F26" s="234" t="s">
        <v>1135</v>
      </c>
    </row>
    <row r="27" spans="2:6" ht="13.5" customHeight="1" thickTop="1">
      <c r="B27" s="1180" t="s">
        <v>823</v>
      </c>
      <c r="C27" s="1061">
        <f>O105</f>
        <v>1703.273065798094</v>
      </c>
      <c r="D27" s="1482">
        <f t="shared" ref="D27:E27" si="14">P105</f>
        <v>1.7791666257599998E-2</v>
      </c>
      <c r="E27" s="1482">
        <f t="shared" si="14"/>
        <v>1.1503948859999997E-2</v>
      </c>
      <c r="F27" s="1062">
        <f>C27+D27*CH4_GWP+E27*N2O_GWP</f>
        <v>1707.1460342148139</v>
      </c>
    </row>
    <row r="28" spans="2:6" ht="13.5" customHeight="1">
      <c r="B28" s="1180" t="s">
        <v>822</v>
      </c>
      <c r="C28" s="1061">
        <f>K220</f>
        <v>2.5528529921301377</v>
      </c>
      <c r="D28" s="1482">
        <f t="shared" ref="D28:E28" si="15">L220</f>
        <v>3.5364000000000009E-5</v>
      </c>
      <c r="E28" s="1482">
        <f t="shared" si="15"/>
        <v>2.526E-6</v>
      </c>
      <c r="F28" s="1062">
        <f>C28+D28*CH4_GWP+E28*N2O_GWP</f>
        <v>2.5544898401301377</v>
      </c>
    </row>
    <row r="29" spans="2:6" ht="13.5" customHeight="1">
      <c r="B29" s="1180" t="s">
        <v>821</v>
      </c>
      <c r="C29" s="1061"/>
      <c r="D29" s="1483"/>
      <c r="E29" s="1483"/>
      <c r="F29" s="1062">
        <f>C29+D29*CH4_GWP+E29*N2O_GWP</f>
        <v>0</v>
      </c>
    </row>
    <row r="30" spans="2:6" ht="13.5" customHeight="1">
      <c r="B30" s="1180" t="s">
        <v>820</v>
      </c>
      <c r="C30" s="1061">
        <f>SUM(C27:C29)</f>
        <v>1705.825918790224</v>
      </c>
      <c r="D30" s="1482">
        <f t="shared" ref="D30:E30" si="16">SUM(D27:D29)</f>
        <v>1.7827030257599998E-2</v>
      </c>
      <c r="E30" s="1482">
        <f t="shared" si="16"/>
        <v>1.1506474859999996E-2</v>
      </c>
      <c r="F30" s="1061">
        <f>SUM(F27:F29)</f>
        <v>1709.700524054944</v>
      </c>
    </row>
    <row r="31" spans="2:6" ht="13.5" customHeight="1">
      <c r="B31" s="1180"/>
      <c r="C31" s="1061"/>
      <c r="D31" s="1483"/>
      <c r="E31" s="1483"/>
      <c r="F31" s="1062"/>
    </row>
    <row r="32" spans="2:6" ht="13.5" customHeight="1">
      <c r="B32" s="1180" t="s">
        <v>819</v>
      </c>
      <c r="C32" s="1061">
        <f>O155</f>
        <v>3416.5711533268213</v>
      </c>
      <c r="D32" s="1482">
        <f t="shared" ref="D32:E32" si="17">P155</f>
        <v>4.8582642259199997E-2</v>
      </c>
      <c r="E32" s="1482">
        <f t="shared" si="17"/>
        <v>2.9806390800000002E-2</v>
      </c>
      <c r="F32" s="1062">
        <f>C32+D32*CH4_GWP+E32*N2O_GWP</f>
        <v>3426.6680238417016</v>
      </c>
    </row>
    <row r="33" spans="2:6" ht="13.5" customHeight="1">
      <c r="B33" s="1180" t="s">
        <v>818</v>
      </c>
      <c r="C33" s="1061">
        <f>K234</f>
        <v>226.67523477803886</v>
      </c>
      <c r="D33" s="1482">
        <f t="shared" ref="D33:E33" si="18">L234</f>
        <v>2.3283599999999998E-3</v>
      </c>
      <c r="E33" s="1482">
        <f t="shared" si="18"/>
        <v>6.4981600000000011E-4</v>
      </c>
      <c r="F33" s="1062">
        <f>C33+D33*CH4_GWP+E33*N2O_GWP</f>
        <v>226.92708894603885</v>
      </c>
    </row>
    <row r="34" spans="2:6" ht="13.5" customHeight="1">
      <c r="B34" s="1180" t="s">
        <v>817</v>
      </c>
      <c r="C34" s="1061"/>
      <c r="D34" s="1483"/>
      <c r="E34" s="1483"/>
      <c r="F34" s="1062">
        <f>C34+D34*CH4_GWP+E34*N2O_GWP</f>
        <v>0</v>
      </c>
    </row>
    <row r="35" spans="2:6" ht="13.5" customHeight="1">
      <c r="B35" s="1180" t="s">
        <v>816</v>
      </c>
      <c r="C35" s="1061">
        <f>SUM(C32:C34)</f>
        <v>3643.2463881048602</v>
      </c>
      <c r="D35" s="1482">
        <f t="shared" ref="D35:F35" si="19">SUM(D32:D34)</f>
        <v>5.0911002259199999E-2</v>
      </c>
      <c r="E35" s="1482">
        <f t="shared" si="19"/>
        <v>3.0456206800000003E-2</v>
      </c>
      <c r="F35" s="1061">
        <f t="shared" si="19"/>
        <v>3653.5951127877406</v>
      </c>
    </row>
    <row r="36" spans="2:6" ht="13.5" customHeight="1">
      <c r="B36" s="1180"/>
      <c r="C36" s="1061"/>
      <c r="D36" s="1483"/>
      <c r="E36" s="1483"/>
      <c r="F36" s="1062"/>
    </row>
    <row r="37" spans="2:6" ht="13.5" customHeight="1">
      <c r="B37" s="1180" t="s">
        <v>815</v>
      </c>
      <c r="C37" s="1061">
        <f>O175</f>
        <v>62.037364379291809</v>
      </c>
      <c r="D37" s="1482">
        <f t="shared" ref="D37:E37" si="20">P175</f>
        <v>2.2707881441280001E-2</v>
      </c>
      <c r="E37" s="1482">
        <f t="shared" si="20"/>
        <v>1.3808846822400002E-2</v>
      </c>
      <c r="F37" s="1062">
        <f>C37+D37*CH4_GWP+E37*N2O_GWP</f>
        <v>66.720097768399015</v>
      </c>
    </row>
    <row r="38" spans="2:6" ht="13.5" customHeight="1">
      <c r="B38" s="1180" t="s">
        <v>814</v>
      </c>
      <c r="C38" s="1061">
        <f>K248</f>
        <v>307.28520838742816</v>
      </c>
      <c r="D38" s="1482">
        <f t="shared" ref="D38:E38" si="21">L248</f>
        <v>3.0883519999999999E-3</v>
      </c>
      <c r="E38" s="1482">
        <f t="shared" si="21"/>
        <v>9.3831200000000017E-4</v>
      </c>
      <c r="F38" s="1062">
        <f>C38+D38*CH4_GWP+E38*N2O_GWP</f>
        <v>307.64203416342815</v>
      </c>
    </row>
    <row r="39" spans="2:6" ht="13.5" customHeight="1">
      <c r="B39" s="1180" t="s">
        <v>813</v>
      </c>
      <c r="C39" s="1061"/>
      <c r="D39" s="1483"/>
      <c r="E39" s="1483"/>
      <c r="F39" s="1062">
        <f>C39+D39*CH4_GWP+E39*N2O_GWP</f>
        <v>0</v>
      </c>
    </row>
    <row r="40" spans="2:6" ht="13.5" customHeight="1">
      <c r="B40" s="1180" t="s">
        <v>812</v>
      </c>
      <c r="C40" s="1061">
        <f>SUM(C37:C39)</f>
        <v>369.32257276671999</v>
      </c>
      <c r="D40" s="1482">
        <f t="shared" ref="D40:F40" si="22">SUM(D37:D39)</f>
        <v>2.579623344128E-2</v>
      </c>
      <c r="E40" s="1482">
        <f t="shared" si="22"/>
        <v>1.4747158822400002E-2</v>
      </c>
      <c r="F40" s="1061">
        <f t="shared" si="22"/>
        <v>374.36213193182715</v>
      </c>
    </row>
    <row r="41" spans="2:6" ht="13.5" customHeight="1">
      <c r="B41" s="1180"/>
      <c r="C41" s="1061"/>
      <c r="D41" s="1483"/>
      <c r="E41" s="1483"/>
      <c r="F41" s="1062"/>
    </row>
    <row r="42" spans="2:6" ht="13.5" customHeight="1">
      <c r="B42" s="1180" t="s">
        <v>811</v>
      </c>
      <c r="C42" s="1061">
        <f>O197</f>
        <v>1544.6175213257973</v>
      </c>
      <c r="D42" s="1482">
        <f t="shared" ref="D42:E42" si="23">P197</f>
        <v>2.8029999999999999E-2</v>
      </c>
      <c r="E42" s="1482">
        <f t="shared" si="23"/>
        <v>1.6812000000000001E-2</v>
      </c>
      <c r="F42" s="1062">
        <f>C42+D42*CH4_GWP+E42*N2O_GWP</f>
        <v>1550.3282473257973</v>
      </c>
    </row>
    <row r="43" spans="2:6" ht="13.5" customHeight="1">
      <c r="B43" s="1180" t="s">
        <v>810</v>
      </c>
      <c r="C43" s="1061">
        <f>K262</f>
        <v>1.5091042604828528</v>
      </c>
      <c r="D43" s="1482">
        <f t="shared" ref="D43:E43" si="24">L262</f>
        <v>2.5942E-5</v>
      </c>
      <c r="E43" s="1482">
        <f t="shared" si="24"/>
        <v>1.5260000000000001E-6</v>
      </c>
      <c r="F43" s="1062">
        <f>C43+D43*CH4_GWP+E43*N2O_GWP</f>
        <v>1.5102075584828527</v>
      </c>
    </row>
    <row r="44" spans="2:6" ht="13.5" customHeight="1">
      <c r="B44" s="1180" t="s">
        <v>809</v>
      </c>
      <c r="C44" s="1061"/>
      <c r="D44" s="1483"/>
      <c r="E44" s="1483"/>
      <c r="F44" s="1062">
        <f>C44+D44*CH4_GWP+E44*N2O_GWP</f>
        <v>0</v>
      </c>
    </row>
    <row r="45" spans="2:6" ht="13.5" customHeight="1">
      <c r="B45" s="1180" t="s">
        <v>808</v>
      </c>
      <c r="C45" s="1061">
        <f>SUM(C42:C44)</f>
        <v>1546.1266255862802</v>
      </c>
      <c r="D45" s="1482">
        <f t="shared" ref="D45:F45" si="25">SUM(D42:D44)</f>
        <v>2.8055942E-2</v>
      </c>
      <c r="E45" s="1482">
        <f t="shared" si="25"/>
        <v>1.6813526000000002E-2</v>
      </c>
      <c r="F45" s="1061">
        <f t="shared" si="25"/>
        <v>1551.8384548842801</v>
      </c>
    </row>
    <row r="46" spans="2:6" ht="13.5" customHeight="1" thickBot="1">
      <c r="B46" s="1181" t="s">
        <v>807</v>
      </c>
      <c r="C46" s="1063">
        <f>C30+C35+C40+C45</f>
        <v>7264.5215052480844</v>
      </c>
      <c r="D46" s="1484">
        <f t="shared" ref="D46:F46" si="26">D30+D35+D40+D45</f>
        <v>0.12259020795808</v>
      </c>
      <c r="E46" s="1484">
        <f t="shared" si="26"/>
        <v>7.3523366482400015E-2</v>
      </c>
      <c r="F46" s="1063">
        <f t="shared" si="26"/>
        <v>7289.4962236587926</v>
      </c>
    </row>
    <row r="47" spans="2:6" ht="13.5" customHeight="1" thickTop="1">
      <c r="B47" s="1182"/>
      <c r="C47" s="674"/>
      <c r="D47" s="674"/>
      <c r="E47" s="674"/>
      <c r="F47" s="674"/>
    </row>
    <row r="48" spans="2:6" ht="49.5" customHeight="1" thickBot="1">
      <c r="B48" s="1179" t="s">
        <v>870</v>
      </c>
      <c r="C48" s="234" t="s">
        <v>825</v>
      </c>
      <c r="D48" s="234" t="s">
        <v>824</v>
      </c>
      <c r="E48" s="234" t="s">
        <v>1134</v>
      </c>
      <c r="F48" s="234" t="s">
        <v>1135</v>
      </c>
    </row>
    <row r="49" spans="2:6" ht="13.5" customHeight="1" thickTop="1">
      <c r="B49" s="1180" t="s">
        <v>823</v>
      </c>
      <c r="C49" s="1514">
        <f>T105</f>
        <v>103.94511165236005</v>
      </c>
      <c r="D49" s="1515">
        <f t="shared" ref="D49:E49" si="27">U105</f>
        <v>0.10491806318367415</v>
      </c>
      <c r="E49" s="1516">
        <f t="shared" si="27"/>
        <v>7.1575655893991281E-4</v>
      </c>
      <c r="F49" s="1517">
        <f>C49+D49*CH4_GWP+E49*N2O_GWP</f>
        <v>106.781358686516</v>
      </c>
    </row>
    <row r="50" spans="2:6" ht="13.5" customHeight="1">
      <c r="B50" s="1180" t="s">
        <v>822</v>
      </c>
      <c r="C50" s="1514">
        <f>P220</f>
        <v>0.79311361483615583</v>
      </c>
      <c r="D50" s="1515">
        <f t="shared" ref="D50:E50" si="28">Q220</f>
        <v>0</v>
      </c>
      <c r="E50" s="1516">
        <f t="shared" si="28"/>
        <v>0</v>
      </c>
      <c r="F50" s="1517">
        <f>C50+D50*CH4_GWP+E50*N2O_GWP</f>
        <v>0.79311361483615583</v>
      </c>
    </row>
    <row r="51" spans="2:6" ht="13.5" customHeight="1">
      <c r="B51" s="1180" t="s">
        <v>821</v>
      </c>
      <c r="C51" s="1514"/>
      <c r="D51" s="1518"/>
      <c r="E51" s="1519"/>
      <c r="F51" s="1517">
        <f>C51+D51*CH4_GWP+E51*N2O_GWP</f>
        <v>0</v>
      </c>
    </row>
    <row r="52" spans="2:6" ht="13.5" customHeight="1">
      <c r="B52" s="1180" t="s">
        <v>820</v>
      </c>
      <c r="C52" s="1514">
        <f>SUM(C49:C51)</f>
        <v>104.73822526719621</v>
      </c>
      <c r="D52" s="1515">
        <f t="shared" ref="D52:E52" si="29">SUM(D49:D51)</f>
        <v>0.10491806318367415</v>
      </c>
      <c r="E52" s="1516">
        <f t="shared" si="29"/>
        <v>7.1575655893991281E-4</v>
      </c>
      <c r="F52" s="1514">
        <f>SUM(F49:F51)</f>
        <v>107.57447230135216</v>
      </c>
    </row>
    <row r="53" spans="2:6" ht="13.5" customHeight="1">
      <c r="B53" s="1180"/>
      <c r="C53" s="1514"/>
      <c r="D53" s="1518"/>
      <c r="E53" s="1519"/>
      <c r="F53" s="1517"/>
    </row>
    <row r="54" spans="2:6" ht="13.5" customHeight="1">
      <c r="B54" s="1180" t="s">
        <v>819</v>
      </c>
      <c r="C54" s="1514">
        <f>T155</f>
        <v>221.46415214173669</v>
      </c>
      <c r="D54" s="1515">
        <f t="shared" ref="D54:E54" si="30">U155</f>
        <v>0.22353711048034638</v>
      </c>
      <c r="E54" s="1516">
        <f t="shared" si="30"/>
        <v>1.5249819538956234E-3</v>
      </c>
      <c r="F54" s="1517">
        <f>C54+D54*CH4_GWP+E54*N2O_GWP</f>
        <v>227.50702452600623</v>
      </c>
    </row>
    <row r="55" spans="2:6" ht="13.5" customHeight="1">
      <c r="B55" s="1180" t="s">
        <v>818</v>
      </c>
      <c r="C55" s="1514">
        <f>P234</f>
        <v>71.515401566129384</v>
      </c>
      <c r="D55" s="1515">
        <f t="shared" ref="D55:E55" si="31">Q234</f>
        <v>0</v>
      </c>
      <c r="E55" s="1516">
        <f t="shared" si="31"/>
        <v>0</v>
      </c>
      <c r="F55" s="1517">
        <f>C55+D55*CH4_GWP+E55*N2O_GWP</f>
        <v>71.515401566129384</v>
      </c>
    </row>
    <row r="56" spans="2:6" ht="13.5" customHeight="1">
      <c r="B56" s="1180" t="s">
        <v>817</v>
      </c>
      <c r="C56" s="1514"/>
      <c r="D56" s="1518"/>
      <c r="E56" s="1519"/>
      <c r="F56" s="1517">
        <f>C56+D56*CH4_GWP+E56*N2O_GWP</f>
        <v>0</v>
      </c>
    </row>
    <row r="57" spans="2:6" ht="13.5" customHeight="1">
      <c r="B57" s="1180" t="s">
        <v>816</v>
      </c>
      <c r="C57" s="1514">
        <f>SUM(C54:C56)</f>
        <v>292.9795537078661</v>
      </c>
      <c r="D57" s="1515">
        <f t="shared" ref="D57:F57" si="32">SUM(D54:D56)</f>
        <v>0.22353711048034638</v>
      </c>
      <c r="E57" s="1516">
        <f t="shared" si="32"/>
        <v>1.5249819538956234E-3</v>
      </c>
      <c r="F57" s="1514">
        <f t="shared" si="32"/>
        <v>299.02242609213562</v>
      </c>
    </row>
    <row r="58" spans="2:6" ht="13.5" customHeight="1">
      <c r="B58" s="1180"/>
      <c r="C58" s="1514"/>
      <c r="D58" s="1518"/>
      <c r="E58" s="1519"/>
      <c r="F58" s="1517"/>
    </row>
    <row r="59" spans="2:6" ht="13.5" customHeight="1">
      <c r="B59" s="1180" t="s">
        <v>815</v>
      </c>
      <c r="C59" s="1514">
        <f>T176</f>
        <v>189.33719473052219</v>
      </c>
      <c r="D59" s="1515">
        <f t="shared" ref="D59:E59" si="33">U176</f>
        <v>0.19110943693238616</v>
      </c>
      <c r="E59" s="1516">
        <f t="shared" si="33"/>
        <v>1.3037586551726775E-3</v>
      </c>
      <c r="F59" s="1517">
        <f>C59+D59*CH4_GWP+E59*N2O_GWP</f>
        <v>194.50345073307329</v>
      </c>
    </row>
    <row r="60" spans="2:6" ht="13.5" customHeight="1">
      <c r="B60" s="1180" t="s">
        <v>814</v>
      </c>
      <c r="C60" s="1514">
        <f>P248</f>
        <v>97.068913516263791</v>
      </c>
      <c r="D60" s="1515">
        <f t="shared" ref="D60:E60" si="34">Q248</f>
        <v>0</v>
      </c>
      <c r="E60" s="1516">
        <f t="shared" si="34"/>
        <v>0</v>
      </c>
      <c r="F60" s="1517">
        <f>C60+D60*CH4_GWP+E60*N2O_GWP</f>
        <v>97.068913516263791</v>
      </c>
    </row>
    <row r="61" spans="2:6" ht="13.5" customHeight="1">
      <c r="B61" s="1180" t="s">
        <v>813</v>
      </c>
      <c r="C61" s="1514"/>
      <c r="D61" s="1518"/>
      <c r="E61" s="1519"/>
      <c r="F61" s="1517">
        <f>C61+D61*CH4_GWP+E61*N2O_GWP</f>
        <v>0</v>
      </c>
    </row>
    <row r="62" spans="2:6" ht="13.5" customHeight="1">
      <c r="B62" s="1180" t="s">
        <v>812</v>
      </c>
      <c r="C62" s="1514">
        <f>SUM(C59:C61)</f>
        <v>286.40610824678595</v>
      </c>
      <c r="D62" s="1515">
        <f t="shared" ref="D62:F62" si="35">SUM(D59:D61)</f>
        <v>0.19110943693238616</v>
      </c>
      <c r="E62" s="1516">
        <f t="shared" si="35"/>
        <v>1.3037586551726775E-3</v>
      </c>
      <c r="F62" s="1514">
        <f t="shared" si="35"/>
        <v>291.57236424933706</v>
      </c>
    </row>
    <row r="63" spans="2:6" ht="13.5" customHeight="1">
      <c r="B63" s="1180"/>
      <c r="C63" s="1514"/>
      <c r="D63" s="1518"/>
      <c r="E63" s="1519"/>
      <c r="F63" s="1517"/>
    </row>
    <row r="64" spans="2:6" ht="13.5" customHeight="1">
      <c r="B64" s="1180" t="s">
        <v>811</v>
      </c>
      <c r="C64" s="1514">
        <f>T197</f>
        <v>110.44669692613793</v>
      </c>
      <c r="D64" s="1515">
        <f t="shared" ref="D64:E64" si="36">U197</f>
        <v>0.11148050487722527</v>
      </c>
      <c r="E64" s="1516">
        <f t="shared" si="36"/>
        <v>7.6052588218406198E-4</v>
      </c>
      <c r="F64" s="1517">
        <f>C64+D64*CH4_GWP+E64*N2O_GWP</f>
        <v>113.46034626095941</v>
      </c>
    </row>
    <row r="65" spans="2:24" ht="13.5" customHeight="1">
      <c r="B65" s="1180" t="s">
        <v>810</v>
      </c>
      <c r="C65" s="1514">
        <f>P262</f>
        <v>0.46888664697143628</v>
      </c>
      <c r="D65" s="1515">
        <f t="shared" ref="D65:E65" si="37">Q262</f>
        <v>0</v>
      </c>
      <c r="E65" s="1516">
        <f t="shared" si="37"/>
        <v>0</v>
      </c>
      <c r="F65" s="1517">
        <f>C65+D65*CH4_GWP+E65*N2O_GWP</f>
        <v>0.46888664697143628</v>
      </c>
    </row>
    <row r="66" spans="2:24" ht="13.5" customHeight="1">
      <c r="B66" s="1180" t="s">
        <v>809</v>
      </c>
      <c r="C66" s="1514"/>
      <c r="D66" s="1518"/>
      <c r="E66" s="1519"/>
      <c r="F66" s="1517">
        <f>C66+D66*CH4_GWP+E66*N2O_GWP</f>
        <v>0</v>
      </c>
    </row>
    <row r="67" spans="2:24" ht="13.5" customHeight="1">
      <c r="B67" s="1180" t="s">
        <v>808</v>
      </c>
      <c r="C67" s="1514">
        <f>SUM(C64:C66)</f>
        <v>110.91558357310937</v>
      </c>
      <c r="D67" s="1515">
        <f t="shared" ref="D67:F67" si="38">SUM(D64:D66)</f>
        <v>0.11148050487722527</v>
      </c>
      <c r="E67" s="1516">
        <f t="shared" si="38"/>
        <v>7.6052588218406198E-4</v>
      </c>
      <c r="F67" s="1514">
        <f t="shared" si="38"/>
        <v>113.92923290793085</v>
      </c>
    </row>
    <row r="68" spans="2:24" ht="13.5" customHeight="1" thickBot="1">
      <c r="B68" s="1181" t="s">
        <v>807</v>
      </c>
      <c r="C68" s="1520">
        <f>C52+C57+C62+C67</f>
        <v>795.03947079495765</v>
      </c>
      <c r="D68" s="1521">
        <f t="shared" ref="D68:F68" si="39">D52+D57+D62+D67</f>
        <v>0.63104511547363196</v>
      </c>
      <c r="E68" s="1522">
        <f t="shared" si="39"/>
        <v>4.3050230501922755E-3</v>
      </c>
      <c r="F68" s="1520">
        <f t="shared" si="39"/>
        <v>812.09849555075573</v>
      </c>
    </row>
    <row r="69" spans="2:24" ht="13.5" customHeight="1" thickTop="1">
      <c r="B69" s="673"/>
      <c r="C69" s="674"/>
      <c r="D69" s="674"/>
      <c r="E69" s="674"/>
      <c r="F69" s="674"/>
    </row>
    <row r="70" spans="2:24" ht="13.5" customHeight="1">
      <c r="B70" s="673"/>
      <c r="C70" s="674"/>
      <c r="D70" s="674"/>
      <c r="E70" s="674"/>
      <c r="F70" s="674"/>
    </row>
    <row r="71" spans="2:24" ht="13.5" customHeight="1" thickBot="1">
      <c r="B71" s="601" t="s">
        <v>839</v>
      </c>
      <c r="C71" s="602">
        <f>48*4.28</f>
        <v>205.44</v>
      </c>
      <c r="D71" s="674"/>
      <c r="E71" s="674"/>
    </row>
    <row r="72" spans="2:24" ht="13.5" customHeight="1" thickTop="1">
      <c r="B72" s="673"/>
      <c r="C72" s="674"/>
      <c r="D72" s="674"/>
      <c r="E72" s="674"/>
      <c r="F72" s="674"/>
    </row>
    <row r="73" spans="2:24" ht="13.5" customHeight="1">
      <c r="B73" s="673"/>
      <c r="C73" s="674"/>
      <c r="D73" s="674"/>
      <c r="E73" s="674"/>
      <c r="F73" s="674"/>
    </row>
    <row r="74" spans="2:24">
      <c r="B74" s="599"/>
    </row>
    <row r="76" spans="2:24" ht="15.75">
      <c r="B76" s="604" t="s">
        <v>806</v>
      </c>
      <c r="C76" s="605"/>
      <c r="D76" s="605"/>
      <c r="E76" s="605"/>
      <c r="F76" s="605"/>
      <c r="G76" s="605"/>
      <c r="H76" s="1111"/>
      <c r="N76" s="605"/>
      <c r="O76" s="605"/>
      <c r="P76" s="606"/>
      <c r="T76" s="1803" t="s">
        <v>850</v>
      </c>
      <c r="U76" s="1803"/>
      <c r="V76" s="1803"/>
      <c r="W76" s="1803"/>
      <c r="X76" s="1132" t="s">
        <v>211</v>
      </c>
    </row>
    <row r="77" spans="2:24" ht="62.25" thickBot="1">
      <c r="B77" s="1090" t="s">
        <v>790</v>
      </c>
      <c r="C77" s="1091" t="s">
        <v>789</v>
      </c>
      <c r="D77" s="1092" t="s">
        <v>788</v>
      </c>
      <c r="E77" s="1093" t="s">
        <v>787</v>
      </c>
      <c r="F77" s="1093" t="s">
        <v>786</v>
      </c>
      <c r="G77" s="1093" t="s">
        <v>785</v>
      </c>
      <c r="H77" s="1112" t="s">
        <v>784</v>
      </c>
      <c r="I77" s="1092" t="s">
        <v>840</v>
      </c>
      <c r="J77" s="1092" t="s">
        <v>841</v>
      </c>
      <c r="K77" s="1092" t="s">
        <v>802</v>
      </c>
      <c r="L77" s="1093" t="s">
        <v>842</v>
      </c>
      <c r="M77" s="1093" t="s">
        <v>801</v>
      </c>
      <c r="N77" s="1093" t="s">
        <v>805</v>
      </c>
      <c r="O77" s="1094" t="s">
        <v>845</v>
      </c>
      <c r="P77" s="1095" t="s">
        <v>783</v>
      </c>
      <c r="Q77" s="1095" t="s">
        <v>782</v>
      </c>
      <c r="R77" s="1096" t="s">
        <v>856</v>
      </c>
      <c r="S77" s="1096" t="s">
        <v>851</v>
      </c>
      <c r="T77" s="1094" t="s">
        <v>847</v>
      </c>
      <c r="U77" s="1092" t="s">
        <v>848</v>
      </c>
      <c r="V77" s="1092" t="s">
        <v>849</v>
      </c>
      <c r="W77" s="1094" t="s">
        <v>858</v>
      </c>
      <c r="X77" s="1096" t="s">
        <v>857</v>
      </c>
    </row>
    <row r="78" spans="2:24" ht="13.5" thickTop="1">
      <c r="B78" s="1069" t="s">
        <v>800</v>
      </c>
      <c r="C78" s="609"/>
      <c r="D78" s="609"/>
      <c r="E78" s="609"/>
      <c r="F78" s="609"/>
      <c r="G78" s="609"/>
      <c r="H78" s="1113"/>
      <c r="I78" s="616"/>
      <c r="K78" s="616"/>
      <c r="L78" s="616"/>
      <c r="M78" s="609"/>
      <c r="N78" s="609"/>
      <c r="X78" s="616"/>
    </row>
    <row r="79" spans="2:24" ht="15" customHeight="1">
      <c r="B79" s="609" t="s">
        <v>794</v>
      </c>
      <c r="C79" s="1071">
        <v>1</v>
      </c>
      <c r="D79" s="1071">
        <v>6</v>
      </c>
      <c r="E79" s="1071">
        <v>165</v>
      </c>
      <c r="F79" s="1072">
        <v>0.75</v>
      </c>
      <c r="G79" s="1072">
        <v>0.21</v>
      </c>
      <c r="H79" s="1088">
        <v>0.51800000000000002</v>
      </c>
      <c r="I79" s="1073">
        <v>2.6</v>
      </c>
      <c r="J79" s="1073">
        <v>0.66400000000000003</v>
      </c>
      <c r="K79" s="1075">
        <v>624</v>
      </c>
      <c r="L79" s="1076">
        <f>K79+J79*VOC_C_Ratio/CO2_C_Ratio+I79*CO_C_Ratio/CO2_C_Ratio</f>
        <v>630.15246983772499</v>
      </c>
      <c r="M79" s="1073">
        <v>0.74</v>
      </c>
      <c r="N79" s="1073">
        <v>0.45</v>
      </c>
      <c r="O79" s="618">
        <f t="shared" ref="O79:O93" si="40">E79*$C$71*L79*C79*D79/1000000*F79*G79</f>
        <v>20.185820261684846</v>
      </c>
      <c r="P79" s="1078">
        <f t="shared" ref="P79:P93" si="41">$C79*$H79*$C$71*$D79*M79/1000000*$F79</f>
        <v>3.5437167360000002E-4</v>
      </c>
      <c r="Q79" s="1078">
        <f t="shared" ref="Q79:Q93" si="42">$C79*$H79*$C$71*$D79*N79/1000000*$F79</f>
        <v>2.1549628800000001E-4</v>
      </c>
      <c r="R79" s="656">
        <f t="shared" ref="R79:R93" si="43">O79+P79*CH4_GWP+Q79*N2O_GWP</f>
        <v>20.258897447348847</v>
      </c>
      <c r="S79" s="1079">
        <f>C79*D79*H79*$C$71*Fuel_Specs!$C$13/1000000</f>
        <v>82.016290944000005</v>
      </c>
      <c r="T79" s="1080">
        <f>S79*Upstream!$C$95/1000000</f>
        <v>1.7155868120348885</v>
      </c>
      <c r="U79" s="1080">
        <f>S79*Upstream!$D$95/1000000</f>
        <v>1.7316451219384279E-3</v>
      </c>
      <c r="V79" s="1081">
        <f>S79*Upstream!$E$95/1000000</f>
        <v>1.1813374324437571E-5</v>
      </c>
      <c r="W79" s="1078">
        <f>T79+U79*CH4_GWP+V79*N2O_GWP</f>
        <v>1.7623983256320317</v>
      </c>
      <c r="X79" s="1082">
        <f>R79+W79</f>
        <v>22.021295772980878</v>
      </c>
    </row>
    <row r="80" spans="2:24" ht="15" customHeight="1">
      <c r="B80" s="609" t="s">
        <v>780</v>
      </c>
      <c r="C80" s="1071">
        <v>1</v>
      </c>
      <c r="D80" s="1071">
        <v>6</v>
      </c>
      <c r="E80" s="1071">
        <v>250</v>
      </c>
      <c r="F80" s="1072">
        <v>0.85</v>
      </c>
      <c r="G80" s="1072">
        <v>0.43</v>
      </c>
      <c r="H80" s="1088">
        <v>0.17399999999999999</v>
      </c>
      <c r="I80" s="1073">
        <v>0.49099999999999999</v>
      </c>
      <c r="J80" s="1073">
        <v>0.188</v>
      </c>
      <c r="K80" s="1075">
        <v>530</v>
      </c>
      <c r="L80" s="1076">
        <f t="shared" ref="L80:L93" si="44">K80+J80*VOC_C_Ratio/CO2_C_Ratio+I80*CO_C_Ratio/CO2_C_Ratio</f>
        <v>531.35681318923901</v>
      </c>
      <c r="M80" s="1073">
        <v>0.74</v>
      </c>
      <c r="N80" s="1073">
        <v>0.45</v>
      </c>
      <c r="O80" s="618">
        <f t="shared" si="40"/>
        <v>59.848035634400695</v>
      </c>
      <c r="P80" s="1078">
        <f t="shared" si="41"/>
        <v>1.3490751743999997E-4</v>
      </c>
      <c r="Q80" s="1078">
        <f t="shared" si="42"/>
        <v>8.203835519999999E-5</v>
      </c>
      <c r="R80" s="656">
        <f t="shared" si="43"/>
        <v>59.875855752186297</v>
      </c>
      <c r="S80" s="1079">
        <f>C80*D80*H80*$C$71*Fuel_Specs!$C$13/1000000</f>
        <v>27.549873792000003</v>
      </c>
      <c r="T80" s="1080">
        <f>S80*Upstream!$C$95/1000000</f>
        <v>0.57627819554839887</v>
      </c>
      <c r="U80" s="1080">
        <f>S80*Upstream!$D$95/1000000</f>
        <v>5.8167229964727117E-4</v>
      </c>
      <c r="V80" s="1081">
        <f>S80*Upstream!$E$95/1000000</f>
        <v>3.9681990973979488E-6</v>
      </c>
      <c r="W80" s="1078">
        <f t="shared" ref="W80:W93" si="45">T80+U80*CH4_GWP+V80*N2O_GWP</f>
        <v>0.59200252637060535</v>
      </c>
      <c r="X80" s="1082">
        <f t="shared" ref="X80:X103" si="46">R80+W80</f>
        <v>60.467858278556903</v>
      </c>
    </row>
    <row r="81" spans="2:25" ht="15" customHeight="1">
      <c r="B81" s="609" t="s">
        <v>779</v>
      </c>
      <c r="C81" s="1071">
        <v>1</v>
      </c>
      <c r="D81" s="1071">
        <v>6</v>
      </c>
      <c r="E81" s="1071">
        <v>300</v>
      </c>
      <c r="F81" s="1072">
        <v>0.85</v>
      </c>
      <c r="G81" s="1072">
        <v>0.43</v>
      </c>
      <c r="H81" s="1088">
        <v>0.17399999999999999</v>
      </c>
      <c r="I81" s="1073">
        <v>0.49099999999999999</v>
      </c>
      <c r="J81" s="1073">
        <v>0.188</v>
      </c>
      <c r="K81" s="1075">
        <v>530</v>
      </c>
      <c r="L81" s="1076">
        <f t="shared" si="44"/>
        <v>531.35681318923901</v>
      </c>
      <c r="M81" s="1073">
        <v>0.74</v>
      </c>
      <c r="N81" s="1073">
        <v>0.45</v>
      </c>
      <c r="O81" s="618">
        <f t="shared" si="40"/>
        <v>71.817642761280837</v>
      </c>
      <c r="P81" s="1078">
        <f t="shared" si="41"/>
        <v>1.3490751743999997E-4</v>
      </c>
      <c r="Q81" s="1078">
        <f t="shared" si="42"/>
        <v>8.203835519999999E-5</v>
      </c>
      <c r="R81" s="656">
        <f t="shared" si="43"/>
        <v>71.845462879066432</v>
      </c>
      <c r="S81" s="1079">
        <f>C81*D81*H81*$C$71*Fuel_Specs!$C$13/1000000</f>
        <v>27.549873792000003</v>
      </c>
      <c r="T81" s="1080">
        <f>S81*Upstream!$C$95/1000000</f>
        <v>0.57627819554839887</v>
      </c>
      <c r="U81" s="1080">
        <f>S81*Upstream!$D$95/1000000</f>
        <v>5.8167229964727117E-4</v>
      </c>
      <c r="V81" s="1081">
        <f>S81*Upstream!$E$95/1000000</f>
        <v>3.9681990973979488E-6</v>
      </c>
      <c r="W81" s="1078">
        <f t="shared" si="45"/>
        <v>0.59200252637060535</v>
      </c>
      <c r="X81" s="1082">
        <f t="shared" si="46"/>
        <v>72.437465405437038</v>
      </c>
    </row>
    <row r="82" spans="2:25" ht="15" customHeight="1">
      <c r="B82" s="609" t="s">
        <v>778</v>
      </c>
      <c r="C82" s="1071">
        <v>1</v>
      </c>
      <c r="D82" s="1071">
        <v>6</v>
      </c>
      <c r="E82" s="1071">
        <v>85</v>
      </c>
      <c r="F82" s="1072">
        <v>0.85</v>
      </c>
      <c r="G82" s="1072">
        <v>0.43</v>
      </c>
      <c r="H82" s="1088">
        <v>0.42199999999999999</v>
      </c>
      <c r="I82" s="1073">
        <v>1.7330000000000001</v>
      </c>
      <c r="J82" s="1073">
        <v>0.255</v>
      </c>
      <c r="K82" s="1075">
        <v>590</v>
      </c>
      <c r="L82" s="1076">
        <f t="shared" si="44"/>
        <v>593.51676673973827</v>
      </c>
      <c r="M82" s="1073">
        <v>0.74</v>
      </c>
      <c r="N82" s="1073">
        <v>0.45</v>
      </c>
      <c r="O82" s="618">
        <f t="shared" si="40"/>
        <v>22.728750222222601</v>
      </c>
      <c r="P82" s="1078">
        <f t="shared" si="41"/>
        <v>3.2718949631999999E-4</v>
      </c>
      <c r="Q82" s="1078">
        <f t="shared" si="42"/>
        <v>1.9896658560000002E-4</v>
      </c>
      <c r="R82" s="656">
        <f t="shared" si="43"/>
        <v>22.796222002139402</v>
      </c>
      <c r="S82" s="1079">
        <f>C82*D82*H82*$C$71*Fuel_Specs!$C$13/1000000</f>
        <v>66.816360575999994</v>
      </c>
      <c r="T82" s="1080">
        <f>S82*Upstream!$C$95/1000000</f>
        <v>1.3976402213874957</v>
      </c>
      <c r="U82" s="1080">
        <f>S82*Upstream!$D$95/1000000</f>
        <v>1.4107224738571747E-3</v>
      </c>
      <c r="V82" s="1081">
        <f>S82*Upstream!$E$95/1000000</f>
        <v>9.6240230982869784E-6</v>
      </c>
      <c r="W82" s="1078">
        <f t="shared" si="45"/>
        <v>1.4357762421172147</v>
      </c>
      <c r="X82" s="1082">
        <f t="shared" si="46"/>
        <v>24.231998244256616</v>
      </c>
    </row>
    <row r="83" spans="2:25" ht="15" customHeight="1">
      <c r="B83" s="609" t="s">
        <v>777</v>
      </c>
      <c r="C83" s="1071">
        <v>1</v>
      </c>
      <c r="D83" s="1071">
        <v>6</v>
      </c>
      <c r="E83" s="1071">
        <v>100</v>
      </c>
      <c r="F83" s="1072">
        <v>0.85</v>
      </c>
      <c r="G83" s="1072">
        <v>0.43</v>
      </c>
      <c r="H83" s="1088">
        <v>0.42199999999999999</v>
      </c>
      <c r="I83" s="1073">
        <v>1.7330000000000001</v>
      </c>
      <c r="J83" s="1073">
        <v>0.255</v>
      </c>
      <c r="K83" s="1075">
        <v>590</v>
      </c>
      <c r="L83" s="1076">
        <f t="shared" si="44"/>
        <v>593.51676673973827</v>
      </c>
      <c r="M83" s="1073">
        <v>0.74</v>
      </c>
      <c r="N83" s="1073">
        <v>0.45</v>
      </c>
      <c r="O83" s="618">
        <f t="shared" si="40"/>
        <v>26.739706143791292</v>
      </c>
      <c r="P83" s="1078">
        <f t="shared" si="41"/>
        <v>3.2718949631999999E-4</v>
      </c>
      <c r="Q83" s="1078">
        <f t="shared" si="42"/>
        <v>1.9896658560000002E-4</v>
      </c>
      <c r="R83" s="656">
        <f t="shared" si="43"/>
        <v>26.807177923708092</v>
      </c>
      <c r="S83" s="1079">
        <f>C83*D83*H83*$C$71*Fuel_Specs!$C$13/1000000</f>
        <v>66.816360575999994</v>
      </c>
      <c r="T83" s="1080">
        <f>S83*Upstream!$C$95/1000000</f>
        <v>1.3976402213874957</v>
      </c>
      <c r="U83" s="1080">
        <f>S83*Upstream!$D$95/1000000</f>
        <v>1.4107224738571747E-3</v>
      </c>
      <c r="V83" s="1081">
        <f>S83*Upstream!$E$95/1000000</f>
        <v>9.6240230982869784E-6</v>
      </c>
      <c r="W83" s="1078">
        <f t="shared" si="45"/>
        <v>1.4357762421172147</v>
      </c>
      <c r="X83" s="1082">
        <f t="shared" si="46"/>
        <v>28.242954165825306</v>
      </c>
    </row>
    <row r="84" spans="2:25" ht="15" customHeight="1">
      <c r="B84" s="609" t="s">
        <v>776</v>
      </c>
      <c r="C84" s="1071">
        <v>2</v>
      </c>
      <c r="D84" s="1071">
        <v>6</v>
      </c>
      <c r="E84" s="1071">
        <v>55</v>
      </c>
      <c r="F84" s="1072">
        <v>1</v>
      </c>
      <c r="G84" s="1072">
        <v>0.43</v>
      </c>
      <c r="H84" s="1088">
        <v>1.02</v>
      </c>
      <c r="I84" s="1073">
        <v>1.0900000000000001</v>
      </c>
      <c r="J84" s="1073">
        <v>0.22700000000000001</v>
      </c>
      <c r="K84" s="1075">
        <v>590</v>
      </c>
      <c r="L84" s="1076">
        <f t="shared" si="44"/>
        <v>592.41935124888505</v>
      </c>
      <c r="M84" s="1073">
        <v>0.74</v>
      </c>
      <c r="N84" s="1073">
        <v>0.45</v>
      </c>
      <c r="O84" s="618">
        <f t="shared" si="40"/>
        <v>34.540342025538031</v>
      </c>
      <c r="P84" s="1078">
        <f t="shared" si="41"/>
        <v>1.8607933439999998E-3</v>
      </c>
      <c r="Q84" s="1078">
        <f t="shared" si="42"/>
        <v>1.13156352E-3</v>
      </c>
      <c r="R84" s="656">
        <f t="shared" si="43"/>
        <v>34.924067788098036</v>
      </c>
      <c r="S84" s="1079">
        <f>C84*D84*H84*$C$71*Fuel_Specs!$C$13/1000000</f>
        <v>322.99852032000001</v>
      </c>
      <c r="T84" s="1080">
        <f>S84*Upstream!$C$95/1000000</f>
        <v>6.7563650512570899</v>
      </c>
      <c r="U84" s="1080">
        <f>S84*Upstream!$D$95/1000000</f>
        <v>6.8196062717266271E-3</v>
      </c>
      <c r="V84" s="1081">
        <f>S84*Upstream!$E$95/1000000</f>
        <v>4.6523713555700084E-5</v>
      </c>
      <c r="W84" s="1078">
        <f t="shared" si="45"/>
        <v>6.9407192746898545</v>
      </c>
      <c r="X84" s="1082">
        <f t="shared" si="46"/>
        <v>41.86478706278789</v>
      </c>
    </row>
    <row r="85" spans="2:25" ht="15" customHeight="1">
      <c r="B85" s="609" t="s">
        <v>775</v>
      </c>
      <c r="C85" s="1071">
        <v>2</v>
      </c>
      <c r="D85" s="1071">
        <v>6</v>
      </c>
      <c r="E85" s="1071">
        <v>65</v>
      </c>
      <c r="F85" s="1072">
        <v>0.85</v>
      </c>
      <c r="G85" s="1072">
        <v>0.59</v>
      </c>
      <c r="H85" s="1088">
        <v>0.73199999999999998</v>
      </c>
      <c r="I85" s="1073">
        <v>2.6</v>
      </c>
      <c r="J85" s="1073">
        <v>0.66400000000000003</v>
      </c>
      <c r="K85" s="1075">
        <v>595</v>
      </c>
      <c r="L85" s="1076">
        <f t="shared" si="44"/>
        <v>601.15246983772499</v>
      </c>
      <c r="M85" s="1073">
        <v>0.74</v>
      </c>
      <c r="N85" s="1073">
        <v>0.45</v>
      </c>
      <c r="O85" s="618">
        <f t="shared" si="40"/>
        <v>48.309793620532318</v>
      </c>
      <c r="P85" s="1078">
        <f t="shared" si="41"/>
        <v>1.1350839398399999E-3</v>
      </c>
      <c r="Q85" s="1078">
        <f t="shared" si="42"/>
        <v>6.9025374720000005E-4</v>
      </c>
      <c r="R85" s="656">
        <f t="shared" si="43"/>
        <v>48.54386633569392</v>
      </c>
      <c r="S85" s="1079">
        <f>C85*D85*H85*$C$71*Fuel_Specs!$C$13/1000000</f>
        <v>231.79893811199995</v>
      </c>
      <c r="T85" s="1080">
        <f>S85*Upstream!$C$95/1000000</f>
        <v>4.8486855073727329</v>
      </c>
      <c r="U85" s="1080">
        <f>S85*Upstream!$D$95/1000000</f>
        <v>4.8940703832391075E-3</v>
      </c>
      <c r="V85" s="1081">
        <f>S85*Upstream!$E$95/1000000</f>
        <v>3.3387606198796527E-5</v>
      </c>
      <c r="W85" s="1078">
        <f t="shared" si="45"/>
        <v>4.9809867736009519</v>
      </c>
      <c r="X85" s="1082">
        <f t="shared" si="46"/>
        <v>53.524853109294874</v>
      </c>
    </row>
    <row r="86" spans="2:25" ht="15" customHeight="1">
      <c r="B86" s="609" t="s">
        <v>774</v>
      </c>
      <c r="C86" s="1071">
        <v>2</v>
      </c>
      <c r="D86" s="1071">
        <v>6</v>
      </c>
      <c r="E86" s="1071">
        <v>65</v>
      </c>
      <c r="F86" s="1072">
        <v>0.85</v>
      </c>
      <c r="G86" s="1072">
        <v>0.59</v>
      </c>
      <c r="H86" s="1088">
        <v>0.48899999999999999</v>
      </c>
      <c r="I86" s="1073">
        <v>2.6629999999999998</v>
      </c>
      <c r="J86" s="1073">
        <v>0.309</v>
      </c>
      <c r="K86" s="1075">
        <v>595</v>
      </c>
      <c r="L86" s="1076">
        <f t="shared" si="44"/>
        <v>600.14605196790876</v>
      </c>
      <c r="M86" s="1073">
        <v>0.74</v>
      </c>
      <c r="N86" s="1073">
        <v>0.45</v>
      </c>
      <c r="O86" s="618">
        <f t="shared" si="40"/>
        <v>48.22891590310406</v>
      </c>
      <c r="P86" s="1078">
        <f t="shared" si="41"/>
        <v>7.5827328768E-4</v>
      </c>
      <c r="Q86" s="1078">
        <f t="shared" si="42"/>
        <v>4.6111213440000009E-4</v>
      </c>
      <c r="R86" s="656">
        <f t="shared" si="43"/>
        <v>48.385284151347264</v>
      </c>
      <c r="S86" s="1079">
        <f>C86*D86*H86*$C$71*Fuel_Specs!$C$13/1000000</f>
        <v>154.84929062400002</v>
      </c>
      <c r="T86" s="1080">
        <f>S86*Upstream!$C$95/1000000</f>
        <v>3.2390808922203109</v>
      </c>
      <c r="U86" s="1080">
        <f>S86*Upstream!$D$95/1000000</f>
        <v>3.2693994773277655E-3</v>
      </c>
      <c r="V86" s="1081">
        <f>S86*Upstream!$E$95/1000000</f>
        <v>2.2304015616409159E-5</v>
      </c>
      <c r="W86" s="1078">
        <f t="shared" si="45"/>
        <v>3.3274624758071951</v>
      </c>
      <c r="X86" s="1082">
        <f t="shared" si="46"/>
        <v>51.712746627154459</v>
      </c>
    </row>
    <row r="87" spans="2:25" ht="15" customHeight="1">
      <c r="B87" s="609" t="s">
        <v>771</v>
      </c>
      <c r="C87" s="1071">
        <v>2</v>
      </c>
      <c r="D87" s="1071">
        <v>6</v>
      </c>
      <c r="E87" s="1071">
        <v>250</v>
      </c>
      <c r="F87" s="1072">
        <v>0.85</v>
      </c>
      <c r="G87" s="1072">
        <v>0.59</v>
      </c>
      <c r="H87" s="1088">
        <v>7.3999999999999996E-2</v>
      </c>
      <c r="I87" s="1073">
        <v>2.09</v>
      </c>
      <c r="J87" s="1073">
        <v>0.216</v>
      </c>
      <c r="K87" s="1075">
        <v>536</v>
      </c>
      <c r="L87" s="1076">
        <f t="shared" si="44"/>
        <v>539.95621788904646</v>
      </c>
      <c r="M87" s="1073">
        <v>0.74</v>
      </c>
      <c r="N87" s="1073">
        <v>0.45</v>
      </c>
      <c r="O87" s="618">
        <f t="shared" si="40"/>
        <v>166.89208682900261</v>
      </c>
      <c r="P87" s="1078">
        <f t="shared" si="41"/>
        <v>1.1474892287999997E-4</v>
      </c>
      <c r="Q87" s="1078">
        <f t="shared" si="42"/>
        <v>6.9779750400000002E-5</v>
      </c>
      <c r="R87" s="656">
        <f t="shared" si="43"/>
        <v>166.9157499176938</v>
      </c>
      <c r="S87" s="1079">
        <f>C87*D87*H87*$C$71*Fuel_Specs!$C$13/1000000</f>
        <v>23.433225983999996</v>
      </c>
      <c r="T87" s="1080">
        <f>S87*Upstream!$C$95/1000000</f>
        <v>0.4901676605813966</v>
      </c>
      <c r="U87" s="1080">
        <f>S87*Upstream!$D$95/1000000</f>
        <v>4.9475574912526501E-4</v>
      </c>
      <c r="V87" s="1081">
        <f>S87*Upstream!$E$95/1000000</f>
        <v>3.3752498069821626E-6</v>
      </c>
      <c r="W87" s="1078">
        <f t="shared" si="45"/>
        <v>0.50354237875200891</v>
      </c>
      <c r="X87" s="1082">
        <f t="shared" si="46"/>
        <v>167.4192922964458</v>
      </c>
    </row>
    <row r="88" spans="2:25" ht="15" customHeight="1">
      <c r="B88" s="609" t="s">
        <v>793</v>
      </c>
      <c r="C88" s="1071">
        <v>2</v>
      </c>
      <c r="D88" s="1071">
        <v>6</v>
      </c>
      <c r="E88" s="1071">
        <v>285</v>
      </c>
      <c r="F88" s="1072">
        <v>0.75</v>
      </c>
      <c r="G88" s="1072">
        <v>0.59</v>
      </c>
      <c r="H88" s="1088">
        <v>7.3999999999999996E-2</v>
      </c>
      <c r="I88" s="1073">
        <v>0.27400000000000002</v>
      </c>
      <c r="J88" s="1073">
        <v>0.14099999999999999</v>
      </c>
      <c r="K88" s="1075">
        <v>536</v>
      </c>
      <c r="L88" s="1076">
        <f t="shared" si="44"/>
        <v>536.86953198089998</v>
      </c>
      <c r="M88" s="1073">
        <v>0.74</v>
      </c>
      <c r="N88" s="1073">
        <v>0.45</v>
      </c>
      <c r="O88" s="618">
        <f t="shared" si="40"/>
        <v>166.91414623851372</v>
      </c>
      <c r="P88" s="1078">
        <f t="shared" si="41"/>
        <v>1.0124904959999998E-4</v>
      </c>
      <c r="Q88" s="1078">
        <f t="shared" si="42"/>
        <v>6.1570368000000002E-5</v>
      </c>
      <c r="R88" s="656">
        <f t="shared" si="43"/>
        <v>166.93502543441772</v>
      </c>
      <c r="S88" s="1079">
        <f>C88*D88*H88*$C$71*Fuel_Specs!$C$13/1000000</f>
        <v>23.433225983999996</v>
      </c>
      <c r="T88" s="1080">
        <f>S88*Upstream!$C$95/1000000</f>
        <v>0.4901676605813966</v>
      </c>
      <c r="U88" s="1080">
        <f>S88*Upstream!$D$95/1000000</f>
        <v>4.9475574912526501E-4</v>
      </c>
      <c r="V88" s="1081">
        <f>S88*Upstream!$E$95/1000000</f>
        <v>3.3752498069821626E-6</v>
      </c>
      <c r="W88" s="1078">
        <f t="shared" si="45"/>
        <v>0.50354237875200891</v>
      </c>
      <c r="X88" s="1082">
        <f t="shared" si="46"/>
        <v>167.43856781316973</v>
      </c>
    </row>
    <row r="89" spans="2:25" ht="15" customHeight="1">
      <c r="B89" s="609" t="s">
        <v>770</v>
      </c>
      <c r="C89" s="1071">
        <v>1</v>
      </c>
      <c r="D89" s="1071">
        <v>6</v>
      </c>
      <c r="E89" s="1071">
        <v>200</v>
      </c>
      <c r="F89" s="1072">
        <v>0.85</v>
      </c>
      <c r="G89" s="1072">
        <v>0.59</v>
      </c>
      <c r="H89" s="1088">
        <v>0.112</v>
      </c>
      <c r="I89" s="1073">
        <v>0.51900000000000002</v>
      </c>
      <c r="J89" s="1073">
        <v>0.15</v>
      </c>
      <c r="K89" s="1075">
        <v>536</v>
      </c>
      <c r="L89" s="1076">
        <f t="shared" si="44"/>
        <v>537.28248017667522</v>
      </c>
      <c r="M89" s="1073">
        <v>0.74</v>
      </c>
      <c r="N89" s="1073">
        <v>0.45</v>
      </c>
      <c r="O89" s="618">
        <f t="shared" si="40"/>
        <v>66.426270399407173</v>
      </c>
      <c r="P89" s="1078">
        <f t="shared" si="41"/>
        <v>8.683702271999999E-5</v>
      </c>
      <c r="Q89" s="1078">
        <f t="shared" si="42"/>
        <v>5.2806297599999998E-5</v>
      </c>
      <c r="R89" s="656">
        <f t="shared" si="43"/>
        <v>66.444177601659973</v>
      </c>
      <c r="S89" s="1079">
        <f>C89*D89*H89*$C$71*Fuel_Specs!$C$13/1000000</f>
        <v>17.733252096000001</v>
      </c>
      <c r="T89" s="1080">
        <f>S89*Upstream!$C$95/1000000</f>
        <v>0.37093768908862451</v>
      </c>
      <c r="U89" s="1080">
        <f>S89*Upstream!$D$95/1000000</f>
        <v>3.7440975609479525E-4</v>
      </c>
      <c r="V89" s="1081">
        <f>S89*Upstream!$E$95/1000000</f>
        <v>2.5542430971756911E-6</v>
      </c>
      <c r="W89" s="1078">
        <f t="shared" si="45"/>
        <v>0.38105909743395278</v>
      </c>
      <c r="X89" s="1082">
        <f t="shared" si="46"/>
        <v>66.825236699093921</v>
      </c>
    </row>
    <row r="90" spans="2:25" ht="15" customHeight="1">
      <c r="B90" s="609" t="s">
        <v>769</v>
      </c>
      <c r="C90" s="1071">
        <v>1</v>
      </c>
      <c r="D90" s="1071">
        <v>6</v>
      </c>
      <c r="E90" s="1071">
        <v>85</v>
      </c>
      <c r="F90" s="1072">
        <v>0.5</v>
      </c>
      <c r="G90" s="1072">
        <v>0.59</v>
      </c>
      <c r="H90" s="1088">
        <v>0.65300000000000002</v>
      </c>
      <c r="I90" s="1073">
        <v>2.5350000000000001</v>
      </c>
      <c r="J90" s="1073">
        <v>0.28399999999999997</v>
      </c>
      <c r="K90" s="1075">
        <v>595</v>
      </c>
      <c r="L90" s="1076">
        <f t="shared" si="44"/>
        <v>599.86710385739082</v>
      </c>
      <c r="M90" s="1073">
        <v>0.74</v>
      </c>
      <c r="N90" s="1073">
        <v>0.45</v>
      </c>
      <c r="O90" s="618">
        <f t="shared" si="40"/>
        <v>18.540961186486765</v>
      </c>
      <c r="P90" s="1078">
        <f t="shared" si="41"/>
        <v>2.978181504E-4</v>
      </c>
      <c r="Q90" s="1078">
        <f t="shared" si="42"/>
        <v>1.8110563199999998E-4</v>
      </c>
      <c r="R90" s="656">
        <f t="shared" si="43"/>
        <v>18.602376118582765</v>
      </c>
      <c r="S90" s="1079">
        <f>C90*D90*H90*$C$71*Fuel_Specs!$C$13/1000000</f>
        <v>103.391193024</v>
      </c>
      <c r="T90" s="1080">
        <f>S90*Upstream!$C$95/1000000</f>
        <v>2.162699205132784</v>
      </c>
      <c r="U90" s="1080">
        <f>S90*Upstream!$D$95/1000000</f>
        <v>2.18294259580269E-3</v>
      </c>
      <c r="V90" s="1081">
        <f>S90*Upstream!$E$95/1000000</f>
        <v>1.489214948621184E-5</v>
      </c>
      <c r="W90" s="1078">
        <f t="shared" si="45"/>
        <v>2.2217106305747425</v>
      </c>
      <c r="X90" s="1082">
        <f t="shared" si="46"/>
        <v>20.824086749157509</v>
      </c>
    </row>
    <row r="91" spans="2:25" ht="15" customHeight="1">
      <c r="B91" s="609" t="s">
        <v>768</v>
      </c>
      <c r="C91" s="1071">
        <v>2</v>
      </c>
      <c r="D91" s="1071">
        <v>6</v>
      </c>
      <c r="E91" s="1071">
        <v>200</v>
      </c>
      <c r="F91" s="1072">
        <v>0.85</v>
      </c>
      <c r="G91" s="1072">
        <v>0.59</v>
      </c>
      <c r="H91" s="1088">
        <v>0.112</v>
      </c>
      <c r="I91" s="1073">
        <v>0.51900000000000002</v>
      </c>
      <c r="J91" s="1073">
        <v>0.15</v>
      </c>
      <c r="K91" s="1075">
        <v>536</v>
      </c>
      <c r="L91" s="1076">
        <f t="shared" si="44"/>
        <v>537.28248017667522</v>
      </c>
      <c r="M91" s="1073">
        <v>0.74</v>
      </c>
      <c r="N91" s="1073">
        <v>0.45</v>
      </c>
      <c r="O91" s="618">
        <f t="shared" si="40"/>
        <v>132.85254079881435</v>
      </c>
      <c r="P91" s="1078">
        <f t="shared" si="41"/>
        <v>1.7367404543999998E-4</v>
      </c>
      <c r="Q91" s="1078">
        <f t="shared" si="42"/>
        <v>1.056125952E-4</v>
      </c>
      <c r="R91" s="656">
        <f>O91+P91*CH4_GWP+Q91*N2O_GWP</f>
        <v>132.88835520331995</v>
      </c>
      <c r="S91" s="1079">
        <f>C91*D91*H91*$C$71*Fuel_Specs!$C$13/1000000</f>
        <v>35.466504192000002</v>
      </c>
      <c r="T91" s="1080">
        <f>S91*Upstream!$C$95/1000000</f>
        <v>0.74187537817724902</v>
      </c>
      <c r="U91" s="1080">
        <f>S91*Upstream!$D$95/1000000</f>
        <v>7.4881951218959051E-4</v>
      </c>
      <c r="V91" s="1081">
        <f>S91*Upstream!$E$95/1000000</f>
        <v>5.1084861943513823E-6</v>
      </c>
      <c r="W91" s="1078">
        <f t="shared" si="45"/>
        <v>0.76211819486790555</v>
      </c>
      <c r="X91" s="1082">
        <f>R91+W91</f>
        <v>133.65047339818784</v>
      </c>
    </row>
    <row r="92" spans="2:25" ht="15" customHeight="1">
      <c r="B92" s="609" t="s">
        <v>767</v>
      </c>
      <c r="C92" s="1071">
        <v>2</v>
      </c>
      <c r="D92" s="1071">
        <v>6</v>
      </c>
      <c r="E92" s="1071">
        <v>100</v>
      </c>
      <c r="F92" s="1072">
        <v>0.85</v>
      </c>
      <c r="G92" s="1072">
        <v>0.21</v>
      </c>
      <c r="H92" s="1088">
        <v>0.64600000000000002</v>
      </c>
      <c r="I92" s="1073">
        <v>5.7</v>
      </c>
      <c r="J92" s="1073">
        <v>0.92400000000000004</v>
      </c>
      <c r="K92" s="1075">
        <v>693</v>
      </c>
      <c r="L92" s="1076">
        <f t="shared" si="44"/>
        <v>704.83252444736092</v>
      </c>
      <c r="M92" s="1073">
        <v>0.74</v>
      </c>
      <c r="N92" s="1073">
        <v>0.45</v>
      </c>
      <c r="O92" s="618">
        <f t="shared" si="40"/>
        <v>31.016330036772182</v>
      </c>
      <c r="P92" s="1078">
        <f t="shared" si="41"/>
        <v>1.0017270835199997E-3</v>
      </c>
      <c r="Q92" s="1078">
        <f t="shared" si="42"/>
        <v>6.0915836159999999E-4</v>
      </c>
      <c r="R92" s="656">
        <f t="shared" si="43"/>
        <v>31.222902405616981</v>
      </c>
      <c r="S92" s="1079">
        <f>C92*D92*H92*$C$71*Fuel_Specs!$C$13/1000000</f>
        <v>204.56572953600002</v>
      </c>
      <c r="T92" s="1080">
        <f>S92*Upstream!$C$95/1000000</f>
        <v>4.2790311991294905</v>
      </c>
      <c r="U92" s="1080">
        <f>S92*Upstream!$D$95/1000000</f>
        <v>4.3190839720935311E-3</v>
      </c>
      <c r="V92" s="1081">
        <f>S92*Upstream!$E$95/1000000</f>
        <v>2.9465018585276723E-5</v>
      </c>
      <c r="W92" s="1078">
        <f t="shared" si="45"/>
        <v>4.3957888739702407</v>
      </c>
      <c r="X92" s="1082">
        <f t="shared" si="46"/>
        <v>35.618691279587225</v>
      </c>
    </row>
    <row r="93" spans="2:25" ht="15" customHeight="1">
      <c r="B93" s="609" t="s">
        <v>766</v>
      </c>
      <c r="C93" s="1071">
        <v>1</v>
      </c>
      <c r="D93" s="1071">
        <v>6</v>
      </c>
      <c r="E93" s="1071">
        <v>50</v>
      </c>
      <c r="F93" s="1072">
        <v>0.85</v>
      </c>
      <c r="G93" s="1072">
        <v>0.21</v>
      </c>
      <c r="H93" s="1088">
        <v>3.661</v>
      </c>
      <c r="I93" s="1073">
        <v>6.3159999999999998</v>
      </c>
      <c r="J93" s="1073">
        <v>1.643</v>
      </c>
      <c r="K93" s="1075">
        <v>691</v>
      </c>
      <c r="L93" s="1076">
        <f t="shared" si="44"/>
        <v>706.03915423721435</v>
      </c>
      <c r="M93" s="1073">
        <v>0.74</v>
      </c>
      <c r="N93" s="1073">
        <v>0.45</v>
      </c>
      <c r="O93" s="618">
        <f t="shared" si="40"/>
        <v>7.7673570199797171</v>
      </c>
      <c r="P93" s="1078">
        <f t="shared" si="41"/>
        <v>2.8384851801600002E-3</v>
      </c>
      <c r="Q93" s="1078">
        <f t="shared" si="42"/>
        <v>1.7261058528000002E-3</v>
      </c>
      <c r="R93" s="656">
        <f t="shared" si="43"/>
        <v>8.3526986936181178</v>
      </c>
      <c r="S93" s="1079">
        <f>C93*D93*H93*$C$71*Fuel_Specs!$C$13/1000000</f>
        <v>579.65567788800001</v>
      </c>
      <c r="T93" s="1080">
        <f>S93*Upstream!$C$95/1000000</f>
        <v>12.125025712084412</v>
      </c>
      <c r="U93" s="1080">
        <f>S93*Upstream!$D$95/1000000</f>
        <v>1.2238518902348618E-2</v>
      </c>
      <c r="V93" s="1081">
        <f>S93*Upstream!$E$95/1000000</f>
        <v>8.3491821238930393E-5</v>
      </c>
      <c r="W93" s="1078">
        <f t="shared" si="45"/>
        <v>12.455869247372329</v>
      </c>
      <c r="X93" s="1082">
        <f t="shared" si="46"/>
        <v>20.808567940990446</v>
      </c>
    </row>
    <row r="94" spans="2:25">
      <c r="B94" s="609" t="s">
        <v>799</v>
      </c>
      <c r="C94" s="613"/>
      <c r="D94" s="613"/>
      <c r="E94" s="613"/>
      <c r="F94" s="613"/>
      <c r="G94" s="613"/>
      <c r="H94" s="1088"/>
      <c r="I94" s="1073"/>
      <c r="J94" s="1073"/>
      <c r="K94" s="1075"/>
      <c r="L94" s="1076"/>
      <c r="M94" s="1073"/>
      <c r="N94" s="1073"/>
      <c r="O94" s="1133"/>
      <c r="P94" s="1133"/>
      <c r="Q94" s="1087"/>
      <c r="R94" s="1087"/>
      <c r="S94" s="1087"/>
      <c r="T94" s="1087"/>
      <c r="U94" s="1087"/>
      <c r="V94" s="1087"/>
      <c r="W94" s="1087"/>
      <c r="X94" s="1087"/>
      <c r="Y94" s="608"/>
    </row>
    <row r="95" spans="2:25">
      <c r="B95" s="609" t="s">
        <v>769</v>
      </c>
      <c r="C95" s="1071">
        <v>2</v>
      </c>
      <c r="D95" s="1071">
        <v>6</v>
      </c>
      <c r="E95" s="1071">
        <v>65</v>
      </c>
      <c r="F95" s="1072">
        <v>0.75</v>
      </c>
      <c r="G95" s="1072">
        <v>0.59</v>
      </c>
      <c r="H95" s="1088">
        <v>0.65300000000000002</v>
      </c>
      <c r="I95" s="1073">
        <v>2.5350000000000001</v>
      </c>
      <c r="J95" s="1073">
        <v>0.29399999999999998</v>
      </c>
      <c r="K95" s="1075">
        <v>595</v>
      </c>
      <c r="L95" s="1076">
        <f t="shared" ref="L95:L102" si="47">K95+J95*VOC_C_Ratio/CO2_C_Ratio+I95*CO_C_Ratio/CO2_C_Ratio</f>
        <v>599.89824183852431</v>
      </c>
      <c r="M95" s="1073">
        <v>0.74</v>
      </c>
      <c r="N95" s="1073">
        <v>0.45</v>
      </c>
      <c r="O95" s="618">
        <f t="shared" ref="O95:O104" si="48">E95*$C$71*L95*C95*D95/1000000*F95*G95</f>
        <v>42.537354171361208</v>
      </c>
      <c r="P95" s="1078">
        <f t="shared" ref="P95:P104" si="49">$C95*$H95*$C$71*$D95*M95/1000000*$F95</f>
        <v>8.9345445120000001E-4</v>
      </c>
      <c r="Q95" s="1078">
        <f t="shared" ref="Q95:Q104" si="50">$C95*$H95*$C$71*$D95*N95/1000000*$F95</f>
        <v>5.4331689599999996E-4</v>
      </c>
      <c r="R95" s="656">
        <f t="shared" ref="R95:R105" si="51">O95+P95*CH4_GWP+Q95*N2O_GWP</f>
        <v>42.721598967649207</v>
      </c>
      <c r="S95" s="1079">
        <f>C95*D95*H95*$C$71*Fuel_Specs!$C$13/1000000</f>
        <v>206.78238604800001</v>
      </c>
      <c r="T95" s="1080">
        <f>S95*Upstream!$C$95/1000000</f>
        <v>4.325398410265568</v>
      </c>
      <c r="U95" s="1080">
        <f>S95*Upstream!$D$95/1000000</f>
        <v>4.3658851916053799E-3</v>
      </c>
      <c r="V95" s="1081">
        <f>S95*Upstream!$E$95/1000000</f>
        <v>2.978429897242368E-5</v>
      </c>
      <c r="W95" s="1078">
        <f t="shared" ref="W95:W103" si="52">T95+U95*CH4_GWP+V95*N2O_GWP</f>
        <v>4.443421261149485</v>
      </c>
      <c r="X95" s="1082">
        <f t="shared" si="46"/>
        <v>47.165020228798696</v>
      </c>
    </row>
    <row r="96" spans="2:25">
      <c r="B96" s="609" t="s">
        <v>776</v>
      </c>
      <c r="C96" s="1071">
        <v>4</v>
      </c>
      <c r="D96" s="1071">
        <v>6</v>
      </c>
      <c r="E96" s="1071">
        <v>55</v>
      </c>
      <c r="F96" s="1072">
        <v>1</v>
      </c>
      <c r="G96" s="1072">
        <v>0.43</v>
      </c>
      <c r="H96" s="1088">
        <v>1.02</v>
      </c>
      <c r="I96" s="1073">
        <v>1.0900000000000001</v>
      </c>
      <c r="J96" s="1073">
        <v>0.18099999999999999</v>
      </c>
      <c r="K96" s="1075">
        <v>590</v>
      </c>
      <c r="L96" s="1076">
        <f t="shared" si="47"/>
        <v>592.27611653567101</v>
      </c>
      <c r="M96" s="1073">
        <v>0.74</v>
      </c>
      <c r="N96" s="1073">
        <v>0.45</v>
      </c>
      <c r="O96" s="618">
        <f t="shared" si="48"/>
        <v>69.063981774305702</v>
      </c>
      <c r="P96" s="1078">
        <f t="shared" si="49"/>
        <v>3.7215866879999997E-3</v>
      </c>
      <c r="Q96" s="1078">
        <f t="shared" si="50"/>
        <v>2.26312704E-3</v>
      </c>
      <c r="R96" s="656">
        <f t="shared" si="51"/>
        <v>69.831433299425711</v>
      </c>
      <c r="S96" s="1079">
        <f>C96*D96*H96*$C$71*Fuel_Specs!$C$13/1000000</f>
        <v>645.99704064000002</v>
      </c>
      <c r="T96" s="1080">
        <f>S96*Upstream!$C$95/1000000</f>
        <v>13.51273010251418</v>
      </c>
      <c r="U96" s="1080">
        <f>S96*Upstream!$D$95/1000000</f>
        <v>1.3639212543453254E-2</v>
      </c>
      <c r="V96" s="1081">
        <f>S96*Upstream!$E$95/1000000</f>
        <v>9.3047427111400167E-5</v>
      </c>
      <c r="W96" s="1078">
        <f t="shared" si="52"/>
        <v>13.881438549379709</v>
      </c>
      <c r="X96" s="1082">
        <f t="shared" si="46"/>
        <v>83.71287184880542</v>
      </c>
    </row>
    <row r="97" spans="2:24">
      <c r="B97" s="609" t="s">
        <v>772</v>
      </c>
      <c r="C97" s="1071">
        <v>3</v>
      </c>
      <c r="D97" s="1071">
        <v>6</v>
      </c>
      <c r="E97" s="1071">
        <v>290</v>
      </c>
      <c r="F97" s="1072">
        <v>0.85</v>
      </c>
      <c r="G97" s="1072">
        <v>0.43</v>
      </c>
      <c r="H97" s="1088">
        <v>0.17399999999999999</v>
      </c>
      <c r="I97" s="1073">
        <v>0.49099999999999999</v>
      </c>
      <c r="J97" s="1073">
        <v>9.8000000000000004E-2</v>
      </c>
      <c r="K97" s="1075">
        <v>530</v>
      </c>
      <c r="L97" s="1076">
        <f t="shared" si="47"/>
        <v>531.07657135903764</v>
      </c>
      <c r="M97" s="1073">
        <v>0.74</v>
      </c>
      <c r="N97" s="1073">
        <v>0.45</v>
      </c>
      <c r="O97" s="618">
        <f t="shared" si="48"/>
        <v>208.16132013118752</v>
      </c>
      <c r="P97" s="1078">
        <f t="shared" si="49"/>
        <v>4.0472255232E-4</v>
      </c>
      <c r="Q97" s="1078">
        <f t="shared" si="50"/>
        <v>2.4611506560000003E-4</v>
      </c>
      <c r="R97" s="656">
        <f t="shared" si="51"/>
        <v>208.24478048454432</v>
      </c>
      <c r="S97" s="1079">
        <f>C97*D97*H97*$C$71*Fuel_Specs!$C$13/1000000</f>
        <v>82.649621375999985</v>
      </c>
      <c r="T97" s="1080">
        <f>S97*Upstream!$C$95/1000000</f>
        <v>1.728834586645196</v>
      </c>
      <c r="U97" s="1080">
        <f>S97*Upstream!$D$95/1000000</f>
        <v>1.745016898941813E-3</v>
      </c>
      <c r="V97" s="1081">
        <f>S97*Upstream!$E$95/1000000</f>
        <v>1.1904597292193844E-5</v>
      </c>
      <c r="W97" s="1078">
        <f t="shared" si="52"/>
        <v>1.7760075791118151</v>
      </c>
      <c r="X97" s="1082">
        <f t="shared" si="46"/>
        <v>210.02078806365614</v>
      </c>
    </row>
    <row r="98" spans="2:24">
      <c r="B98" s="609" t="s">
        <v>771</v>
      </c>
      <c r="C98" s="1071">
        <v>3</v>
      </c>
      <c r="D98" s="1071">
        <v>6</v>
      </c>
      <c r="E98" s="1071">
        <v>250</v>
      </c>
      <c r="F98" s="1072">
        <v>0.25</v>
      </c>
      <c r="G98" s="1072">
        <v>0.59</v>
      </c>
      <c r="H98" s="1088">
        <v>7.3999999999999996E-2</v>
      </c>
      <c r="I98" s="1073">
        <v>2.09</v>
      </c>
      <c r="J98" s="1073">
        <v>0.219</v>
      </c>
      <c r="K98" s="1075">
        <v>536</v>
      </c>
      <c r="L98" s="1076">
        <f t="shared" si="47"/>
        <v>539.96555928338648</v>
      </c>
      <c r="M98" s="1073">
        <v>0.74</v>
      </c>
      <c r="N98" s="1073">
        <v>0.45</v>
      </c>
      <c r="O98" s="618">
        <f t="shared" si="48"/>
        <v>73.63013563633001</v>
      </c>
      <c r="P98" s="1078">
        <f t="shared" si="49"/>
        <v>5.0624524799999995E-5</v>
      </c>
      <c r="Q98" s="1078">
        <f t="shared" si="50"/>
        <v>3.0785183999999994E-5</v>
      </c>
      <c r="R98" s="656">
        <f t="shared" si="51"/>
        <v>73.640575234282011</v>
      </c>
      <c r="S98" s="1079">
        <f>C98*D98*H98*$C$71*Fuel_Specs!$C$13/1000000</f>
        <v>35.149838975999998</v>
      </c>
      <c r="T98" s="1080">
        <f>S98*Upstream!$C$95/1000000</f>
        <v>0.73525149087209496</v>
      </c>
      <c r="U98" s="1080">
        <f>S98*Upstream!$D$95/1000000</f>
        <v>7.4213362368789762E-4</v>
      </c>
      <c r="V98" s="1081">
        <f>S98*Upstream!$E$95/1000000</f>
        <v>5.0628747104732435E-6</v>
      </c>
      <c r="W98" s="1078">
        <f t="shared" si="52"/>
        <v>0.75531356812801342</v>
      </c>
      <c r="X98" s="1082">
        <f t="shared" si="46"/>
        <v>74.395888802410028</v>
      </c>
    </row>
    <row r="99" spans="2:24">
      <c r="B99" s="609" t="s">
        <v>798</v>
      </c>
      <c r="C99" s="1071">
        <v>3</v>
      </c>
      <c r="D99" s="1071">
        <v>6</v>
      </c>
      <c r="E99" s="1071">
        <v>85</v>
      </c>
      <c r="F99" s="1072">
        <v>0.85</v>
      </c>
      <c r="G99" s="1072">
        <v>0.59</v>
      </c>
      <c r="H99" s="1088">
        <v>0.73199999999999998</v>
      </c>
      <c r="I99" s="1073">
        <v>2.6629999999999998</v>
      </c>
      <c r="J99" s="1073">
        <v>0.32700000000000001</v>
      </c>
      <c r="K99" s="1075">
        <v>595</v>
      </c>
      <c r="L99" s="1076">
        <f t="shared" si="47"/>
        <v>600.20210033394915</v>
      </c>
      <c r="M99" s="1073">
        <v>0.74</v>
      </c>
      <c r="N99" s="1073">
        <v>0.45</v>
      </c>
      <c r="O99" s="618">
        <f t="shared" si="48"/>
        <v>94.611708579079504</v>
      </c>
      <c r="P99" s="1078">
        <f t="shared" si="49"/>
        <v>1.7026259097599997E-3</v>
      </c>
      <c r="Q99" s="1078">
        <f t="shared" si="50"/>
        <v>1.0353806207999998E-3</v>
      </c>
      <c r="R99" s="656">
        <f t="shared" si="51"/>
        <v>94.962817651821908</v>
      </c>
      <c r="S99" s="1079">
        <f>C99*D99*H99*$C$71*Fuel_Specs!$C$13/1000000</f>
        <v>347.69840716800002</v>
      </c>
      <c r="T99" s="1080">
        <f>S99*Upstream!$C$95/1000000</f>
        <v>7.2730282610591015</v>
      </c>
      <c r="U99" s="1080">
        <f>S99*Upstream!$D$95/1000000</f>
        <v>7.341105574858663E-3</v>
      </c>
      <c r="V99" s="1081">
        <f>S99*Upstream!$E$95/1000000</f>
        <v>5.0081409298194801E-5</v>
      </c>
      <c r="W99" s="1078">
        <f t="shared" si="52"/>
        <v>7.4714801604014305</v>
      </c>
      <c r="X99" s="1082">
        <f t="shared" si="46"/>
        <v>102.43429781222333</v>
      </c>
    </row>
    <row r="100" spans="2:24">
      <c r="B100" s="609" t="s">
        <v>770</v>
      </c>
      <c r="C100" s="1071">
        <v>3</v>
      </c>
      <c r="D100" s="1071">
        <v>6</v>
      </c>
      <c r="E100" s="1071">
        <v>200</v>
      </c>
      <c r="F100" s="1072">
        <v>0.85</v>
      </c>
      <c r="G100" s="1072">
        <v>0.59</v>
      </c>
      <c r="H100" s="1088">
        <v>0.112</v>
      </c>
      <c r="I100" s="1073">
        <v>0.51900000000000002</v>
      </c>
      <c r="J100" s="1073">
        <v>0.121</v>
      </c>
      <c r="K100" s="1075">
        <v>536</v>
      </c>
      <c r="L100" s="1076">
        <f t="shared" si="47"/>
        <v>537.19218003138815</v>
      </c>
      <c r="M100" s="1073">
        <v>0.74</v>
      </c>
      <c r="N100" s="1073">
        <v>0.45</v>
      </c>
      <c r="O100" s="618">
        <f t="shared" si="48"/>
        <v>199.24531875008157</v>
      </c>
      <c r="P100" s="1078">
        <f t="shared" si="49"/>
        <v>2.6051106815999994E-4</v>
      </c>
      <c r="Q100" s="1078">
        <f t="shared" si="50"/>
        <v>1.5841889279999999E-4</v>
      </c>
      <c r="R100" s="656">
        <f t="shared" si="51"/>
        <v>199.29904035683995</v>
      </c>
      <c r="S100" s="1079">
        <f>C100*D100*H100*$C$71*Fuel_Specs!$C$13/1000000</f>
        <v>53.199756287999996</v>
      </c>
      <c r="T100" s="1080">
        <f>S100*Upstream!$C$95/1000000</f>
        <v>1.1128130672658734</v>
      </c>
      <c r="U100" s="1080">
        <f>S100*Upstream!$D$95/1000000</f>
        <v>1.1232292682843855E-3</v>
      </c>
      <c r="V100" s="1081">
        <f>S100*Upstream!$E$95/1000000</f>
        <v>7.662729291527073E-6</v>
      </c>
      <c r="W100" s="1078">
        <f t="shared" si="52"/>
        <v>1.1431772923018582</v>
      </c>
      <c r="X100" s="1082">
        <f t="shared" si="46"/>
        <v>200.44221764914181</v>
      </c>
    </row>
    <row r="101" spans="2:24">
      <c r="B101" s="609" t="s">
        <v>768</v>
      </c>
      <c r="C101" s="1071">
        <v>2</v>
      </c>
      <c r="D101" s="1071">
        <v>6</v>
      </c>
      <c r="E101" s="1071">
        <v>200</v>
      </c>
      <c r="F101" s="1072">
        <v>0.25</v>
      </c>
      <c r="G101" s="1072">
        <v>0.59</v>
      </c>
      <c r="H101" s="1088">
        <v>0.112</v>
      </c>
      <c r="I101" s="1073">
        <v>0.51900000000000002</v>
      </c>
      <c r="J101" s="1073">
        <v>0.121</v>
      </c>
      <c r="K101" s="1075">
        <v>536</v>
      </c>
      <c r="L101" s="1076">
        <f t="shared" si="47"/>
        <v>537.19218003138815</v>
      </c>
      <c r="M101" s="1073">
        <v>0.74</v>
      </c>
      <c r="N101" s="1073">
        <v>0.45</v>
      </c>
      <c r="O101" s="618">
        <f t="shared" si="48"/>
        <v>39.067709558839525</v>
      </c>
      <c r="P101" s="1078">
        <f t="shared" si="49"/>
        <v>5.1080601599999992E-5</v>
      </c>
      <c r="Q101" s="1078">
        <f t="shared" si="50"/>
        <v>3.1062527999999999E-5</v>
      </c>
      <c r="R101" s="656">
        <f t="shared" si="51"/>
        <v>39.07824320722353</v>
      </c>
      <c r="S101" s="1079">
        <f>C101*D101*H101*$C$71*Fuel_Specs!$C$13/1000000</f>
        <v>35.466504192000002</v>
      </c>
      <c r="T101" s="1080">
        <f>S101*Upstream!$C$95/1000000</f>
        <v>0.74187537817724902</v>
      </c>
      <c r="U101" s="1080">
        <f>S101*Upstream!$D$95/1000000</f>
        <v>7.4881951218959051E-4</v>
      </c>
      <c r="V101" s="1081">
        <f>S101*Upstream!$E$95/1000000</f>
        <v>5.1084861943513823E-6</v>
      </c>
      <c r="W101" s="1078">
        <f t="shared" si="52"/>
        <v>0.76211819486790555</v>
      </c>
      <c r="X101" s="1082">
        <f t="shared" si="46"/>
        <v>39.840361402091432</v>
      </c>
    </row>
    <row r="102" spans="2:24">
      <c r="B102" s="609" t="s">
        <v>767</v>
      </c>
      <c r="C102" s="1071">
        <v>2</v>
      </c>
      <c r="D102" s="1071">
        <v>6</v>
      </c>
      <c r="E102" s="1071">
        <v>100</v>
      </c>
      <c r="F102" s="1072">
        <v>0.75</v>
      </c>
      <c r="G102" s="1072">
        <v>0.21</v>
      </c>
      <c r="H102" s="1088">
        <v>0.64600000000000002</v>
      </c>
      <c r="I102" s="1073">
        <v>5.7</v>
      </c>
      <c r="J102" s="1073">
        <v>0.83199999999999996</v>
      </c>
      <c r="K102" s="1075">
        <v>693</v>
      </c>
      <c r="L102" s="1076">
        <f t="shared" si="47"/>
        <v>704.54605502093284</v>
      </c>
      <c r="M102" s="1073">
        <v>0.74</v>
      </c>
      <c r="N102" s="1073">
        <v>0.45</v>
      </c>
      <c r="O102" s="618">
        <f t="shared" si="48"/>
        <v>27.356226951721585</v>
      </c>
      <c r="P102" s="1078">
        <f t="shared" si="49"/>
        <v>8.8387683839999984E-4</v>
      </c>
      <c r="Q102" s="1078">
        <f t="shared" si="50"/>
        <v>5.3749267200000001E-4</v>
      </c>
      <c r="R102" s="656">
        <f t="shared" si="51"/>
        <v>27.538496688937585</v>
      </c>
      <c r="S102" s="1079">
        <f>C102*D102*H102*$C$71*Fuel_Specs!$C$13/1000000</f>
        <v>204.56572953600002</v>
      </c>
      <c r="T102" s="1080">
        <f>S102*Upstream!$C$95/1000000</f>
        <v>4.2790311991294905</v>
      </c>
      <c r="U102" s="1080">
        <f>S102*Upstream!$D$95/1000000</f>
        <v>4.3190839720935311E-3</v>
      </c>
      <c r="V102" s="1081">
        <f>S102*Upstream!$E$95/1000000</f>
        <v>2.9465018585276723E-5</v>
      </c>
      <c r="W102" s="1078">
        <f t="shared" si="52"/>
        <v>4.3957888739702407</v>
      </c>
      <c r="X102" s="1082">
        <f t="shared" si="46"/>
        <v>31.934285562907824</v>
      </c>
    </row>
    <row r="103" spans="2:24">
      <c r="B103" s="609" t="s">
        <v>797</v>
      </c>
      <c r="C103" s="1071">
        <v>1</v>
      </c>
      <c r="D103" s="1134">
        <f>(1230-C71)/C71</f>
        <v>4.9871495327102799</v>
      </c>
      <c r="E103" s="1071">
        <v>30</v>
      </c>
      <c r="F103" s="1072">
        <v>0.75</v>
      </c>
      <c r="G103" s="1072">
        <v>0.45</v>
      </c>
      <c r="H103" s="1088">
        <v>3.9</v>
      </c>
      <c r="I103" s="1083">
        <f>5/kwperhp</f>
        <v>3.7284993600939971</v>
      </c>
      <c r="J103" s="1083">
        <f>0.4/kwperhp</f>
        <v>0.29827994880751979</v>
      </c>
      <c r="K103" s="1084">
        <f>690/kwperhp</f>
        <v>514.53291169297154</v>
      </c>
      <c r="L103" s="1076">
        <f>K103+J103*VOC_C_Ratio/CO2_C_Ratio+I103*CO_C_Ratio/CO2_C_Ratio</f>
        <v>521.31960925621343</v>
      </c>
      <c r="M103" s="1073">
        <v>0.02</v>
      </c>
      <c r="N103" s="1073">
        <v>0.09</v>
      </c>
      <c r="O103" s="618">
        <f t="shared" si="48"/>
        <v>5.4079975909529034</v>
      </c>
      <c r="P103" s="1078">
        <f t="shared" si="49"/>
        <v>5.9936759999999989E-5</v>
      </c>
      <c r="Q103" s="1078">
        <f t="shared" si="50"/>
        <v>2.6971541999999996E-4</v>
      </c>
      <c r="R103" s="656">
        <f t="shared" si="51"/>
        <v>5.4898712051129035</v>
      </c>
      <c r="S103" s="1079">
        <f>C103*D103*H103*$C$71*Fuel_Specs!$C$13/1000000</f>
        <v>513.25845479999987</v>
      </c>
      <c r="T103" s="1080">
        <f>S103*Upstream!$C$95/1000000</f>
        <v>10.73615285555292</v>
      </c>
      <c r="U103" s="1080">
        <f>S103*Upstream!$D$95/1000000</f>
        <v>1.0836645858015291E-2</v>
      </c>
      <c r="V103" s="1081">
        <f>S103*Upstream!$E$95/1000000</f>
        <v>7.3928169415449389E-5</v>
      </c>
      <c r="W103" s="1078">
        <f t="shared" si="52"/>
        <v>11.029099596489106</v>
      </c>
      <c r="X103" s="1082">
        <f t="shared" si="46"/>
        <v>16.518970801602009</v>
      </c>
    </row>
    <row r="104" spans="2:24">
      <c r="B104" s="1097" t="s">
        <v>796</v>
      </c>
      <c r="C104" s="1135">
        <v>1</v>
      </c>
      <c r="D104" s="1136">
        <f>(420-C71)/C71</f>
        <v>1.044392523364486</v>
      </c>
      <c r="E104" s="1135">
        <v>500</v>
      </c>
      <c r="F104" s="1137">
        <v>0.85</v>
      </c>
      <c r="G104" s="1137">
        <v>0.45</v>
      </c>
      <c r="H104" s="1138">
        <v>31.8</v>
      </c>
      <c r="I104" s="1139">
        <f>5/kwperhp</f>
        <v>3.7284993600939971</v>
      </c>
      <c r="J104" s="1139">
        <f>0.3/kwperhp</f>
        <v>0.2237099616056398</v>
      </c>
      <c r="K104" s="1140">
        <f>690/kwperhp</f>
        <v>514.53291169297154</v>
      </c>
      <c r="L104" s="1141">
        <f>K104+J104*VOC_C_Ratio/CO2_C_Ratio+I104*CO_C_Ratio/CO2_C_Ratio</f>
        <v>521.08741337075173</v>
      </c>
      <c r="M104" s="1142">
        <v>0.02</v>
      </c>
      <c r="N104" s="1142">
        <v>0.09</v>
      </c>
      <c r="O104" s="1098">
        <f t="shared" si="48"/>
        <v>21.382613572703448</v>
      </c>
      <c r="P104" s="1099">
        <f t="shared" si="49"/>
        <v>1.1599113599999999E-4</v>
      </c>
      <c r="Q104" s="1099">
        <f t="shared" si="50"/>
        <v>5.219601119999999E-4</v>
      </c>
      <c r="R104" s="1143">
        <f>O104+P104*CH4_GWP+Q104*N2O_GWP</f>
        <v>21.541057464479447</v>
      </c>
      <c r="S104" s="1144">
        <f>C104*D104*H104*$C$71*Fuel_Specs!$C$13/1000000</f>
        <v>876.41537760000006</v>
      </c>
      <c r="T104" s="1145">
        <f>S104*Upstream!$C$95/1000000</f>
        <v>18.332536699346218</v>
      </c>
      <c r="U104" s="1145">
        <f>S104*Upstream!$D$95/1000000</f>
        <v>1.8504133702523771E-2</v>
      </c>
      <c r="V104" s="1146">
        <f>S104*Upstream!$E$95/1000000</f>
        <v>1.2623617576599903E-4</v>
      </c>
      <c r="W104" s="1099">
        <f>T104+U104*CH4_GWP+V104*N2O_GWP</f>
        <v>18.832758422287583</v>
      </c>
      <c r="X104" s="1147">
        <f>R104+W104</f>
        <v>40.373815886767034</v>
      </c>
    </row>
    <row r="105" spans="2:24">
      <c r="B105" s="1102"/>
      <c r="C105" s="1100"/>
      <c r="D105" s="1100"/>
      <c r="E105" s="1100"/>
      <c r="F105" s="1100"/>
      <c r="G105" s="1100"/>
      <c r="H105" s="1148"/>
      <c r="I105" s="1149"/>
      <c r="J105" s="1150"/>
      <c r="K105" s="1104"/>
      <c r="L105" s="1151"/>
      <c r="M105" s="1152"/>
      <c r="N105" s="1103" t="s">
        <v>746</v>
      </c>
      <c r="O105" s="1104">
        <f>SUM(O79:O104)</f>
        <v>1703.273065798094</v>
      </c>
      <c r="P105" s="1105">
        <f>SUM(P79:P104)</f>
        <v>1.7791666257599998E-2</v>
      </c>
      <c r="Q105" s="1105">
        <f t="shared" ref="Q105" si="53">SUM(Q79:Q104)</f>
        <v>1.1503948859999997E-2</v>
      </c>
      <c r="R105" s="1153">
        <f t="shared" si="51"/>
        <v>1707.1460342148139</v>
      </c>
      <c r="S105" s="1154">
        <f>SUM(S79:S104)</f>
        <v>4969.2574340640003</v>
      </c>
      <c r="T105" s="1155">
        <f>SUM(T79:T104)</f>
        <v>103.94511165236005</v>
      </c>
      <c r="U105" s="1155">
        <f t="shared" ref="U105:W105" si="54">SUM(U79:U104)</f>
        <v>0.10491806318367415</v>
      </c>
      <c r="V105" s="1155">
        <f t="shared" si="54"/>
        <v>7.1575655893991281E-4</v>
      </c>
      <c r="W105" s="1155">
        <f t="shared" si="54"/>
        <v>106.78135868651601</v>
      </c>
      <c r="X105" s="1155">
        <f>SUM(X79:X104)</f>
        <v>1813.9273929013302</v>
      </c>
    </row>
    <row r="106" spans="2:24">
      <c r="L106" s="610"/>
      <c r="M106" s="611"/>
      <c r="N106" s="611"/>
      <c r="P106" s="612"/>
      <c r="Q106" s="612"/>
      <c r="R106" s="612"/>
    </row>
    <row r="107" spans="2:24">
      <c r="L107" s="610"/>
      <c r="M107" s="611"/>
      <c r="N107" s="611"/>
      <c r="P107" s="612"/>
      <c r="Q107" s="612"/>
      <c r="R107" s="612"/>
    </row>
    <row r="108" spans="2:24" ht="15.75">
      <c r="B108" s="604" t="s">
        <v>804</v>
      </c>
      <c r="C108" s="605"/>
      <c r="D108" s="605"/>
      <c r="E108" s="605"/>
      <c r="F108" s="605"/>
      <c r="G108" s="605"/>
      <c r="H108" s="1111"/>
      <c r="K108" s="605"/>
      <c r="L108" s="609"/>
      <c r="M108" s="613"/>
      <c r="N108" s="614"/>
      <c r="O108" s="605"/>
      <c r="P108" s="615"/>
      <c r="Q108" s="615"/>
    </row>
    <row r="109" spans="2:24" ht="62.25" thickBot="1">
      <c r="B109" s="1090" t="s">
        <v>790</v>
      </c>
      <c r="C109" s="1091" t="s">
        <v>789</v>
      </c>
      <c r="D109" s="1092" t="s">
        <v>803</v>
      </c>
      <c r="E109" s="1093" t="s">
        <v>787</v>
      </c>
      <c r="F109" s="1093" t="s">
        <v>786</v>
      </c>
      <c r="G109" s="1093" t="s">
        <v>785</v>
      </c>
      <c r="H109" s="1112" t="s">
        <v>784</v>
      </c>
      <c r="I109" s="1092" t="s">
        <v>840</v>
      </c>
      <c r="J109" s="1092" t="s">
        <v>841</v>
      </c>
      <c r="K109" s="1092" t="s">
        <v>802</v>
      </c>
      <c r="L109" s="1093" t="s">
        <v>1136</v>
      </c>
      <c r="M109" s="1093" t="s">
        <v>854</v>
      </c>
      <c r="N109" s="1093" t="s">
        <v>852</v>
      </c>
      <c r="O109" s="1094" t="s">
        <v>1137</v>
      </c>
      <c r="P109" s="1095" t="s">
        <v>783</v>
      </c>
      <c r="Q109" s="1095" t="s">
        <v>782</v>
      </c>
      <c r="R109" s="1096" t="s">
        <v>856</v>
      </c>
      <c r="S109" s="1096" t="s">
        <v>851</v>
      </c>
      <c r="T109" s="1094" t="s">
        <v>847</v>
      </c>
      <c r="U109" s="1092" t="s">
        <v>848</v>
      </c>
      <c r="V109" s="1092" t="s">
        <v>849</v>
      </c>
      <c r="W109" s="1094" t="s">
        <v>858</v>
      </c>
      <c r="X109" s="1096" t="s">
        <v>857</v>
      </c>
    </row>
    <row r="110" spans="2:24" ht="13.5" thickTop="1">
      <c r="B110" s="1069" t="s">
        <v>800</v>
      </c>
      <c r="C110" s="609"/>
      <c r="D110" s="609"/>
      <c r="E110" s="609"/>
      <c r="F110" s="609"/>
      <c r="G110" s="609"/>
      <c r="H110" s="1113"/>
      <c r="I110" s="609"/>
      <c r="J110" s="609"/>
      <c r="K110" s="609"/>
      <c r="L110" s="609"/>
      <c r="M110" s="613"/>
      <c r="N110" s="614"/>
      <c r="O110" s="609"/>
      <c r="P110" s="1070"/>
      <c r="Q110" s="1070"/>
      <c r="X110" s="616"/>
    </row>
    <row r="111" spans="2:24">
      <c r="B111" s="609" t="s">
        <v>794</v>
      </c>
      <c r="C111" s="1071">
        <v>1</v>
      </c>
      <c r="D111" s="1071">
        <v>6</v>
      </c>
      <c r="E111" s="1071">
        <v>165</v>
      </c>
      <c r="F111" s="1072">
        <v>0.75</v>
      </c>
      <c r="G111" s="1072">
        <v>0.21</v>
      </c>
      <c r="H111" s="1088">
        <v>0.52</v>
      </c>
      <c r="I111" s="1074">
        <v>2.33</v>
      </c>
      <c r="J111" s="1074">
        <v>0.60599999999999998</v>
      </c>
      <c r="K111" s="1075">
        <v>625</v>
      </c>
      <c r="L111" s="1076">
        <f t="shared" ref="L111:L125" si="55">K111+J111*VOC_C_Ratio/CO2_C_Ratio+I111*CO_C_Ratio/CO2_C_Ratio</f>
        <v>630.54766757391053</v>
      </c>
      <c r="M111" s="1073">
        <v>0.74</v>
      </c>
      <c r="N111" s="1073">
        <v>0.45</v>
      </c>
      <c r="O111" s="1077">
        <f t="shared" ref="O111:O125" si="56">E111*$C$71*L111*C111*D111/1000000*F111*G111</f>
        <v>20.19847972245395</v>
      </c>
      <c r="P111" s="1078">
        <f t="shared" ref="P111:P125" si="57">$C111*$H111*$C$71*$D111*M111/1000000*$F111</f>
        <v>3.5573990400000001E-4</v>
      </c>
      <c r="Q111" s="1078">
        <f t="shared" ref="Q111:Q125" si="58">$C111*$H111*$C$71*$D111*N111/1000000*$F111</f>
        <v>2.1632832E-4</v>
      </c>
      <c r="R111" s="656">
        <f t="shared" ref="R111:R125" si="59">O111+P111*CH4_GWP+Q111*N2O_GWP</f>
        <v>20.271839059413949</v>
      </c>
      <c r="S111" s="1079">
        <f>C111*D111*H111*$C$71*Fuel_Specs!$C$13/1000000</f>
        <v>82.332956159999995</v>
      </c>
      <c r="T111" s="1080">
        <f>S111*Upstream!$C$95/1000000</f>
        <v>1.7222106993400421</v>
      </c>
      <c r="U111" s="1080">
        <f>S111*Upstream!$D$95/1000000</f>
        <v>1.7383310104401204E-3</v>
      </c>
      <c r="V111" s="1081">
        <f>S111*Upstream!$E$95/1000000</f>
        <v>1.1858985808315707E-5</v>
      </c>
      <c r="W111" s="1078">
        <f t="shared" ref="W111:W125" si="60">T111+U111*CH4_GWP+V111*N2O_GWP</f>
        <v>1.7692029523719233</v>
      </c>
      <c r="X111" s="1082">
        <f>R111+W111</f>
        <v>22.041042011785873</v>
      </c>
    </row>
    <row r="112" spans="2:24">
      <c r="B112" s="609" t="s">
        <v>780</v>
      </c>
      <c r="C112" s="1071">
        <v>1</v>
      </c>
      <c r="D112" s="1071">
        <v>6</v>
      </c>
      <c r="E112" s="1071">
        <v>250</v>
      </c>
      <c r="F112" s="1072">
        <v>0.85</v>
      </c>
      <c r="G112" s="1072">
        <v>0.43</v>
      </c>
      <c r="H112" s="1088">
        <v>0.17</v>
      </c>
      <c r="I112" s="1074">
        <v>0.42899999999999999</v>
      </c>
      <c r="J112" s="1074">
        <v>0.17499999999999999</v>
      </c>
      <c r="K112" s="1075">
        <v>530</v>
      </c>
      <c r="L112" s="1076">
        <f t="shared" si="55"/>
        <v>531.21892447176219</v>
      </c>
      <c r="M112" s="1073">
        <v>0.74</v>
      </c>
      <c r="N112" s="1073">
        <v>0.45</v>
      </c>
      <c r="O112" s="1077">
        <f t="shared" si="56"/>
        <v>59.832504886187266</v>
      </c>
      <c r="P112" s="1078">
        <f t="shared" si="57"/>
        <v>1.3180619520000001E-4</v>
      </c>
      <c r="Q112" s="1078">
        <f t="shared" si="58"/>
        <v>8.0152416000000019E-5</v>
      </c>
      <c r="R112" s="656">
        <f t="shared" si="59"/>
        <v>59.859685461035269</v>
      </c>
      <c r="S112" s="1079">
        <f>C112*D112*H112*$C$71*Fuel_Specs!$C$13/1000000</f>
        <v>26.916543359999999</v>
      </c>
      <c r="T112" s="1080">
        <f>S112*Upstream!$C$95/1000000</f>
        <v>0.56303042093809075</v>
      </c>
      <c r="U112" s="1080">
        <f>S112*Upstream!$D$95/1000000</f>
        <v>5.6830052264388552E-4</v>
      </c>
      <c r="V112" s="1081">
        <f>S112*Upstream!$E$95/1000000</f>
        <v>3.8769761296416736E-6</v>
      </c>
      <c r="W112" s="1078">
        <f t="shared" si="60"/>
        <v>0.5783932728908211</v>
      </c>
      <c r="X112" s="1082">
        <f t="shared" ref="X112:X154" si="61">R112+W112</f>
        <v>60.438078733926091</v>
      </c>
    </row>
    <row r="113" spans="2:26">
      <c r="B113" s="609" t="s">
        <v>779</v>
      </c>
      <c r="C113" s="1071">
        <v>1</v>
      </c>
      <c r="D113" s="1071">
        <v>6</v>
      </c>
      <c r="E113" s="1071">
        <v>300</v>
      </c>
      <c r="F113" s="1072">
        <v>0.85</v>
      </c>
      <c r="G113" s="1072">
        <v>0.43</v>
      </c>
      <c r="H113" s="1088">
        <v>0.17</v>
      </c>
      <c r="I113" s="1074">
        <v>0.42899999999999999</v>
      </c>
      <c r="J113" s="1074">
        <v>0.17499999999999999</v>
      </c>
      <c r="K113" s="1075">
        <v>530</v>
      </c>
      <c r="L113" s="1076">
        <f t="shared" si="55"/>
        <v>531.21892447176219</v>
      </c>
      <c r="M113" s="1073">
        <v>0.74</v>
      </c>
      <c r="N113" s="1073">
        <v>0.45</v>
      </c>
      <c r="O113" s="1077">
        <f t="shared" si="56"/>
        <v>71.799005863424711</v>
      </c>
      <c r="P113" s="1078">
        <f t="shared" si="57"/>
        <v>1.3180619520000001E-4</v>
      </c>
      <c r="Q113" s="1078">
        <f t="shared" si="58"/>
        <v>8.0152416000000019E-5</v>
      </c>
      <c r="R113" s="656">
        <f t="shared" si="59"/>
        <v>71.826186438272714</v>
      </c>
      <c r="S113" s="1079">
        <f>C113*D113*H113*$C$71*Fuel_Specs!$C$13/1000000</f>
        <v>26.916543359999999</v>
      </c>
      <c r="T113" s="1080">
        <f>S113*Upstream!$C$95/1000000</f>
        <v>0.56303042093809075</v>
      </c>
      <c r="U113" s="1080">
        <f>S113*Upstream!$D$95/1000000</f>
        <v>5.6830052264388552E-4</v>
      </c>
      <c r="V113" s="1081">
        <f>S113*Upstream!$E$95/1000000</f>
        <v>3.8769761296416736E-6</v>
      </c>
      <c r="W113" s="1078">
        <f t="shared" si="60"/>
        <v>0.5783932728908211</v>
      </c>
      <c r="X113" s="1082">
        <f t="shared" si="61"/>
        <v>72.404579711163535</v>
      </c>
    </row>
    <row r="114" spans="2:26">
      <c r="B114" s="609" t="s">
        <v>778</v>
      </c>
      <c r="C114" s="1071">
        <v>1</v>
      </c>
      <c r="D114" s="1071">
        <v>6</v>
      </c>
      <c r="E114" s="1071">
        <v>85</v>
      </c>
      <c r="F114" s="1072">
        <v>0.85</v>
      </c>
      <c r="G114" s="1072">
        <v>0.43</v>
      </c>
      <c r="H114" s="1088">
        <v>0.42</v>
      </c>
      <c r="I114" s="1074">
        <v>1.542</v>
      </c>
      <c r="J114" s="1074">
        <v>0.23</v>
      </c>
      <c r="K114" s="1075">
        <v>590</v>
      </c>
      <c r="L114" s="1076">
        <f t="shared" si="55"/>
        <v>593.13883816879763</v>
      </c>
      <c r="M114" s="1073">
        <v>0.74</v>
      </c>
      <c r="N114" s="1073">
        <v>0.45</v>
      </c>
      <c r="O114" s="1077">
        <f t="shared" si="56"/>
        <v>22.714277431271913</v>
      </c>
      <c r="P114" s="1078">
        <f t="shared" si="57"/>
        <v>3.2563883519999993E-4</v>
      </c>
      <c r="Q114" s="1078">
        <f t="shared" si="58"/>
        <v>1.9802361599999995E-4</v>
      </c>
      <c r="R114" s="656">
        <f t="shared" si="59"/>
        <v>22.781429439719911</v>
      </c>
      <c r="S114" s="1079">
        <f>C114*D114*H114*$C$71*Fuel_Specs!$C$13/1000000</f>
        <v>66.499695360000004</v>
      </c>
      <c r="T114" s="1080">
        <f>S114*Upstream!$C$95/1000000</f>
        <v>1.391016334082342</v>
      </c>
      <c r="U114" s="1080">
        <f>S114*Upstream!$D$95/1000000</f>
        <v>1.404036585355482E-3</v>
      </c>
      <c r="V114" s="1081">
        <f>S114*Upstream!$E$95/1000000</f>
        <v>9.5784116144088413E-6</v>
      </c>
      <c r="W114" s="1078">
        <f t="shared" si="60"/>
        <v>1.4289716153773229</v>
      </c>
      <c r="X114" s="1082">
        <f t="shared" si="61"/>
        <v>24.210401055097233</v>
      </c>
    </row>
    <row r="115" spans="2:26">
      <c r="B115" s="609" t="s">
        <v>777</v>
      </c>
      <c r="C115" s="1071">
        <v>1</v>
      </c>
      <c r="D115" s="1071">
        <v>6</v>
      </c>
      <c r="E115" s="1071">
        <v>100</v>
      </c>
      <c r="F115" s="1072">
        <v>0.85</v>
      </c>
      <c r="G115" s="1072">
        <v>0.43</v>
      </c>
      <c r="H115" s="1088">
        <v>0.42</v>
      </c>
      <c r="I115" s="1074">
        <v>1.542</v>
      </c>
      <c r="J115" s="1074">
        <v>0.23</v>
      </c>
      <c r="K115" s="1075">
        <v>590</v>
      </c>
      <c r="L115" s="1076">
        <f t="shared" si="55"/>
        <v>593.13883816879763</v>
      </c>
      <c r="M115" s="1073">
        <v>0.74</v>
      </c>
      <c r="N115" s="1073">
        <v>0.45</v>
      </c>
      <c r="O115" s="1077">
        <f t="shared" si="56"/>
        <v>26.722679330908136</v>
      </c>
      <c r="P115" s="1078">
        <f t="shared" si="57"/>
        <v>3.2563883519999993E-4</v>
      </c>
      <c r="Q115" s="1078">
        <f t="shared" si="58"/>
        <v>1.9802361599999995E-4</v>
      </c>
      <c r="R115" s="656">
        <f t="shared" si="59"/>
        <v>26.789831339356134</v>
      </c>
      <c r="S115" s="1079">
        <f>C115*D115*H115*$C$71*Fuel_Specs!$C$13/1000000</f>
        <v>66.499695360000004</v>
      </c>
      <c r="T115" s="1080">
        <f>S115*Upstream!$C$95/1000000</f>
        <v>1.391016334082342</v>
      </c>
      <c r="U115" s="1080">
        <f>S115*Upstream!$D$95/1000000</f>
        <v>1.404036585355482E-3</v>
      </c>
      <c r="V115" s="1081">
        <f>S115*Upstream!$E$95/1000000</f>
        <v>9.5784116144088413E-6</v>
      </c>
      <c r="W115" s="1078">
        <f t="shared" si="60"/>
        <v>1.4289716153773229</v>
      </c>
      <c r="X115" s="1082">
        <f t="shared" si="61"/>
        <v>28.218802954733455</v>
      </c>
    </row>
    <row r="116" spans="2:26">
      <c r="B116" s="609" t="s">
        <v>776</v>
      </c>
      <c r="C116" s="1071">
        <v>2</v>
      </c>
      <c r="D116" s="1071">
        <v>6</v>
      </c>
      <c r="E116" s="1071">
        <v>55</v>
      </c>
      <c r="F116" s="1072">
        <v>1</v>
      </c>
      <c r="G116" s="1072">
        <v>0.43</v>
      </c>
      <c r="H116" s="1088">
        <v>1.02</v>
      </c>
      <c r="I116" s="1074">
        <v>0.90800000000000003</v>
      </c>
      <c r="J116" s="1074">
        <v>0.20699999999999999</v>
      </c>
      <c r="K116" s="1075">
        <v>590</v>
      </c>
      <c r="L116" s="1076">
        <f t="shared" si="55"/>
        <v>592.07113173428581</v>
      </c>
      <c r="M116" s="1073">
        <v>0.74</v>
      </c>
      <c r="N116" s="1073">
        <v>0.45</v>
      </c>
      <c r="O116" s="1077">
        <f t="shared" si="56"/>
        <v>34.520039479530936</v>
      </c>
      <c r="P116" s="1078">
        <f t="shared" si="57"/>
        <v>1.8607933439999998E-3</v>
      </c>
      <c r="Q116" s="1078">
        <f t="shared" si="58"/>
        <v>1.13156352E-3</v>
      </c>
      <c r="R116" s="656">
        <f t="shared" si="59"/>
        <v>34.903765242090941</v>
      </c>
      <c r="S116" s="1079">
        <f>C116*D116*H116*$C$71*Fuel_Specs!$C$13/1000000</f>
        <v>322.99852032000001</v>
      </c>
      <c r="T116" s="1080">
        <f>S116*Upstream!$C$95/1000000</f>
        <v>6.7563650512570899</v>
      </c>
      <c r="U116" s="1080">
        <f>S116*Upstream!$D$95/1000000</f>
        <v>6.8196062717266271E-3</v>
      </c>
      <c r="V116" s="1081">
        <f>S116*Upstream!$E$95/1000000</f>
        <v>4.6523713555700084E-5</v>
      </c>
      <c r="W116" s="1078">
        <f t="shared" si="60"/>
        <v>6.9407192746898545</v>
      </c>
      <c r="X116" s="1082">
        <f t="shared" si="61"/>
        <v>41.844484516780796</v>
      </c>
    </row>
    <row r="117" spans="2:26">
      <c r="B117" s="609" t="s">
        <v>775</v>
      </c>
      <c r="C117" s="1071">
        <v>2</v>
      </c>
      <c r="D117" s="1071">
        <v>6</v>
      </c>
      <c r="E117" s="1071">
        <v>65</v>
      </c>
      <c r="F117" s="1072">
        <v>0.85</v>
      </c>
      <c r="G117" s="1072">
        <v>0.59</v>
      </c>
      <c r="H117" s="1088">
        <v>0.73</v>
      </c>
      <c r="I117" s="1074">
        <v>2.4079999999999999</v>
      </c>
      <c r="J117" s="1074">
        <v>0.28000000000000003</v>
      </c>
      <c r="K117" s="1075">
        <v>595</v>
      </c>
      <c r="L117" s="1076">
        <f t="shared" si="55"/>
        <v>599.65511662567258</v>
      </c>
      <c r="M117" s="1073">
        <v>0.74</v>
      </c>
      <c r="N117" s="1073">
        <v>0.45</v>
      </c>
      <c r="O117" s="1077">
        <f t="shared" si="56"/>
        <v>48.189463374412185</v>
      </c>
      <c r="P117" s="1078">
        <f t="shared" si="57"/>
        <v>1.1319826175999999E-3</v>
      </c>
      <c r="Q117" s="1078">
        <f t="shared" si="58"/>
        <v>6.8836780799999997E-4</v>
      </c>
      <c r="R117" s="656">
        <f t="shared" si="59"/>
        <v>48.422896546636188</v>
      </c>
      <c r="S117" s="1079">
        <f>C117*D117*H117*$C$71*Fuel_Specs!$C$13/1000000</f>
        <v>231.16560767999997</v>
      </c>
      <c r="T117" s="1080">
        <f>S117*Upstream!$C$95/1000000</f>
        <v>4.8354377327624265</v>
      </c>
      <c r="U117" s="1080">
        <f>S117*Upstream!$D$95/1000000</f>
        <v>4.8806986062357224E-3</v>
      </c>
      <c r="V117" s="1081">
        <f>S117*Upstream!$E$95/1000000</f>
        <v>3.3296383231040253E-5</v>
      </c>
      <c r="W117" s="1078">
        <f t="shared" si="60"/>
        <v>4.9673775201211692</v>
      </c>
      <c r="X117" s="1082">
        <f t="shared" si="61"/>
        <v>53.390274066757357</v>
      </c>
    </row>
    <row r="118" spans="2:26">
      <c r="B118" s="609" t="s">
        <v>774</v>
      </c>
      <c r="C118" s="1071">
        <v>2</v>
      </c>
      <c r="D118" s="1071">
        <v>6</v>
      </c>
      <c r="E118" s="1071">
        <v>65</v>
      </c>
      <c r="F118" s="1072">
        <v>0.85</v>
      </c>
      <c r="G118" s="1072">
        <v>0.59</v>
      </c>
      <c r="H118" s="1088">
        <v>0.49</v>
      </c>
      <c r="I118" s="1074">
        <v>1.7689999999999999</v>
      </c>
      <c r="J118" s="1074">
        <v>0.192</v>
      </c>
      <c r="K118" s="1075">
        <v>596</v>
      </c>
      <c r="L118" s="1076">
        <f t="shared" si="55"/>
        <v>599.37715772169599</v>
      </c>
      <c r="M118" s="1073">
        <v>0.74</v>
      </c>
      <c r="N118" s="1073">
        <v>0.45</v>
      </c>
      <c r="O118" s="1077">
        <f t="shared" si="56"/>
        <v>48.16712605075498</v>
      </c>
      <c r="P118" s="1078">
        <f t="shared" si="57"/>
        <v>7.5982394880000001E-4</v>
      </c>
      <c r="Q118" s="1078">
        <f t="shared" si="58"/>
        <v>4.6205510400000003E-4</v>
      </c>
      <c r="R118" s="656">
        <f t="shared" si="59"/>
        <v>48.32381407046698</v>
      </c>
      <c r="S118" s="1079">
        <f>C118*D118*H118*$C$71*Fuel_Specs!$C$13/1000000</f>
        <v>155.16595584000001</v>
      </c>
      <c r="T118" s="1080">
        <f>S118*Upstream!$C$95/1000000</f>
        <v>3.2457047795254645</v>
      </c>
      <c r="U118" s="1080">
        <f>S118*Upstream!$D$95/1000000</f>
        <v>3.2760853658294581E-3</v>
      </c>
      <c r="V118" s="1081">
        <f>S118*Upstream!$E$95/1000000</f>
        <v>2.2349627100287296E-5</v>
      </c>
      <c r="W118" s="1078">
        <f t="shared" si="60"/>
        <v>3.3342671025470869</v>
      </c>
      <c r="X118" s="1082">
        <f t="shared" si="61"/>
        <v>51.658081173014068</v>
      </c>
    </row>
    <row r="119" spans="2:26">
      <c r="B119" s="609" t="s">
        <v>771</v>
      </c>
      <c r="C119" s="1071">
        <v>2</v>
      </c>
      <c r="D119" s="1071">
        <v>6</v>
      </c>
      <c r="E119" s="1071">
        <v>250</v>
      </c>
      <c r="F119" s="1072">
        <v>0.85</v>
      </c>
      <c r="G119" s="1072">
        <v>0.59</v>
      </c>
      <c r="H119" s="1088">
        <v>7.0000000000000007E-2</v>
      </c>
      <c r="I119" s="1074">
        <v>0.20300000000000001</v>
      </c>
      <c r="J119" s="1074">
        <v>0.13700000000000001</v>
      </c>
      <c r="K119" s="1075">
        <v>536</v>
      </c>
      <c r="L119" s="1076">
        <f t="shared" si="55"/>
        <v>536.7455273806687</v>
      </c>
      <c r="M119" s="1073">
        <v>0.74</v>
      </c>
      <c r="N119" s="1073">
        <v>0.45</v>
      </c>
      <c r="O119" s="1077">
        <f t="shared" si="56"/>
        <v>165.89971222277975</v>
      </c>
      <c r="P119" s="1078">
        <f t="shared" si="57"/>
        <v>1.0854627839999999E-4</v>
      </c>
      <c r="Q119" s="1078">
        <f t="shared" si="58"/>
        <v>6.6007872000000006E-5</v>
      </c>
      <c r="R119" s="656">
        <f t="shared" si="59"/>
        <v>165.92209622559577</v>
      </c>
      <c r="S119" s="1079">
        <f>C119*D119*H119*$C$71*Fuel_Specs!$C$13/1000000</f>
        <v>22.166565120000001</v>
      </c>
      <c r="T119" s="1080">
        <f>S119*Upstream!$C$95/1000000</f>
        <v>0.46367211136078068</v>
      </c>
      <c r="U119" s="1080">
        <f>S119*Upstream!$D$95/1000000</f>
        <v>4.6801219511849397E-4</v>
      </c>
      <c r="V119" s="1081">
        <f>S119*Upstream!$E$95/1000000</f>
        <v>3.192803871469614E-6</v>
      </c>
      <c r="W119" s="1078">
        <f t="shared" si="60"/>
        <v>0.47632387179244101</v>
      </c>
      <c r="X119" s="1082">
        <f t="shared" si="61"/>
        <v>166.3984200973882</v>
      </c>
    </row>
    <row r="120" spans="2:26">
      <c r="B120" s="609" t="s">
        <v>793</v>
      </c>
      <c r="C120" s="1071">
        <v>2</v>
      </c>
      <c r="D120" s="1071">
        <v>6</v>
      </c>
      <c r="E120" s="1071">
        <v>285</v>
      </c>
      <c r="F120" s="1072">
        <v>0.75</v>
      </c>
      <c r="G120" s="1072">
        <v>0.59</v>
      </c>
      <c r="H120" s="1088">
        <v>7.0000000000000007E-2</v>
      </c>
      <c r="I120" s="1074">
        <v>0.20300000000000001</v>
      </c>
      <c r="J120" s="1074">
        <v>0.13700000000000001</v>
      </c>
      <c r="K120" s="1075">
        <v>536</v>
      </c>
      <c r="L120" s="1076">
        <f t="shared" si="55"/>
        <v>536.7455273806687</v>
      </c>
      <c r="M120" s="1073">
        <v>0.74</v>
      </c>
      <c r="N120" s="1073">
        <v>0.45</v>
      </c>
      <c r="O120" s="1077">
        <f t="shared" si="56"/>
        <v>166.87559288291374</v>
      </c>
      <c r="P120" s="1078">
        <f t="shared" si="57"/>
        <v>9.5776128000000003E-5</v>
      </c>
      <c r="Q120" s="1078">
        <f t="shared" si="58"/>
        <v>5.8242240000000006E-5</v>
      </c>
      <c r="R120" s="656">
        <f t="shared" si="59"/>
        <v>166.89534347363372</v>
      </c>
      <c r="S120" s="1079">
        <f>C120*D120*H120*$C$71*Fuel_Specs!$C$13/1000000</f>
        <v>22.166565120000001</v>
      </c>
      <c r="T120" s="1080">
        <f>S120*Upstream!$C$95/1000000</f>
        <v>0.46367211136078068</v>
      </c>
      <c r="U120" s="1080">
        <f>S120*Upstream!$D$95/1000000</f>
        <v>4.6801219511849397E-4</v>
      </c>
      <c r="V120" s="1081">
        <f>S120*Upstream!$E$95/1000000</f>
        <v>3.192803871469614E-6</v>
      </c>
      <c r="W120" s="1078">
        <f t="shared" si="60"/>
        <v>0.47632387179244101</v>
      </c>
      <c r="X120" s="1082">
        <f t="shared" si="61"/>
        <v>167.37166734542615</v>
      </c>
    </row>
    <row r="121" spans="2:26">
      <c r="B121" s="609" t="s">
        <v>770</v>
      </c>
      <c r="C121" s="1071">
        <v>1</v>
      </c>
      <c r="D121" s="1071">
        <v>6</v>
      </c>
      <c r="E121" s="1071">
        <v>200</v>
      </c>
      <c r="F121" s="1072">
        <v>0.85</v>
      </c>
      <c r="G121" s="1072">
        <v>0.59</v>
      </c>
      <c r="H121" s="1088">
        <v>0.11</v>
      </c>
      <c r="I121" s="1074">
        <v>0.32200000000000001</v>
      </c>
      <c r="J121" s="1074">
        <v>0.14099999999999999</v>
      </c>
      <c r="K121" s="1075">
        <v>536</v>
      </c>
      <c r="L121" s="1076">
        <f t="shared" si="55"/>
        <v>536.94494566503158</v>
      </c>
      <c r="M121" s="1073">
        <v>0.74</v>
      </c>
      <c r="N121" s="1073">
        <v>0.45</v>
      </c>
      <c r="O121" s="1077">
        <f t="shared" si="56"/>
        <v>66.384539727801808</v>
      </c>
      <c r="P121" s="1078">
        <f t="shared" si="57"/>
        <v>8.5286361600000007E-5</v>
      </c>
      <c r="Q121" s="1078">
        <f t="shared" si="58"/>
        <v>5.1863328000000005E-5</v>
      </c>
      <c r="R121" s="656">
        <f t="shared" si="59"/>
        <v>66.402127158585813</v>
      </c>
      <c r="S121" s="1079">
        <f>C121*D121*H121*$C$71*Fuel_Specs!$C$13/1000000</f>
        <v>17.416586880000004</v>
      </c>
      <c r="T121" s="1080">
        <f>S121*Upstream!$C$95/1000000</f>
        <v>0.36431380178347056</v>
      </c>
      <c r="U121" s="1080">
        <f>S121*Upstream!$D$95/1000000</f>
        <v>3.6772386759310253E-4</v>
      </c>
      <c r="V121" s="1081">
        <f>S121*Upstream!$E$95/1000000</f>
        <v>2.508631613297554E-6</v>
      </c>
      <c r="W121" s="1078">
        <f t="shared" si="60"/>
        <v>0.37425447069406076</v>
      </c>
      <c r="X121" s="1082">
        <f t="shared" si="61"/>
        <v>66.776381629279868</v>
      </c>
    </row>
    <row r="122" spans="2:26">
      <c r="B122" s="609" t="s">
        <v>769</v>
      </c>
      <c r="C122" s="1071">
        <v>1</v>
      </c>
      <c r="D122" s="1071">
        <v>6</v>
      </c>
      <c r="E122" s="1071">
        <v>85</v>
      </c>
      <c r="F122" s="1072">
        <v>0.5</v>
      </c>
      <c r="G122" s="1072">
        <v>0.59</v>
      </c>
      <c r="H122" s="1088">
        <v>0.65</v>
      </c>
      <c r="I122" s="1074">
        <v>2.2650000000000001</v>
      </c>
      <c r="J122" s="1074">
        <v>0.25700000000000001</v>
      </c>
      <c r="K122" s="1075">
        <v>595</v>
      </c>
      <c r="L122" s="1076">
        <f t="shared" si="55"/>
        <v>599.35882933509015</v>
      </c>
      <c r="M122" s="1073">
        <v>0.74</v>
      </c>
      <c r="N122" s="1073">
        <v>0.45</v>
      </c>
      <c r="O122" s="1077">
        <f t="shared" si="56"/>
        <v>18.525251209844509</v>
      </c>
      <c r="P122" s="1078">
        <f t="shared" si="57"/>
        <v>2.9644992000000002E-4</v>
      </c>
      <c r="Q122" s="1078">
        <f t="shared" si="58"/>
        <v>1.8027360000000001E-4</v>
      </c>
      <c r="R122" s="656">
        <f t="shared" si="59"/>
        <v>18.58638399064451</v>
      </c>
      <c r="S122" s="1079">
        <f>C122*D122*H122*$C$71*Fuel_Specs!$C$13/1000000</f>
        <v>102.9161952</v>
      </c>
      <c r="T122" s="1080">
        <f>S122*Upstream!$C$95/1000000</f>
        <v>2.1527633741750529</v>
      </c>
      <c r="U122" s="1080">
        <f>S122*Upstream!$D$95/1000000</f>
        <v>2.1729137630501511E-3</v>
      </c>
      <c r="V122" s="1081">
        <f>S122*Upstream!$E$95/1000000</f>
        <v>1.4823732260394636E-5</v>
      </c>
      <c r="W122" s="1078">
        <f t="shared" si="60"/>
        <v>2.2115036904649044</v>
      </c>
      <c r="X122" s="1082">
        <f t="shared" si="61"/>
        <v>20.797887681109415</v>
      </c>
    </row>
    <row r="123" spans="2:26">
      <c r="B123" s="609" t="s">
        <v>768</v>
      </c>
      <c r="C123" s="1071">
        <v>2</v>
      </c>
      <c r="D123" s="1071">
        <v>6</v>
      </c>
      <c r="E123" s="1071">
        <v>200</v>
      </c>
      <c r="F123" s="1072">
        <v>0.85</v>
      </c>
      <c r="G123" s="1072">
        <v>0.59</v>
      </c>
      <c r="H123" s="1088">
        <v>0.11</v>
      </c>
      <c r="I123" s="1074">
        <v>0.32200000000000001</v>
      </c>
      <c r="J123" s="1074">
        <v>0.14099999999999999</v>
      </c>
      <c r="K123" s="1075">
        <v>536</v>
      </c>
      <c r="L123" s="1076">
        <f t="shared" si="55"/>
        <v>536.94494566503158</v>
      </c>
      <c r="M123" s="1073">
        <v>0.74</v>
      </c>
      <c r="N123" s="1073">
        <v>0.45</v>
      </c>
      <c r="O123" s="1077">
        <f t="shared" si="56"/>
        <v>132.76907945560362</v>
      </c>
      <c r="P123" s="1078">
        <f t="shared" si="57"/>
        <v>1.7057272320000001E-4</v>
      </c>
      <c r="Q123" s="1078">
        <f t="shared" si="58"/>
        <v>1.0372665600000001E-4</v>
      </c>
      <c r="R123" s="656">
        <f t="shared" si="59"/>
        <v>132.80425431717163</v>
      </c>
      <c r="S123" s="1079">
        <f>C123*D123*H123*$C$71*Fuel_Specs!$C$13/1000000</f>
        <v>34.833173760000008</v>
      </c>
      <c r="T123" s="1080">
        <f>S123*Upstream!$C$95/1000000</f>
        <v>0.72862760356694112</v>
      </c>
      <c r="U123" s="1080">
        <f>S123*Upstream!$D$95/1000000</f>
        <v>7.3544773518620507E-4</v>
      </c>
      <c r="V123" s="1081">
        <f>S123*Upstream!$E$95/1000000</f>
        <v>5.017263226595108E-6</v>
      </c>
      <c r="W123" s="1078">
        <f t="shared" si="60"/>
        <v>0.74850894138812152</v>
      </c>
      <c r="X123" s="1082">
        <f t="shared" si="61"/>
        <v>133.55276325855974</v>
      </c>
    </row>
    <row r="124" spans="2:26">
      <c r="B124" s="609" t="s">
        <v>767</v>
      </c>
      <c r="C124" s="1071">
        <v>2</v>
      </c>
      <c r="D124" s="1071">
        <v>6</v>
      </c>
      <c r="E124" s="1071">
        <v>100</v>
      </c>
      <c r="F124" s="1072">
        <v>0.85</v>
      </c>
      <c r="G124" s="1072">
        <v>0.21</v>
      </c>
      <c r="H124" s="1088">
        <v>0.65</v>
      </c>
      <c r="I124" s="1074">
        <v>5.2880000000000003</v>
      </c>
      <c r="J124" s="1074">
        <v>0.83899999999999997</v>
      </c>
      <c r="K124" s="1075">
        <v>693</v>
      </c>
      <c r="L124" s="1076">
        <f t="shared" si="55"/>
        <v>703.92055081893022</v>
      </c>
      <c r="M124" s="1073">
        <v>0.74</v>
      </c>
      <c r="N124" s="1073">
        <v>0.45</v>
      </c>
      <c r="O124" s="1077">
        <f t="shared" si="56"/>
        <v>30.976198411083626</v>
      </c>
      <c r="P124" s="1078">
        <f t="shared" si="57"/>
        <v>1.007929728E-3</v>
      </c>
      <c r="Q124" s="1078">
        <f t="shared" si="58"/>
        <v>6.1293024000000005E-4</v>
      </c>
      <c r="R124" s="656">
        <f t="shared" si="59"/>
        <v>31.184049865803626</v>
      </c>
      <c r="S124" s="1079">
        <f>C124*D124*H124*$C$71*Fuel_Specs!$C$13/1000000</f>
        <v>205.83239040000001</v>
      </c>
      <c r="T124" s="1080">
        <f>S124*Upstream!$C$95/1000000</f>
        <v>4.3055267483501058</v>
      </c>
      <c r="U124" s="1080">
        <f>S124*Upstream!$D$95/1000000</f>
        <v>4.3458275261003022E-3</v>
      </c>
      <c r="V124" s="1081">
        <f>S124*Upstream!$E$95/1000000</f>
        <v>2.9647464520789272E-5</v>
      </c>
      <c r="W124" s="1078">
        <f t="shared" si="60"/>
        <v>4.4230073809298087</v>
      </c>
      <c r="X124" s="1082">
        <f t="shared" si="61"/>
        <v>35.607057246733433</v>
      </c>
    </row>
    <row r="125" spans="2:26">
      <c r="B125" s="609" t="s">
        <v>766</v>
      </c>
      <c r="C125" s="1071">
        <v>1</v>
      </c>
      <c r="D125" s="1071">
        <v>6</v>
      </c>
      <c r="E125" s="1071">
        <v>50</v>
      </c>
      <c r="F125" s="1072">
        <v>0.85</v>
      </c>
      <c r="G125" s="1072">
        <v>0.21</v>
      </c>
      <c r="H125" s="1088">
        <v>3.66</v>
      </c>
      <c r="I125" s="1074">
        <v>5.8730000000000002</v>
      </c>
      <c r="J125" s="1074">
        <v>1.516</v>
      </c>
      <c r="K125" s="1075">
        <v>691</v>
      </c>
      <c r="L125" s="1076">
        <f t="shared" si="55"/>
        <v>704.94769641702123</v>
      </c>
      <c r="M125" s="1073">
        <v>0.74</v>
      </c>
      <c r="N125" s="1073">
        <v>0.45</v>
      </c>
      <c r="O125" s="1077">
        <f t="shared" si="56"/>
        <v>7.7553495519649331</v>
      </c>
      <c r="P125" s="1078">
        <f t="shared" si="57"/>
        <v>2.8377098496000005E-3</v>
      </c>
      <c r="Q125" s="1078">
        <f t="shared" si="58"/>
        <v>1.7256343680000002E-3</v>
      </c>
      <c r="R125" s="656">
        <f t="shared" si="59"/>
        <v>8.3405313398689334</v>
      </c>
      <c r="S125" s="1079">
        <f>C125*D125*H125*$C$71*Fuel_Specs!$C$13/1000000</f>
        <v>579.4973452800001</v>
      </c>
      <c r="T125" s="1080">
        <f>S125*Upstream!$C$95/1000000</f>
        <v>12.121713768431839</v>
      </c>
      <c r="U125" s="1080">
        <f>S125*Upstream!$D$95/1000000</f>
        <v>1.2235175958097774E-2</v>
      </c>
      <c r="V125" s="1081">
        <f>S125*Upstream!$E$95/1000000</f>
        <v>8.3469015496991341E-5</v>
      </c>
      <c r="W125" s="1078">
        <f t="shared" si="60"/>
        <v>12.452466934002386</v>
      </c>
      <c r="X125" s="1082">
        <f t="shared" si="61"/>
        <v>20.792998273871319</v>
      </c>
    </row>
    <row r="126" spans="2:26">
      <c r="B126" s="1109" t="s">
        <v>799</v>
      </c>
      <c r="C126" s="613"/>
      <c r="D126" s="613"/>
      <c r="E126" s="613"/>
      <c r="F126" s="613"/>
      <c r="G126" s="1072"/>
      <c r="H126" s="1088"/>
      <c r="I126" s="611"/>
      <c r="J126" s="611"/>
      <c r="K126" s="611"/>
      <c r="L126" s="610"/>
      <c r="M126" s="611"/>
      <c r="N126" s="1073"/>
      <c r="O126" s="663"/>
      <c r="P126" s="611"/>
      <c r="Q126" s="611"/>
      <c r="R126" s="611"/>
      <c r="S126" s="611"/>
      <c r="T126" s="611"/>
      <c r="U126" s="611"/>
      <c r="V126" s="611"/>
      <c r="W126" s="611"/>
      <c r="X126" s="611"/>
      <c r="Y126" s="611"/>
      <c r="Z126" s="611"/>
    </row>
    <row r="127" spans="2:26">
      <c r="B127" s="609" t="s">
        <v>769</v>
      </c>
      <c r="C127" s="1071">
        <v>2</v>
      </c>
      <c r="D127" s="1071">
        <v>1</v>
      </c>
      <c r="E127" s="1071">
        <v>65</v>
      </c>
      <c r="F127" s="1072">
        <v>0.75</v>
      </c>
      <c r="G127" s="1072">
        <v>0.59</v>
      </c>
      <c r="H127" s="1088">
        <v>0.65</v>
      </c>
      <c r="I127" s="1074">
        <v>2.2650000000000001</v>
      </c>
      <c r="J127" s="1074">
        <v>0.25700000000000001</v>
      </c>
      <c r="K127" s="1075">
        <v>595</v>
      </c>
      <c r="L127" s="1076">
        <f t="shared" ref="L127:L136" si="62">K127+J127*VOC_C_Ratio/CO2_C_Ratio+I127*CO_C_Ratio/CO2_C_Ratio</f>
        <v>599.35882933509015</v>
      </c>
      <c r="M127" s="1073">
        <v>0.74</v>
      </c>
      <c r="N127" s="1073">
        <v>0.45</v>
      </c>
      <c r="O127" s="1077">
        <f t="shared" ref="O127:O136" si="63">E127*$C$71*L127*C127*D127/1000000*F127*G127</f>
        <v>7.0831842861170182</v>
      </c>
      <c r="P127" s="1078">
        <f t="shared" ref="P127:P136" si="64">$C127*$H127*$C$71*$D127*M127/1000000*$F127</f>
        <v>1.4822496000000001E-4</v>
      </c>
      <c r="Q127" s="1078">
        <f t="shared" ref="Q127:Q136" si="65">$C127*$H127*$C$71*$D127*N127/1000000*$F127</f>
        <v>9.0136799999999994E-5</v>
      </c>
      <c r="R127" s="656">
        <f t="shared" ref="R127:R136" si="66">O127+P127*CH4_GWP+Q127*N2O_GWP</f>
        <v>7.113750676517018</v>
      </c>
      <c r="S127" s="1079">
        <f>C127*D127*H127*$C$71*Fuel_Specs!$C$13/1000000</f>
        <v>34.305398400000001</v>
      </c>
      <c r="T127" s="1080">
        <f>S127*Upstream!$C$95/1000000</f>
        <v>0.71758779139168427</v>
      </c>
      <c r="U127" s="1080">
        <f>S127*Upstream!$D$95/1000000</f>
        <v>7.2430458768338356E-4</v>
      </c>
      <c r="V127" s="1081">
        <f>S127*Upstream!$E$95/1000000</f>
        <v>4.9412440867982111E-6</v>
      </c>
      <c r="W127" s="1078">
        <f t="shared" ref="W127:W136" si="67">T127+U127*CH4_GWP+V127*N2O_GWP</f>
        <v>0.73716789682163464</v>
      </c>
      <c r="X127" s="1082">
        <f t="shared" si="61"/>
        <v>7.8509185733386531</v>
      </c>
    </row>
    <row r="128" spans="2:26">
      <c r="B128" s="609" t="s">
        <v>776</v>
      </c>
      <c r="C128" s="1071">
        <v>4</v>
      </c>
      <c r="D128" s="1071">
        <v>1</v>
      </c>
      <c r="E128" s="1071">
        <v>55</v>
      </c>
      <c r="F128" s="1072">
        <v>1</v>
      </c>
      <c r="G128" s="1072">
        <v>0.43</v>
      </c>
      <c r="H128" s="1088">
        <v>1.02</v>
      </c>
      <c r="I128" s="1074">
        <v>0.90800000000000003</v>
      </c>
      <c r="J128" s="1074">
        <v>0.20699999999999999</v>
      </c>
      <c r="K128" s="1075">
        <v>590</v>
      </c>
      <c r="L128" s="1076">
        <f t="shared" si="62"/>
        <v>592.07113173428581</v>
      </c>
      <c r="M128" s="1073">
        <v>0.74</v>
      </c>
      <c r="N128" s="1073">
        <v>0.45</v>
      </c>
      <c r="O128" s="1077">
        <f t="shared" si="63"/>
        <v>11.506679826510313</v>
      </c>
      <c r="P128" s="1078">
        <f t="shared" si="64"/>
        <v>6.2026444799999998E-4</v>
      </c>
      <c r="Q128" s="1078">
        <f t="shared" si="65"/>
        <v>3.7718783999999997E-4</v>
      </c>
      <c r="R128" s="656">
        <f t="shared" si="66"/>
        <v>11.634588414030311</v>
      </c>
      <c r="S128" s="1079">
        <f>C128*D128*H128*$C$71*Fuel_Specs!$C$13/1000000</f>
        <v>107.66617343999999</v>
      </c>
      <c r="T128" s="1080">
        <f>S128*Upstream!$C$95/1000000</f>
        <v>2.252121683752363</v>
      </c>
      <c r="U128" s="1080">
        <f>S128*Upstream!$D$95/1000000</f>
        <v>2.2732020905755421E-3</v>
      </c>
      <c r="V128" s="1081">
        <f>S128*Upstream!$E$95/1000000</f>
        <v>1.5507904518566695E-5</v>
      </c>
      <c r="W128" s="1078">
        <f t="shared" si="67"/>
        <v>2.3135730915632844</v>
      </c>
      <c r="X128" s="1082">
        <f t="shared" si="61"/>
        <v>13.948161505593596</v>
      </c>
    </row>
    <row r="129" spans="2:40">
      <c r="B129" s="609" t="s">
        <v>772</v>
      </c>
      <c r="C129" s="1071">
        <v>3</v>
      </c>
      <c r="D129" s="1071">
        <v>1</v>
      </c>
      <c r="E129" s="1071">
        <v>290</v>
      </c>
      <c r="F129" s="1072">
        <v>0.85</v>
      </c>
      <c r="G129" s="1072">
        <v>0.43</v>
      </c>
      <c r="H129" s="1088">
        <v>0.17</v>
      </c>
      <c r="I129" s="1074">
        <v>0.42899999999999999</v>
      </c>
      <c r="J129" s="1074">
        <v>0.17499999999999999</v>
      </c>
      <c r="K129" s="1075">
        <v>530</v>
      </c>
      <c r="L129" s="1076">
        <f t="shared" si="62"/>
        <v>531.21892447176219</v>
      </c>
      <c r="M129" s="1073">
        <v>0.74</v>
      </c>
      <c r="N129" s="1073">
        <v>0.45</v>
      </c>
      <c r="O129" s="1077">
        <f t="shared" si="63"/>
        <v>34.702852833988608</v>
      </c>
      <c r="P129" s="1078">
        <f t="shared" si="64"/>
        <v>6.5903097599999991E-5</v>
      </c>
      <c r="Q129" s="1078">
        <f t="shared" si="65"/>
        <v>4.0076207999999996E-5</v>
      </c>
      <c r="R129" s="656">
        <f t="shared" si="66"/>
        <v>34.71644312141261</v>
      </c>
      <c r="S129" s="1079">
        <f>C129*D129*H129*$C$71*Fuel_Specs!$C$13/1000000</f>
        <v>13.458271679999999</v>
      </c>
      <c r="T129" s="1080">
        <f>S129*Upstream!$C$95/1000000</f>
        <v>0.28151521046904537</v>
      </c>
      <c r="U129" s="1080">
        <f>S129*Upstream!$D$95/1000000</f>
        <v>2.8415026132194276E-4</v>
      </c>
      <c r="V129" s="1081">
        <f>S129*Upstream!$E$95/1000000</f>
        <v>1.9384880648208368E-6</v>
      </c>
      <c r="W129" s="1078">
        <f t="shared" si="67"/>
        <v>0.28919663644541055</v>
      </c>
      <c r="X129" s="1082">
        <f t="shared" si="61"/>
        <v>35.00563975785802</v>
      </c>
    </row>
    <row r="130" spans="2:40">
      <c r="B130" s="609" t="s">
        <v>771</v>
      </c>
      <c r="C130" s="1071">
        <v>3</v>
      </c>
      <c r="D130" s="1071">
        <v>1</v>
      </c>
      <c r="E130" s="1071">
        <v>250</v>
      </c>
      <c r="F130" s="1072">
        <v>0.25</v>
      </c>
      <c r="G130" s="1072">
        <v>0.59</v>
      </c>
      <c r="H130" s="1088">
        <v>7.0000000000000007E-2</v>
      </c>
      <c r="I130" s="1074">
        <v>0.20300000000000001</v>
      </c>
      <c r="J130" s="1074">
        <v>0.13700000000000001</v>
      </c>
      <c r="K130" s="1075">
        <v>536</v>
      </c>
      <c r="L130" s="1076">
        <f t="shared" si="62"/>
        <v>536.7455273806687</v>
      </c>
      <c r="M130" s="1073">
        <v>0.74</v>
      </c>
      <c r="N130" s="1073">
        <v>0.45</v>
      </c>
      <c r="O130" s="1077">
        <f t="shared" si="63"/>
        <v>12.198508251674982</v>
      </c>
      <c r="P130" s="1078">
        <f t="shared" si="64"/>
        <v>7.9813439999999997E-6</v>
      </c>
      <c r="Q130" s="1078">
        <f t="shared" si="65"/>
        <v>4.8535200000000008E-6</v>
      </c>
      <c r="R130" s="656">
        <f t="shared" si="66"/>
        <v>12.200154134234982</v>
      </c>
      <c r="S130" s="1079">
        <f>C130*D130*H130*$C$71*Fuel_Specs!$C$13/1000000</f>
        <v>5.5416412800000003</v>
      </c>
      <c r="T130" s="1080">
        <f>S130*Upstream!$C$95/1000000</f>
        <v>0.11591802784019517</v>
      </c>
      <c r="U130" s="1080">
        <f>S130*Upstream!$D$95/1000000</f>
        <v>1.1700304877962349E-4</v>
      </c>
      <c r="V130" s="1081">
        <f>S130*Upstream!$E$95/1000000</f>
        <v>7.9820096786740351E-7</v>
      </c>
      <c r="W130" s="1078">
        <f t="shared" si="67"/>
        <v>0.11908096794811025</v>
      </c>
      <c r="X130" s="1082">
        <f t="shared" si="61"/>
        <v>12.319235102183091</v>
      </c>
    </row>
    <row r="131" spans="2:40">
      <c r="B131" s="609" t="s">
        <v>798</v>
      </c>
      <c r="C131" s="1071">
        <v>3</v>
      </c>
      <c r="D131" s="1071">
        <v>1</v>
      </c>
      <c r="E131" s="1071">
        <v>85</v>
      </c>
      <c r="F131" s="1072">
        <v>0.85</v>
      </c>
      <c r="G131" s="1072">
        <v>0.59</v>
      </c>
      <c r="H131" s="1088">
        <v>0.73</v>
      </c>
      <c r="I131" s="1074">
        <v>2.4079999999999999</v>
      </c>
      <c r="J131" s="1074">
        <v>0.28000000000000003</v>
      </c>
      <c r="K131" s="1075">
        <v>595</v>
      </c>
      <c r="L131" s="1076">
        <f t="shared" si="62"/>
        <v>599.65511662567258</v>
      </c>
      <c r="M131" s="1073">
        <v>0.74</v>
      </c>
      <c r="N131" s="1073">
        <v>0.45</v>
      </c>
      <c r="O131" s="1077">
        <f t="shared" si="63"/>
        <v>15.754247641634757</v>
      </c>
      <c r="P131" s="1078">
        <f t="shared" si="64"/>
        <v>2.8299565439999998E-4</v>
      </c>
      <c r="Q131" s="1078">
        <f t="shared" si="65"/>
        <v>1.7209195199999999E-4</v>
      </c>
      <c r="R131" s="656">
        <f t="shared" si="66"/>
        <v>15.812605934690758</v>
      </c>
      <c r="S131" s="1079">
        <f>C131*D131*H131*$C$71*Fuel_Specs!$C$13/1000000</f>
        <v>57.791401919999991</v>
      </c>
      <c r="T131" s="1080">
        <f>S131*Upstream!$C$95/1000000</f>
        <v>1.2088594331906066</v>
      </c>
      <c r="U131" s="1080">
        <f>S131*Upstream!$D$95/1000000</f>
        <v>1.2201746515589306E-3</v>
      </c>
      <c r="V131" s="1081">
        <f>S131*Upstream!$E$95/1000000</f>
        <v>8.3240958077600632E-6</v>
      </c>
      <c r="W131" s="1078">
        <f t="shared" si="67"/>
        <v>1.2418443800302923</v>
      </c>
      <c r="X131" s="1082">
        <f t="shared" si="61"/>
        <v>17.054450314721052</v>
      </c>
    </row>
    <row r="132" spans="2:40">
      <c r="B132" s="609" t="s">
        <v>770</v>
      </c>
      <c r="C132" s="1071">
        <v>3</v>
      </c>
      <c r="D132" s="1071">
        <v>1</v>
      </c>
      <c r="E132" s="1071">
        <v>200</v>
      </c>
      <c r="F132" s="1072">
        <v>0.85</v>
      </c>
      <c r="G132" s="1072">
        <v>0.59</v>
      </c>
      <c r="H132" s="1088">
        <v>0.11</v>
      </c>
      <c r="I132" s="1074">
        <v>0.32200000000000001</v>
      </c>
      <c r="J132" s="1074">
        <v>0.14099999999999999</v>
      </c>
      <c r="K132" s="1075">
        <v>536</v>
      </c>
      <c r="L132" s="1076">
        <f t="shared" si="62"/>
        <v>536.94494566503158</v>
      </c>
      <c r="M132" s="1073">
        <v>0.74</v>
      </c>
      <c r="N132" s="1073">
        <v>0.45</v>
      </c>
      <c r="O132" s="1077">
        <f t="shared" si="63"/>
        <v>33.192269863900904</v>
      </c>
      <c r="P132" s="1078">
        <f t="shared" si="64"/>
        <v>4.2643180800000003E-5</v>
      </c>
      <c r="Q132" s="1078">
        <f t="shared" si="65"/>
        <v>2.5931664000000003E-5</v>
      </c>
      <c r="R132" s="656">
        <f t="shared" si="66"/>
        <v>33.201063579292907</v>
      </c>
      <c r="S132" s="1079">
        <f>C132*D132*H132*$C$71*Fuel_Specs!$C$13/1000000</f>
        <v>8.7082934400000021</v>
      </c>
      <c r="T132" s="1080">
        <f>S132*Upstream!$C$95/1000000</f>
        <v>0.18215690089173528</v>
      </c>
      <c r="U132" s="1080">
        <f>S132*Upstream!$D$95/1000000</f>
        <v>1.8386193379655127E-4</v>
      </c>
      <c r="V132" s="1081">
        <f>S132*Upstream!$E$95/1000000</f>
        <v>1.254315806648777E-6</v>
      </c>
      <c r="W132" s="1078">
        <f t="shared" si="67"/>
        <v>0.18712723534703038</v>
      </c>
      <c r="X132" s="1082">
        <f t="shared" si="61"/>
        <v>33.388190814639934</v>
      </c>
    </row>
    <row r="133" spans="2:40">
      <c r="B133" s="609" t="s">
        <v>768</v>
      </c>
      <c r="C133" s="1071">
        <v>2</v>
      </c>
      <c r="D133" s="1071">
        <v>1</v>
      </c>
      <c r="E133" s="1071">
        <v>200</v>
      </c>
      <c r="F133" s="1072">
        <v>0.25</v>
      </c>
      <c r="G133" s="1072">
        <v>0.59</v>
      </c>
      <c r="H133" s="1088">
        <v>0.11</v>
      </c>
      <c r="I133" s="1074">
        <v>0.32200000000000001</v>
      </c>
      <c r="J133" s="1074">
        <v>0.14099999999999999</v>
      </c>
      <c r="K133" s="1075">
        <v>536</v>
      </c>
      <c r="L133" s="1076">
        <f t="shared" si="62"/>
        <v>536.94494566503158</v>
      </c>
      <c r="M133" s="1073">
        <v>0.74</v>
      </c>
      <c r="N133" s="1073">
        <v>0.45</v>
      </c>
      <c r="O133" s="1077">
        <f t="shared" si="63"/>
        <v>6.5082882086080209</v>
      </c>
      <c r="P133" s="1078">
        <f t="shared" si="64"/>
        <v>8.3614080000000012E-6</v>
      </c>
      <c r="Q133" s="1078">
        <f t="shared" si="65"/>
        <v>5.0846400000000007E-6</v>
      </c>
      <c r="R133" s="656">
        <f t="shared" si="66"/>
        <v>6.5100124665280212</v>
      </c>
      <c r="S133" s="1079">
        <f>C133*D133*H133*$C$71*Fuel_Specs!$C$13/1000000</f>
        <v>5.8055289600000002</v>
      </c>
      <c r="T133" s="1080">
        <f>S133*Upstream!$C$95/1000000</f>
        <v>0.1214379339278235</v>
      </c>
      <c r="U133" s="1080">
        <f>S133*Upstream!$D$95/1000000</f>
        <v>1.2257462253103415E-4</v>
      </c>
      <c r="V133" s="1081">
        <f>S133*Upstream!$E$95/1000000</f>
        <v>8.3621053776585123E-7</v>
      </c>
      <c r="W133" s="1078">
        <f t="shared" si="67"/>
        <v>0.12475149023135358</v>
      </c>
      <c r="X133" s="1082">
        <f t="shared" si="61"/>
        <v>6.6347639567593752</v>
      </c>
    </row>
    <row r="134" spans="2:40">
      <c r="B134" s="609" t="s">
        <v>767</v>
      </c>
      <c r="C134" s="1071">
        <v>2</v>
      </c>
      <c r="D134" s="1071">
        <v>1</v>
      </c>
      <c r="E134" s="1071">
        <v>100</v>
      </c>
      <c r="F134" s="1072">
        <v>0.75</v>
      </c>
      <c r="G134" s="1072">
        <v>0.21</v>
      </c>
      <c r="H134" s="1088">
        <v>0.65</v>
      </c>
      <c r="I134" s="1074">
        <v>5.2880000000000003</v>
      </c>
      <c r="J134" s="1074">
        <v>0.83899999999999997</v>
      </c>
      <c r="K134" s="1075">
        <v>693</v>
      </c>
      <c r="L134" s="1076">
        <f t="shared" si="62"/>
        <v>703.92055081893022</v>
      </c>
      <c r="M134" s="1073">
        <v>0.74</v>
      </c>
      <c r="N134" s="1073">
        <v>0.45</v>
      </c>
      <c r="O134" s="1077">
        <f t="shared" si="63"/>
        <v>4.5553232957475922</v>
      </c>
      <c r="P134" s="1078">
        <f t="shared" si="64"/>
        <v>1.4822496000000001E-4</v>
      </c>
      <c r="Q134" s="1078">
        <f t="shared" si="65"/>
        <v>9.0136799999999994E-5</v>
      </c>
      <c r="R134" s="656">
        <f t="shared" si="66"/>
        <v>4.585889686147592</v>
      </c>
      <c r="S134" s="1079">
        <f>C134*D134*H134*$C$71*Fuel_Specs!$C$13/1000000</f>
        <v>34.305398400000001</v>
      </c>
      <c r="T134" s="1080">
        <f>S134*Upstream!$C$95/1000000</f>
        <v>0.71758779139168427</v>
      </c>
      <c r="U134" s="1080">
        <f>S134*Upstream!$D$95/1000000</f>
        <v>7.2430458768338356E-4</v>
      </c>
      <c r="V134" s="1081">
        <f>S134*Upstream!$E$95/1000000</f>
        <v>4.9412440867982111E-6</v>
      </c>
      <c r="W134" s="1078">
        <f t="shared" si="67"/>
        <v>0.73716789682163464</v>
      </c>
      <c r="X134" s="1082">
        <f t="shared" si="61"/>
        <v>5.323057582969227</v>
      </c>
    </row>
    <row r="135" spans="2:40">
      <c r="B135" s="609" t="s">
        <v>797</v>
      </c>
      <c r="C135" s="1071">
        <v>1</v>
      </c>
      <c r="D135" s="1071">
        <v>1</v>
      </c>
      <c r="E135" s="1071">
        <v>30</v>
      </c>
      <c r="F135" s="1072">
        <v>0.75</v>
      </c>
      <c r="G135" s="1072">
        <v>0.45</v>
      </c>
      <c r="H135" s="1088">
        <v>3.9</v>
      </c>
      <c r="I135" s="1083">
        <f>5/kwperhp</f>
        <v>3.7284993600939971</v>
      </c>
      <c r="J135" s="1083">
        <f>0.3/kwperhp</f>
        <v>0.2237099616056398</v>
      </c>
      <c r="K135" s="1084">
        <f>690/kwperhp</f>
        <v>514.53291169297154</v>
      </c>
      <c r="L135" s="1076">
        <f t="shared" si="62"/>
        <v>521.08741337075173</v>
      </c>
      <c r="M135" s="1073">
        <v>0.02</v>
      </c>
      <c r="N135" s="1073">
        <v>0.09</v>
      </c>
      <c r="O135" s="1077">
        <f t="shared" si="63"/>
        <v>1.0839035068042333</v>
      </c>
      <c r="P135" s="1078">
        <f t="shared" si="64"/>
        <v>1.2018239999999999E-5</v>
      </c>
      <c r="Q135" s="1078">
        <f t="shared" si="65"/>
        <v>5.4082079999999994E-5</v>
      </c>
      <c r="R135" s="656">
        <f>O135+P135*CH4_GWP+Q135*N2O_GWP</f>
        <v>1.1003204226442334</v>
      </c>
      <c r="S135" s="1079">
        <f>C135*D135*H135*$C$71*Fuel_Specs!$C$13/1000000</f>
        <v>102.9161952</v>
      </c>
      <c r="T135" s="1080">
        <f>S135*Upstream!$C$95/1000000</f>
        <v>2.1527633741750529</v>
      </c>
      <c r="U135" s="1080">
        <f>S135*Upstream!$D$95/1000000</f>
        <v>2.1729137630501511E-3</v>
      </c>
      <c r="V135" s="1081">
        <f>S135*Upstream!$E$95/1000000</f>
        <v>1.4823732260394636E-5</v>
      </c>
      <c r="W135" s="1078">
        <f t="shared" si="67"/>
        <v>2.2115036904649044</v>
      </c>
      <c r="X135" s="1082">
        <f t="shared" si="61"/>
        <v>3.3118241131091377</v>
      </c>
    </row>
    <row r="136" spans="2:40">
      <c r="B136" s="609" t="s">
        <v>796</v>
      </c>
      <c r="C136" s="1071">
        <v>1</v>
      </c>
      <c r="D136" s="1071">
        <v>1</v>
      </c>
      <c r="E136" s="1071">
        <v>250</v>
      </c>
      <c r="F136" s="1072">
        <v>0.85</v>
      </c>
      <c r="G136" s="1072">
        <v>0.45</v>
      </c>
      <c r="H136" s="1114">
        <v>15.9</v>
      </c>
      <c r="I136" s="1083">
        <f>5/kwperhp</f>
        <v>3.7284993600939971</v>
      </c>
      <c r="J136" s="1083">
        <f>0.3/kwperhp</f>
        <v>0.2237099616056398</v>
      </c>
      <c r="K136" s="1084">
        <f>690/kwperhp</f>
        <v>514.53291169297154</v>
      </c>
      <c r="L136" s="1076">
        <f t="shared" si="62"/>
        <v>521.08741337075173</v>
      </c>
      <c r="M136" s="1073">
        <v>0.02</v>
      </c>
      <c r="N136" s="1073">
        <v>0.09</v>
      </c>
      <c r="O136" s="1077">
        <f t="shared" si="63"/>
        <v>10.236866453151093</v>
      </c>
      <c r="P136" s="1078">
        <f t="shared" si="64"/>
        <v>5.5530432000000007E-5</v>
      </c>
      <c r="Q136" s="1078">
        <f t="shared" si="65"/>
        <v>2.4988694399999997E-4</v>
      </c>
      <c r="R136" s="656">
        <f t="shared" si="66"/>
        <v>10.312721023263093</v>
      </c>
      <c r="S136" s="1079">
        <f>C136*D136*H136*$C$71*Fuel_Specs!$C$13/1000000</f>
        <v>419.58141119999999</v>
      </c>
      <c r="T136" s="1080">
        <f>S136*Upstream!$C$95/1000000</f>
        <v>8.7766506793290624</v>
      </c>
      <c r="U136" s="1080">
        <f>S136*Upstream!$D$95/1000000</f>
        <v>8.8588022647429227E-3</v>
      </c>
      <c r="V136" s="1081">
        <f>S136*Upstream!$E$95/1000000</f>
        <v>6.0435216138531972E-5</v>
      </c>
      <c r="W136" s="1078">
        <f t="shared" si="67"/>
        <v>9.0161304303569185</v>
      </c>
      <c r="X136" s="1082">
        <f t="shared" si="61"/>
        <v>19.328851453620011</v>
      </c>
    </row>
    <row r="137" spans="2:40">
      <c r="B137" s="1109" t="s">
        <v>795</v>
      </c>
      <c r="C137" s="613"/>
      <c r="D137" s="613"/>
      <c r="E137" s="613"/>
      <c r="H137" s="1088"/>
      <c r="I137" s="1074"/>
      <c r="J137" s="1073"/>
      <c r="K137" s="1074"/>
      <c r="L137" s="1085"/>
      <c r="M137" s="1074"/>
      <c r="N137" s="1073"/>
      <c r="O137" s="1086"/>
      <c r="P137" s="1074"/>
      <c r="Q137" s="1087"/>
      <c r="R137" s="1087"/>
      <c r="S137" s="1087"/>
      <c r="T137" s="1087"/>
      <c r="U137" s="1087"/>
      <c r="V137" s="1087"/>
      <c r="W137" s="1087"/>
      <c r="X137" s="1087"/>
      <c r="Y137" s="1087"/>
      <c r="Z137" s="1087"/>
      <c r="AA137" s="1087"/>
      <c r="AB137" s="1087"/>
      <c r="AC137" s="1087"/>
      <c r="AD137" s="1087"/>
      <c r="AE137" s="1087"/>
      <c r="AF137" s="1087"/>
      <c r="AG137" s="1087"/>
      <c r="AH137" s="1087"/>
      <c r="AI137" s="1087"/>
      <c r="AJ137" s="1087"/>
      <c r="AK137" s="1087"/>
      <c r="AL137" s="1087"/>
      <c r="AM137" s="1087"/>
      <c r="AN137" s="1087"/>
    </row>
    <row r="138" spans="2:40">
      <c r="B138" s="609" t="s">
        <v>794</v>
      </c>
      <c r="C138" s="1071">
        <v>1</v>
      </c>
      <c r="D138" s="1071">
        <v>7</v>
      </c>
      <c r="E138" s="1071">
        <v>165</v>
      </c>
      <c r="F138" s="1072">
        <v>0.85</v>
      </c>
      <c r="G138" s="1072">
        <v>0.21</v>
      </c>
      <c r="H138" s="1088">
        <v>0.52</v>
      </c>
      <c r="I138" s="1074">
        <v>2.33</v>
      </c>
      <c r="J138" s="1074">
        <v>0.60599999999999998</v>
      </c>
      <c r="K138" s="1075">
        <v>625</v>
      </c>
      <c r="L138" s="1076">
        <f t="shared" ref="L138:L154" si="68">K138+J138*VOC_C_Ratio/CO2_C_Ratio+I138*CO_C_Ratio/CO2_C_Ratio</f>
        <v>630.54766757391053</v>
      </c>
      <c r="M138" s="1073">
        <v>0.74</v>
      </c>
      <c r="N138" s="1073">
        <v>0.45</v>
      </c>
      <c r="O138" s="1077">
        <f t="shared" ref="O138:O154" si="69">E138*$C$71*L138*C138*D138/1000000*F138*G138</f>
        <v>26.706878744133554</v>
      </c>
      <c r="P138" s="1078">
        <f t="shared" ref="P138:P154" si="70">$C138*$H138*$C$71*$D138*M138/1000000*$F138</f>
        <v>4.7036720640000003E-4</v>
      </c>
      <c r="Q138" s="1078">
        <f t="shared" ref="Q138:Q154" si="71">$C138*$H138*$C$71*$D138*N138/1000000*$F138</f>
        <v>2.8603411199999999E-4</v>
      </c>
      <c r="R138" s="656">
        <f t="shared" ref="R138:R154" si="72">O138+P138*CH4_GWP+Q138*N2O_GWP</f>
        <v>26.803876089669554</v>
      </c>
      <c r="S138" s="1079">
        <f>C138*D138*H138*$C$71*Fuel_Specs!$C$13/1000000</f>
        <v>96.055115520000001</v>
      </c>
      <c r="T138" s="1080">
        <f>S138*Upstream!$C$95/1000000</f>
        <v>2.0092458158967159</v>
      </c>
      <c r="U138" s="1080">
        <f>S138*Upstream!$D$95/1000000</f>
        <v>2.0280528455134741E-3</v>
      </c>
      <c r="V138" s="1081">
        <f>S138*Upstream!$E$95/1000000</f>
        <v>1.3835483443034991E-5</v>
      </c>
      <c r="W138" s="1078">
        <f t="shared" ref="W138:W153" si="73">T138+U138*CH4_GWP+V138*N2O_GWP</f>
        <v>2.0640701111005773</v>
      </c>
      <c r="X138" s="1082">
        <f t="shared" si="61"/>
        <v>28.867946200770131</v>
      </c>
    </row>
    <row r="139" spans="2:40">
      <c r="B139" s="609" t="s">
        <v>780</v>
      </c>
      <c r="C139" s="1071">
        <v>2</v>
      </c>
      <c r="D139" s="1071">
        <v>7</v>
      </c>
      <c r="E139" s="1071">
        <v>250</v>
      </c>
      <c r="F139" s="1072">
        <v>0.85</v>
      </c>
      <c r="G139" s="1072">
        <v>0.43</v>
      </c>
      <c r="H139" s="1088">
        <v>0.17</v>
      </c>
      <c r="I139" s="1074">
        <v>0.42899999999999999</v>
      </c>
      <c r="J139" s="1074">
        <v>0.17499999999999999</v>
      </c>
      <c r="K139" s="1075">
        <v>530</v>
      </c>
      <c r="L139" s="1076">
        <f t="shared" si="68"/>
        <v>531.21892447176219</v>
      </c>
      <c r="M139" s="1073">
        <v>0.74</v>
      </c>
      <c r="N139" s="1073">
        <v>0.45</v>
      </c>
      <c r="O139" s="1077">
        <f t="shared" si="69"/>
        <v>139.6091780677703</v>
      </c>
      <c r="P139" s="1078">
        <f t="shared" si="70"/>
        <v>3.0754778880000001E-4</v>
      </c>
      <c r="Q139" s="1078">
        <f t="shared" si="71"/>
        <v>1.8702230400000002E-4</v>
      </c>
      <c r="R139" s="656">
        <f t="shared" si="72"/>
        <v>139.6725994090823</v>
      </c>
      <c r="S139" s="1079">
        <f>C139*D139*H139*$C$71*Fuel_Specs!$C$13/1000000</f>
        <v>62.805267840000013</v>
      </c>
      <c r="T139" s="1080">
        <f>S139*Upstream!$C$95/1000000</f>
        <v>1.3137376488555452</v>
      </c>
      <c r="U139" s="1080">
        <f>S139*Upstream!$D$95/1000000</f>
        <v>1.3260345528357332E-3</v>
      </c>
      <c r="V139" s="1081">
        <f>S139*Upstream!$E$95/1000000</f>
        <v>9.0462776358305746E-6</v>
      </c>
      <c r="W139" s="1078">
        <f t="shared" si="73"/>
        <v>1.3495843034119159</v>
      </c>
      <c r="X139" s="1082">
        <f t="shared" si="61"/>
        <v>141.02218371249421</v>
      </c>
    </row>
    <row r="140" spans="2:40">
      <c r="B140" s="609" t="s">
        <v>779</v>
      </c>
      <c r="C140" s="1071">
        <v>3</v>
      </c>
      <c r="D140" s="1071">
        <v>7</v>
      </c>
      <c r="E140" s="1071">
        <v>300</v>
      </c>
      <c r="F140" s="1072">
        <v>0.85</v>
      </c>
      <c r="G140" s="1072">
        <v>0.43</v>
      </c>
      <c r="H140" s="1088">
        <v>0.17</v>
      </c>
      <c r="I140" s="1074">
        <v>0.42899999999999999</v>
      </c>
      <c r="J140" s="1074">
        <v>0.17499999999999999</v>
      </c>
      <c r="K140" s="1075">
        <v>530</v>
      </c>
      <c r="L140" s="1076">
        <f t="shared" si="68"/>
        <v>531.21892447176219</v>
      </c>
      <c r="M140" s="1073">
        <v>0.74</v>
      </c>
      <c r="N140" s="1073">
        <v>0.45</v>
      </c>
      <c r="O140" s="1077">
        <f t="shared" si="69"/>
        <v>251.29652052198654</v>
      </c>
      <c r="P140" s="1078">
        <f t="shared" si="70"/>
        <v>4.6132168319999999E-4</v>
      </c>
      <c r="Q140" s="1078">
        <f t="shared" si="71"/>
        <v>2.8053345599999999E-4</v>
      </c>
      <c r="R140" s="656">
        <f t="shared" si="72"/>
        <v>251.39165253395453</v>
      </c>
      <c r="S140" s="1079">
        <f>C140*D140*H140*$C$71*Fuel_Specs!$C$13/1000000</f>
        <v>94.207901759999999</v>
      </c>
      <c r="T140" s="1080">
        <f>S140*Upstream!$C$95/1000000</f>
        <v>1.9706064732833177</v>
      </c>
      <c r="U140" s="1080">
        <f>S140*Upstream!$D$95/1000000</f>
        <v>1.9890518292535993E-3</v>
      </c>
      <c r="V140" s="1081">
        <f>S140*Upstream!$E$95/1000000</f>
        <v>1.3569416453745858E-5</v>
      </c>
      <c r="W140" s="1078">
        <f t="shared" si="73"/>
        <v>2.0243764551178738</v>
      </c>
      <c r="X140" s="1082">
        <f t="shared" si="61"/>
        <v>253.4160289890724</v>
      </c>
    </row>
    <row r="141" spans="2:40">
      <c r="B141" s="609" t="s">
        <v>778</v>
      </c>
      <c r="C141" s="1071">
        <v>4</v>
      </c>
      <c r="D141" s="1071">
        <v>7</v>
      </c>
      <c r="E141" s="1071">
        <v>85</v>
      </c>
      <c r="F141" s="1072">
        <v>0.85</v>
      </c>
      <c r="G141" s="1072">
        <v>0.43</v>
      </c>
      <c r="H141" s="1088">
        <v>0.42</v>
      </c>
      <c r="I141" s="1074">
        <v>1.542</v>
      </c>
      <c r="J141" s="1074">
        <v>0.23</v>
      </c>
      <c r="K141" s="1075">
        <v>590</v>
      </c>
      <c r="L141" s="1076">
        <f t="shared" si="68"/>
        <v>593.13883816879763</v>
      </c>
      <c r="M141" s="1073">
        <v>0.74</v>
      </c>
      <c r="N141" s="1073">
        <v>0.45</v>
      </c>
      <c r="O141" s="1077">
        <f t="shared" si="69"/>
        <v>105.9999613459356</v>
      </c>
      <c r="P141" s="1078">
        <f t="shared" si="70"/>
        <v>1.5196478975999998E-3</v>
      </c>
      <c r="Q141" s="1078">
        <f t="shared" si="71"/>
        <v>9.2411020799999983E-4</v>
      </c>
      <c r="R141" s="656">
        <f t="shared" si="72"/>
        <v>106.3133373853596</v>
      </c>
      <c r="S141" s="1079">
        <f>C141*D141*H141*$C$71*Fuel_Specs!$C$13/1000000</f>
        <v>310.33191168000002</v>
      </c>
      <c r="T141" s="1080">
        <f>S141*Upstream!$C$95/1000000</f>
        <v>6.4914095590509291</v>
      </c>
      <c r="U141" s="1080">
        <f>S141*Upstream!$D$95/1000000</f>
        <v>6.5521707316589161E-3</v>
      </c>
      <c r="V141" s="1081">
        <f>S141*Upstream!$E$95/1000000</f>
        <v>4.4699254200574591E-5</v>
      </c>
      <c r="W141" s="1078">
        <f t="shared" si="73"/>
        <v>6.6685342050941738</v>
      </c>
      <c r="X141" s="1082">
        <f t="shared" si="61"/>
        <v>112.98187159045378</v>
      </c>
    </row>
    <row r="142" spans="2:40">
      <c r="B142" s="609" t="s">
        <v>777</v>
      </c>
      <c r="C142" s="1071">
        <v>3</v>
      </c>
      <c r="D142" s="1071">
        <v>7</v>
      </c>
      <c r="E142" s="1071">
        <v>100</v>
      </c>
      <c r="F142" s="1072">
        <v>0.85</v>
      </c>
      <c r="G142" s="1072">
        <v>0.43</v>
      </c>
      <c r="H142" s="1088">
        <v>0.42</v>
      </c>
      <c r="I142" s="1074">
        <v>1.542</v>
      </c>
      <c r="J142" s="1074">
        <v>0.23</v>
      </c>
      <c r="K142" s="1075">
        <v>590</v>
      </c>
      <c r="L142" s="1076">
        <f t="shared" si="68"/>
        <v>593.13883816879763</v>
      </c>
      <c r="M142" s="1073">
        <v>0.74</v>
      </c>
      <c r="N142" s="1073">
        <v>0.45</v>
      </c>
      <c r="O142" s="1077">
        <f t="shared" si="69"/>
        <v>93.52937765817849</v>
      </c>
      <c r="P142" s="1078">
        <f t="shared" si="70"/>
        <v>1.1397359232E-3</v>
      </c>
      <c r="Q142" s="1078">
        <f t="shared" si="71"/>
        <v>6.9308265600000001E-4</v>
      </c>
      <c r="R142" s="656">
        <f t="shared" si="72"/>
        <v>93.764409687746493</v>
      </c>
      <c r="S142" s="1079">
        <f>C142*D142*H142*$C$71*Fuel_Specs!$C$13/1000000</f>
        <v>232.74893376000003</v>
      </c>
      <c r="T142" s="1080">
        <f>S142*Upstream!$C$95/1000000</f>
        <v>4.8685571692881977</v>
      </c>
      <c r="U142" s="1080">
        <f>S142*Upstream!$D$95/1000000</f>
        <v>4.9141280487441869E-3</v>
      </c>
      <c r="V142" s="1081">
        <f>S142*Upstream!$E$95/1000000</f>
        <v>3.3524440650430945E-5</v>
      </c>
      <c r="W142" s="1078">
        <f t="shared" si="73"/>
        <v>5.0014006538206308</v>
      </c>
      <c r="X142" s="1082">
        <f t="shared" si="61"/>
        <v>98.765810341567118</v>
      </c>
    </row>
    <row r="143" spans="2:40">
      <c r="B143" s="609" t="s">
        <v>776</v>
      </c>
      <c r="C143" s="1071">
        <v>4</v>
      </c>
      <c r="D143" s="1071">
        <v>7</v>
      </c>
      <c r="E143" s="1071">
        <v>55</v>
      </c>
      <c r="F143" s="1072">
        <v>0.85</v>
      </c>
      <c r="G143" s="1072">
        <v>0.43</v>
      </c>
      <c r="H143" s="1088">
        <v>1.02</v>
      </c>
      <c r="I143" s="1074">
        <v>0.90800000000000003</v>
      </c>
      <c r="J143" s="1074">
        <v>0.20699999999999999</v>
      </c>
      <c r="K143" s="1075">
        <v>590</v>
      </c>
      <c r="L143" s="1076">
        <f t="shared" si="68"/>
        <v>592.07113173428581</v>
      </c>
      <c r="M143" s="1073">
        <v>0.74</v>
      </c>
      <c r="N143" s="1073">
        <v>0.45</v>
      </c>
      <c r="O143" s="1077">
        <f t="shared" si="69"/>
        <v>68.464744967736365</v>
      </c>
      <c r="P143" s="1078">
        <f t="shared" si="70"/>
        <v>3.6905734655999999E-3</v>
      </c>
      <c r="Q143" s="1078">
        <f t="shared" si="71"/>
        <v>2.2442676479999999E-3</v>
      </c>
      <c r="R143" s="656">
        <f t="shared" si="72"/>
        <v>69.225801063480361</v>
      </c>
      <c r="S143" s="1079">
        <f>C143*D143*H143*$C$71*Fuel_Specs!$C$13/1000000</f>
        <v>753.66321407999999</v>
      </c>
      <c r="T143" s="1080">
        <f>S143*Upstream!$C$95/1000000</f>
        <v>15.764851786266542</v>
      </c>
      <c r="U143" s="1080">
        <f>S143*Upstream!$D$95/1000000</f>
        <v>1.5912414634028794E-2</v>
      </c>
      <c r="V143" s="1081">
        <f>S143*Upstream!$E$95/1000000</f>
        <v>1.0855533162996686E-4</v>
      </c>
      <c r="W143" s="1078">
        <f t="shared" si="73"/>
        <v>16.19501164094299</v>
      </c>
      <c r="X143" s="1082">
        <f t="shared" si="61"/>
        <v>85.420812704423355</v>
      </c>
    </row>
    <row r="144" spans="2:40">
      <c r="B144" s="609" t="s">
        <v>775</v>
      </c>
      <c r="C144" s="1071">
        <v>3</v>
      </c>
      <c r="D144" s="1071">
        <v>7</v>
      </c>
      <c r="E144" s="1071">
        <v>65</v>
      </c>
      <c r="F144" s="1072">
        <v>0.85</v>
      </c>
      <c r="G144" s="1072">
        <v>0.59</v>
      </c>
      <c r="H144" s="1088">
        <v>0.73</v>
      </c>
      <c r="I144" s="1074">
        <v>2.4079999999999999</v>
      </c>
      <c r="J144" s="1074">
        <v>0.28000000000000003</v>
      </c>
      <c r="K144" s="1075">
        <v>595</v>
      </c>
      <c r="L144" s="1076">
        <f t="shared" si="68"/>
        <v>599.65511662567258</v>
      </c>
      <c r="M144" s="1073">
        <v>0.74</v>
      </c>
      <c r="N144" s="1073">
        <v>0.45</v>
      </c>
      <c r="O144" s="1077">
        <f t="shared" si="69"/>
        <v>84.331560905221323</v>
      </c>
      <c r="P144" s="1078">
        <f t="shared" si="70"/>
        <v>1.9809695808000001E-3</v>
      </c>
      <c r="Q144" s="1078">
        <f t="shared" si="71"/>
        <v>1.204643664E-3</v>
      </c>
      <c r="R144" s="656">
        <f t="shared" si="72"/>
        <v>84.740068956613314</v>
      </c>
      <c r="S144" s="1079">
        <f>C144*D144*H144*$C$71*Fuel_Specs!$C$13/1000000</f>
        <v>404.53981343999999</v>
      </c>
      <c r="T144" s="1080">
        <f>S144*Upstream!$C$95/1000000</f>
        <v>8.4620160323342457</v>
      </c>
      <c r="U144" s="1080">
        <f>S144*Upstream!$D$95/1000000</f>
        <v>8.5412225609125137E-3</v>
      </c>
      <c r="V144" s="1081">
        <f>S144*Upstream!$E$95/1000000</f>
        <v>5.8268670654320447E-5</v>
      </c>
      <c r="W144" s="1078">
        <f t="shared" si="73"/>
        <v>8.6929106602120463</v>
      </c>
      <c r="X144" s="1082">
        <f t="shared" si="61"/>
        <v>93.432979616825364</v>
      </c>
    </row>
    <row r="145" spans="2:24">
      <c r="B145" s="609" t="s">
        <v>774</v>
      </c>
      <c r="C145" s="1071">
        <v>3</v>
      </c>
      <c r="D145" s="1071">
        <v>7</v>
      </c>
      <c r="E145" s="1071">
        <v>65</v>
      </c>
      <c r="F145" s="1072">
        <v>0.85</v>
      </c>
      <c r="G145" s="1072">
        <v>0.59</v>
      </c>
      <c r="H145" s="1088">
        <v>0.49</v>
      </c>
      <c r="I145" s="1074">
        <v>1.7689999999999999</v>
      </c>
      <c r="J145" s="1074">
        <v>0.192</v>
      </c>
      <c r="K145" s="1075">
        <v>596</v>
      </c>
      <c r="L145" s="1076">
        <f t="shared" si="68"/>
        <v>599.37715772169599</v>
      </c>
      <c r="M145" s="1073">
        <v>0.74</v>
      </c>
      <c r="N145" s="1073">
        <v>0.45</v>
      </c>
      <c r="O145" s="1077">
        <f t="shared" si="69"/>
        <v>84.292470588821217</v>
      </c>
      <c r="P145" s="1078">
        <f t="shared" si="70"/>
        <v>1.3296919104000002E-3</v>
      </c>
      <c r="Q145" s="1078">
        <f t="shared" si="71"/>
        <v>8.0859643199999998E-4</v>
      </c>
      <c r="R145" s="656">
        <f t="shared" si="72"/>
        <v>84.566674623317212</v>
      </c>
      <c r="S145" s="1079">
        <f>C145*D145*H145*$C$71*Fuel_Specs!$C$13/1000000</f>
        <v>271.54042271999998</v>
      </c>
      <c r="T145" s="1080">
        <f>S145*Upstream!$C$95/1000000</f>
        <v>5.6799833641695621</v>
      </c>
      <c r="U145" s="1080">
        <f>S145*Upstream!$D$95/1000000</f>
        <v>5.7331493902015506E-3</v>
      </c>
      <c r="V145" s="1081">
        <f>S145*Upstream!$E$95/1000000</f>
        <v>3.9111847425502768E-5</v>
      </c>
      <c r="W145" s="1078">
        <f t="shared" si="73"/>
        <v>5.8349674294574001</v>
      </c>
      <c r="X145" s="1082">
        <f t="shared" si="61"/>
        <v>90.401642052774605</v>
      </c>
    </row>
    <row r="146" spans="2:24">
      <c r="B146" s="609" t="s">
        <v>773</v>
      </c>
      <c r="C146" s="1071">
        <v>3</v>
      </c>
      <c r="D146" s="1071">
        <v>7</v>
      </c>
      <c r="E146" s="1071">
        <v>150</v>
      </c>
      <c r="F146" s="1072">
        <v>0.85</v>
      </c>
      <c r="G146" s="1072">
        <v>0.43</v>
      </c>
      <c r="H146" s="1088">
        <v>1.06</v>
      </c>
      <c r="I146" s="1074">
        <v>2.355</v>
      </c>
      <c r="J146" s="1074">
        <v>0.47299999999999998</v>
      </c>
      <c r="K146" s="1075">
        <v>589</v>
      </c>
      <c r="L146" s="1076">
        <f t="shared" si="68"/>
        <v>594.1728103853203</v>
      </c>
      <c r="M146" s="1088">
        <v>0.74</v>
      </c>
      <c r="N146" s="1073">
        <v>0.45</v>
      </c>
      <c r="O146" s="1077">
        <f t="shared" si="69"/>
        <v>140.53863008276358</v>
      </c>
      <c r="P146" s="1078">
        <f t="shared" si="70"/>
        <v>2.8764763775999997E-3</v>
      </c>
      <c r="Q146" s="1078">
        <f t="shared" si="71"/>
        <v>1.7492086079999997E-3</v>
      </c>
      <c r="R146" s="656">
        <f t="shared" si="72"/>
        <v>141.13180615738756</v>
      </c>
      <c r="S146" s="1079">
        <f>C146*D146*H146*$C$71*Fuel_Specs!$C$13/1000000</f>
        <v>587.41397567999991</v>
      </c>
      <c r="T146" s="1080">
        <f>S146*Upstream!$C$95/1000000</f>
        <v>12.287310951060684</v>
      </c>
      <c r="U146" s="1080">
        <f>S146*Upstream!$D$95/1000000</f>
        <v>1.2402323170640089E-2</v>
      </c>
      <c r="V146" s="1081">
        <f>S146*Upstream!$E$95/1000000</f>
        <v>8.4609302593944749E-5</v>
      </c>
      <c r="W146" s="1078">
        <f t="shared" si="73"/>
        <v>12.622582602499682</v>
      </c>
      <c r="X146" s="1082">
        <f t="shared" si="61"/>
        <v>153.75438875988723</v>
      </c>
    </row>
    <row r="147" spans="2:24">
      <c r="B147" s="609" t="s">
        <v>772</v>
      </c>
      <c r="C147" s="1071">
        <v>1</v>
      </c>
      <c r="D147" s="1071">
        <v>7</v>
      </c>
      <c r="E147" s="1071">
        <v>290</v>
      </c>
      <c r="F147" s="1072">
        <v>0.5</v>
      </c>
      <c r="G147" s="1072">
        <v>0.43</v>
      </c>
      <c r="H147" s="1088">
        <v>0.17</v>
      </c>
      <c r="I147" s="1074">
        <v>0.42899999999999999</v>
      </c>
      <c r="J147" s="1074">
        <v>0.17499999999999999</v>
      </c>
      <c r="K147" s="1075">
        <v>530</v>
      </c>
      <c r="L147" s="1076">
        <f t="shared" si="68"/>
        <v>531.21892447176219</v>
      </c>
      <c r="M147" s="1073">
        <v>0.74</v>
      </c>
      <c r="N147" s="1073">
        <v>0.45</v>
      </c>
      <c r="O147" s="1077">
        <f t="shared" si="69"/>
        <v>47.631366634886334</v>
      </c>
      <c r="P147" s="1078">
        <f t="shared" si="70"/>
        <v>9.0455232000000009E-5</v>
      </c>
      <c r="Q147" s="1078">
        <f t="shared" si="71"/>
        <v>5.5006560000000007E-5</v>
      </c>
      <c r="R147" s="656">
        <f t="shared" si="72"/>
        <v>47.650019970566333</v>
      </c>
      <c r="S147" s="1079">
        <f>C147*D147*H147*$C$71*Fuel_Specs!$C$13/1000000</f>
        <v>31.402633920000007</v>
      </c>
      <c r="T147" s="1080">
        <f>S147*Upstream!$C$95/1000000</f>
        <v>0.65686882442777261</v>
      </c>
      <c r="U147" s="1080">
        <f>S147*Upstream!$D$95/1000000</f>
        <v>6.6301727641786658E-4</v>
      </c>
      <c r="V147" s="1081">
        <f>S147*Upstream!$E$95/1000000</f>
        <v>4.5231388179152873E-6</v>
      </c>
      <c r="W147" s="1078">
        <f t="shared" si="73"/>
        <v>0.67479215170595797</v>
      </c>
      <c r="X147" s="1082">
        <f t="shared" si="61"/>
        <v>48.324812122272292</v>
      </c>
    </row>
    <row r="148" spans="2:24">
      <c r="B148" s="609" t="s">
        <v>771</v>
      </c>
      <c r="C148" s="1071">
        <v>6</v>
      </c>
      <c r="D148" s="1071">
        <v>7</v>
      </c>
      <c r="E148" s="1071">
        <v>250</v>
      </c>
      <c r="F148" s="1072">
        <v>0.85</v>
      </c>
      <c r="G148" s="1072">
        <v>0.59</v>
      </c>
      <c r="H148" s="1088">
        <v>7.0000000000000007E-2</v>
      </c>
      <c r="I148" s="1074">
        <v>0.20300000000000001</v>
      </c>
      <c r="J148" s="1074">
        <v>0.13700000000000001</v>
      </c>
      <c r="K148" s="1075">
        <v>536</v>
      </c>
      <c r="L148" s="1076">
        <f t="shared" si="68"/>
        <v>536.7455273806687</v>
      </c>
      <c r="M148" s="1073">
        <v>0.74</v>
      </c>
      <c r="N148" s="1073">
        <v>0.45</v>
      </c>
      <c r="O148" s="1077">
        <f t="shared" si="69"/>
        <v>580.64899277972916</v>
      </c>
      <c r="P148" s="1078">
        <f t="shared" si="70"/>
        <v>3.7991197440000001E-4</v>
      </c>
      <c r="Q148" s="1078">
        <f t="shared" si="71"/>
        <v>2.3102755200000001E-4</v>
      </c>
      <c r="R148" s="656">
        <f t="shared" si="72"/>
        <v>580.72733678958514</v>
      </c>
      <c r="S148" s="1079">
        <f>C148*D148*H148*$C$71*Fuel_Specs!$C$13/1000000</f>
        <v>77.582977920000019</v>
      </c>
      <c r="T148" s="1080">
        <f>S148*Upstream!$C$95/1000000</f>
        <v>1.6228523897627327</v>
      </c>
      <c r="U148" s="1080">
        <f>S148*Upstream!$D$95/1000000</f>
        <v>1.6380426829147293E-3</v>
      </c>
      <c r="V148" s="1081">
        <f>S148*Upstream!$E$95/1000000</f>
        <v>1.117481355014365E-5</v>
      </c>
      <c r="W148" s="1078">
        <f t="shared" si="73"/>
        <v>1.6671335512735439</v>
      </c>
      <c r="X148" s="1082">
        <f t="shared" si="61"/>
        <v>582.39447034085867</v>
      </c>
    </row>
    <row r="149" spans="2:24">
      <c r="B149" s="609" t="s">
        <v>793</v>
      </c>
      <c r="C149" s="1071">
        <v>1</v>
      </c>
      <c r="D149" s="1071">
        <v>7</v>
      </c>
      <c r="E149" s="1071">
        <v>285</v>
      </c>
      <c r="F149" s="1072">
        <v>0.75</v>
      </c>
      <c r="G149" s="1072">
        <v>0.59</v>
      </c>
      <c r="H149" s="1088">
        <v>7.0000000000000007E-2</v>
      </c>
      <c r="I149" s="1074">
        <v>0.20300000000000001</v>
      </c>
      <c r="J149" s="1074">
        <v>0.13700000000000001</v>
      </c>
      <c r="K149" s="1075">
        <v>536</v>
      </c>
      <c r="L149" s="1076">
        <f t="shared" si="68"/>
        <v>536.7455273806687</v>
      </c>
      <c r="M149" s="1073">
        <v>0.74</v>
      </c>
      <c r="N149" s="1073">
        <v>0.45</v>
      </c>
      <c r="O149" s="1077">
        <f t="shared" si="69"/>
        <v>97.344095848366351</v>
      </c>
      <c r="P149" s="1078">
        <f t="shared" si="70"/>
        <v>5.5869408000000013E-5</v>
      </c>
      <c r="Q149" s="1078">
        <f t="shared" si="71"/>
        <v>3.3974640000000008E-5</v>
      </c>
      <c r="R149" s="656">
        <f t="shared" si="72"/>
        <v>97.355617026286353</v>
      </c>
      <c r="S149" s="1079">
        <f>C149*D149*H149*$C$71*Fuel_Specs!$C$13/1000000</f>
        <v>12.930496320000001</v>
      </c>
      <c r="T149" s="1080">
        <f>S149*Upstream!$C$95/1000000</f>
        <v>0.27047539829378869</v>
      </c>
      <c r="U149" s="1080">
        <f>S149*Upstream!$D$95/1000000</f>
        <v>2.7300711381912152E-4</v>
      </c>
      <c r="V149" s="1081">
        <f>S149*Upstream!$E$95/1000000</f>
        <v>1.8624689250239414E-6</v>
      </c>
      <c r="W149" s="1078">
        <f t="shared" si="73"/>
        <v>0.27785559187892389</v>
      </c>
      <c r="X149" s="1082">
        <f t="shared" si="61"/>
        <v>97.633472618165271</v>
      </c>
    </row>
    <row r="150" spans="2:24">
      <c r="B150" s="609" t="s">
        <v>770</v>
      </c>
      <c r="C150" s="1071">
        <v>3</v>
      </c>
      <c r="D150" s="1071">
        <v>7</v>
      </c>
      <c r="E150" s="1071">
        <v>200</v>
      </c>
      <c r="F150" s="1072">
        <v>0.85</v>
      </c>
      <c r="G150" s="1072">
        <v>0.59</v>
      </c>
      <c r="H150" s="1088">
        <v>0.11</v>
      </c>
      <c r="I150" s="1074">
        <v>0.32200000000000001</v>
      </c>
      <c r="J150" s="1074">
        <v>0.14099999999999999</v>
      </c>
      <c r="K150" s="1075">
        <v>536</v>
      </c>
      <c r="L150" s="1076">
        <f t="shared" si="68"/>
        <v>536.94494566503158</v>
      </c>
      <c r="M150" s="1073">
        <v>0.74</v>
      </c>
      <c r="N150" s="1073">
        <v>0.45</v>
      </c>
      <c r="O150" s="1077">
        <f t="shared" si="69"/>
        <v>232.34588904730634</v>
      </c>
      <c r="P150" s="1078">
        <f t="shared" si="70"/>
        <v>2.9850226560000002E-4</v>
      </c>
      <c r="Q150" s="1078">
        <f t="shared" si="71"/>
        <v>1.8152164800000001E-4</v>
      </c>
      <c r="R150" s="656">
        <f t="shared" si="72"/>
        <v>232.40744505505035</v>
      </c>
      <c r="S150" s="1079">
        <f>C150*D150*H150*$C$71*Fuel_Specs!$C$13/1000000</f>
        <v>60.958054079999997</v>
      </c>
      <c r="T150" s="1080">
        <f>S150*Upstream!$C$95/1000000</f>
        <v>1.2750983062421466</v>
      </c>
      <c r="U150" s="1080">
        <f>S150*Upstream!$D$95/1000000</f>
        <v>1.2870335365758583E-3</v>
      </c>
      <c r="V150" s="1081">
        <f>S150*Upstream!$E$95/1000000</f>
        <v>8.780210646541438E-6</v>
      </c>
      <c r="W150" s="1078">
        <f t="shared" si="73"/>
        <v>1.3098906474292125</v>
      </c>
      <c r="X150" s="1082">
        <f t="shared" si="61"/>
        <v>233.71733570247955</v>
      </c>
    </row>
    <row r="151" spans="2:24">
      <c r="B151" s="609" t="s">
        <v>769</v>
      </c>
      <c r="C151" s="1071">
        <v>3</v>
      </c>
      <c r="D151" s="1071">
        <v>7</v>
      </c>
      <c r="E151" s="1071">
        <v>85</v>
      </c>
      <c r="F151" s="1072">
        <v>0.5</v>
      </c>
      <c r="G151" s="1072">
        <v>0.59</v>
      </c>
      <c r="H151" s="1088">
        <v>0.65</v>
      </c>
      <c r="I151" s="1074">
        <v>2.2650000000000001</v>
      </c>
      <c r="J151" s="1074">
        <v>0.25700000000000001</v>
      </c>
      <c r="K151" s="1075">
        <v>595</v>
      </c>
      <c r="L151" s="1076">
        <f t="shared" si="68"/>
        <v>599.35882933509015</v>
      </c>
      <c r="M151" s="1073">
        <v>0.74</v>
      </c>
      <c r="N151" s="1073">
        <v>0.45</v>
      </c>
      <c r="O151" s="1077">
        <f t="shared" si="69"/>
        <v>64.838379234455786</v>
      </c>
      <c r="P151" s="1078">
        <f t="shared" si="70"/>
        <v>1.0375747199999998E-3</v>
      </c>
      <c r="Q151" s="1078">
        <f t="shared" si="71"/>
        <v>6.309575999999999E-4</v>
      </c>
      <c r="R151" s="656">
        <f t="shared" si="72"/>
        <v>65.05234396725578</v>
      </c>
      <c r="S151" s="1079">
        <f>C151*D151*H151*$C$71*Fuel_Specs!$C$13/1000000</f>
        <v>360.20668319999999</v>
      </c>
      <c r="T151" s="1080">
        <f>S151*Upstream!$C$95/1000000</f>
        <v>7.5346718096126848</v>
      </c>
      <c r="U151" s="1080">
        <f>S151*Upstream!$D$95/1000000</f>
        <v>7.6051981706755272E-3</v>
      </c>
      <c r="V151" s="1081">
        <f>S151*Upstream!$E$95/1000000</f>
        <v>5.1883062911381214E-5</v>
      </c>
      <c r="W151" s="1078">
        <f t="shared" si="73"/>
        <v>7.7402629166271648</v>
      </c>
      <c r="X151" s="1082">
        <f t="shared" si="61"/>
        <v>72.792606883882939</v>
      </c>
    </row>
    <row r="152" spans="2:24">
      <c r="B152" s="609" t="s">
        <v>768</v>
      </c>
      <c r="C152" s="1071">
        <v>3</v>
      </c>
      <c r="D152" s="1071">
        <v>7</v>
      </c>
      <c r="E152" s="1071">
        <v>200</v>
      </c>
      <c r="F152" s="1072">
        <v>0.85</v>
      </c>
      <c r="G152" s="1072">
        <v>0.59</v>
      </c>
      <c r="H152" s="1088">
        <v>0.11</v>
      </c>
      <c r="I152" s="1074">
        <v>0.32200000000000001</v>
      </c>
      <c r="J152" s="1074">
        <v>0.14099999999999999</v>
      </c>
      <c r="K152" s="1075">
        <v>536</v>
      </c>
      <c r="L152" s="1076">
        <f t="shared" si="68"/>
        <v>536.94494566503158</v>
      </c>
      <c r="M152" s="1073">
        <v>0.74</v>
      </c>
      <c r="N152" s="1073">
        <v>0.45</v>
      </c>
      <c r="O152" s="1077">
        <f t="shared" si="69"/>
        <v>232.34588904730634</v>
      </c>
      <c r="P152" s="1078">
        <f t="shared" si="70"/>
        <v>2.9850226560000002E-4</v>
      </c>
      <c r="Q152" s="1078">
        <f t="shared" si="71"/>
        <v>1.8152164800000001E-4</v>
      </c>
      <c r="R152" s="656">
        <f t="shared" si="72"/>
        <v>232.40744505505035</v>
      </c>
      <c r="S152" s="1079">
        <f>C152*D152*H152*$C$71*Fuel_Specs!$C$13/1000000</f>
        <v>60.958054079999997</v>
      </c>
      <c r="T152" s="1080">
        <f>S152*Upstream!$C$95/1000000</f>
        <v>1.2750983062421466</v>
      </c>
      <c r="U152" s="1080">
        <f>S152*Upstream!$D$95/1000000</f>
        <v>1.2870335365758583E-3</v>
      </c>
      <c r="V152" s="1081">
        <f>S152*Upstream!$E$95/1000000</f>
        <v>8.780210646541438E-6</v>
      </c>
      <c r="W152" s="1078">
        <f t="shared" si="73"/>
        <v>1.3098906474292125</v>
      </c>
      <c r="X152" s="1082">
        <f t="shared" si="61"/>
        <v>233.71733570247955</v>
      </c>
    </row>
    <row r="153" spans="2:24">
      <c r="B153" s="609" t="s">
        <v>767</v>
      </c>
      <c r="C153" s="1071">
        <v>3</v>
      </c>
      <c r="D153" s="1071">
        <v>7</v>
      </c>
      <c r="E153" s="1071">
        <v>100</v>
      </c>
      <c r="F153" s="1072">
        <v>0.85</v>
      </c>
      <c r="G153" s="1072">
        <v>0.21</v>
      </c>
      <c r="H153" s="1088">
        <v>0.65</v>
      </c>
      <c r="I153" s="1074">
        <v>5.2880000000000003</v>
      </c>
      <c r="J153" s="1074">
        <v>0.83899999999999997</v>
      </c>
      <c r="K153" s="1075">
        <v>693</v>
      </c>
      <c r="L153" s="1076">
        <f t="shared" si="68"/>
        <v>703.92055081893022</v>
      </c>
      <c r="M153" s="1073">
        <v>0.74</v>
      </c>
      <c r="N153" s="1073">
        <v>0.45</v>
      </c>
      <c r="O153" s="1077">
        <f t="shared" si="69"/>
        <v>54.208347219396352</v>
      </c>
      <c r="P153" s="1078">
        <f t="shared" si="70"/>
        <v>1.7638770239999995E-3</v>
      </c>
      <c r="Q153" s="1078">
        <f t="shared" si="71"/>
        <v>1.0726279199999998E-3</v>
      </c>
      <c r="R153" s="656">
        <f t="shared" si="72"/>
        <v>54.572087265156355</v>
      </c>
      <c r="S153" s="1079">
        <f>C153*D153*H153*$C$71*Fuel_Specs!$C$13/1000000</f>
        <v>360.20668319999999</v>
      </c>
      <c r="T153" s="1080">
        <f>S153*Upstream!$C$95/1000000</f>
        <v>7.5346718096126848</v>
      </c>
      <c r="U153" s="1080">
        <f>S153*Upstream!$D$95/1000000</f>
        <v>7.6051981706755272E-3</v>
      </c>
      <c r="V153" s="1081">
        <f>S153*Upstream!$E$95/1000000</f>
        <v>5.1883062911381214E-5</v>
      </c>
      <c r="W153" s="1078">
        <f t="shared" si="73"/>
        <v>7.7402629166271648</v>
      </c>
      <c r="X153" s="1082">
        <f t="shared" si="61"/>
        <v>62.312350181783522</v>
      </c>
    </row>
    <row r="154" spans="2:24">
      <c r="B154" s="609" t="s">
        <v>766</v>
      </c>
      <c r="C154" s="1071">
        <v>6</v>
      </c>
      <c r="D154" s="1071">
        <v>7</v>
      </c>
      <c r="E154" s="1071">
        <v>50</v>
      </c>
      <c r="F154" s="1072">
        <v>0.85</v>
      </c>
      <c r="G154" s="1072">
        <v>0.21</v>
      </c>
      <c r="H154" s="1088">
        <v>3.66</v>
      </c>
      <c r="I154" s="1074">
        <v>5.8730000000000002</v>
      </c>
      <c r="J154" s="1074">
        <v>1.516</v>
      </c>
      <c r="K154" s="1075">
        <v>691</v>
      </c>
      <c r="L154" s="1076">
        <f t="shared" si="68"/>
        <v>704.94769641702123</v>
      </c>
      <c r="M154" s="1073">
        <v>0.74</v>
      </c>
      <c r="N154" s="1073">
        <v>0.45</v>
      </c>
      <c r="O154" s="1077">
        <f t="shared" si="69"/>
        <v>54.287446863754539</v>
      </c>
      <c r="P154" s="1078">
        <f t="shared" si="70"/>
        <v>1.9863968947200002E-2</v>
      </c>
      <c r="Q154" s="1078">
        <f t="shared" si="71"/>
        <v>1.2079440576000001E-2</v>
      </c>
      <c r="R154" s="656">
        <f t="shared" si="72"/>
        <v>58.383719379082542</v>
      </c>
      <c r="S154" s="1079">
        <f>C154*D154*H154*$C$71*Fuel_Specs!$C$13/1000000</f>
        <v>4056.4814169599999</v>
      </c>
      <c r="T154" s="1080">
        <f>S154*Upstream!$C$95/1000000</f>
        <v>84.85199637902285</v>
      </c>
      <c r="U154" s="1080">
        <f>S154*Upstream!$D$95/1000000</f>
        <v>8.5646231706684395E-2</v>
      </c>
      <c r="V154" s="1081">
        <f>S154*Upstream!$E$95/1000000</f>
        <v>5.8428310847893927E-4</v>
      </c>
      <c r="W154" s="1078">
        <f>T154+U154*CH4_GWP+V154*N2O_GWP</f>
        <v>87.167268538016685</v>
      </c>
      <c r="X154" s="1082">
        <f t="shared" si="61"/>
        <v>145.55098791709923</v>
      </c>
    </row>
    <row r="155" spans="2:24">
      <c r="B155" s="1100"/>
      <c r="C155" s="1100"/>
      <c r="D155" s="1100"/>
      <c r="E155" s="1100"/>
      <c r="F155" s="1100"/>
      <c r="G155" s="1100"/>
      <c r="H155" s="1115"/>
      <c r="I155" s="1101"/>
      <c r="J155" s="1101"/>
      <c r="K155" s="1100"/>
      <c r="L155" s="1102"/>
      <c r="M155" s="1102"/>
      <c r="N155" s="1103" t="s">
        <v>746</v>
      </c>
      <c r="O155" s="1104">
        <f>SUM(O111:O154)</f>
        <v>3416.5711533268213</v>
      </c>
      <c r="P155" s="1105">
        <f t="shared" ref="P155:W155" si="74">SUM(P111:P154)</f>
        <v>4.8582642259199997E-2</v>
      </c>
      <c r="Q155" s="1106">
        <f t="shared" si="74"/>
        <v>2.9806390800000002E-2</v>
      </c>
      <c r="R155" s="1107">
        <f t="shared" si="74"/>
        <v>3426.6680238417011</v>
      </c>
      <c r="S155" s="1106">
        <f t="shared" si="74"/>
        <v>10587.437609279999</v>
      </c>
      <c r="T155" s="1106">
        <f>SUM(T111:T154)</f>
        <v>221.46415214173669</v>
      </c>
      <c r="U155" s="1106">
        <f t="shared" si="74"/>
        <v>0.22353711048034638</v>
      </c>
      <c r="V155" s="1106">
        <f t="shared" si="74"/>
        <v>1.5249819538956234E-3</v>
      </c>
      <c r="W155" s="1106">
        <f t="shared" si="74"/>
        <v>227.50702452600618</v>
      </c>
      <c r="X155" s="1108">
        <f>SUM(X111:X154)</f>
        <v>3654.1750483677074</v>
      </c>
    </row>
    <row r="156" spans="2:24">
      <c r="L156" s="610"/>
      <c r="M156" s="610"/>
      <c r="N156" s="610"/>
      <c r="P156" s="612"/>
      <c r="Q156" s="612"/>
      <c r="R156" s="612"/>
    </row>
    <row r="157" spans="2:24">
      <c r="L157" s="610"/>
      <c r="M157" s="610"/>
      <c r="N157" s="610"/>
      <c r="P157" s="612"/>
      <c r="Q157" s="612"/>
      <c r="R157" s="612"/>
    </row>
    <row r="158" spans="2:24" ht="15.75">
      <c r="B158" s="604" t="s">
        <v>792</v>
      </c>
      <c r="C158" s="605"/>
      <c r="D158" s="605"/>
      <c r="E158" s="605"/>
      <c r="F158" s="605"/>
      <c r="G158" s="605"/>
      <c r="H158" s="1111"/>
      <c r="K158" s="606"/>
      <c r="L158" s="616"/>
      <c r="M158" s="609"/>
      <c r="N158" s="609"/>
      <c r="O158" s="606"/>
      <c r="P158" s="615"/>
      <c r="Q158" s="615"/>
      <c r="R158" s="615"/>
      <c r="X158" s="606"/>
    </row>
    <row r="159" spans="2:24" ht="50.25" thickBot="1">
      <c r="B159" s="1090" t="s">
        <v>790</v>
      </c>
      <c r="C159" s="1091" t="s">
        <v>789</v>
      </c>
      <c r="D159" s="1092" t="s">
        <v>788</v>
      </c>
      <c r="E159" s="1093" t="s">
        <v>787</v>
      </c>
      <c r="F159" s="1093" t="s">
        <v>786</v>
      </c>
      <c r="G159" s="1093" t="s">
        <v>785</v>
      </c>
      <c r="H159" s="1112" t="s">
        <v>784</v>
      </c>
      <c r="I159" s="1092" t="s">
        <v>840</v>
      </c>
      <c r="J159" s="1092" t="s">
        <v>841</v>
      </c>
      <c r="K159" s="1092" t="s">
        <v>844</v>
      </c>
      <c r="L159" s="1093" t="s">
        <v>843</v>
      </c>
      <c r="M159" s="1093" t="s">
        <v>855</v>
      </c>
      <c r="N159" s="1093" t="s">
        <v>853</v>
      </c>
      <c r="O159" s="1094" t="s">
        <v>845</v>
      </c>
      <c r="P159" s="1095" t="s">
        <v>783</v>
      </c>
      <c r="Q159" s="1095" t="s">
        <v>782</v>
      </c>
      <c r="R159" s="1096" t="s">
        <v>856</v>
      </c>
      <c r="S159" s="1096" t="s">
        <v>851</v>
      </c>
      <c r="T159" s="1094" t="s">
        <v>847</v>
      </c>
      <c r="U159" s="1092" t="s">
        <v>848</v>
      </c>
      <c r="V159" s="1092" t="s">
        <v>849</v>
      </c>
      <c r="W159" s="1094" t="s">
        <v>858</v>
      </c>
      <c r="X159" s="1096" t="s">
        <v>857</v>
      </c>
    </row>
    <row r="160" spans="2:24" ht="13.5" thickTop="1">
      <c r="B160" s="1069" t="s">
        <v>781</v>
      </c>
      <c r="C160" s="609"/>
      <c r="D160" s="609"/>
      <c r="E160" s="609"/>
      <c r="F160" s="609"/>
      <c r="G160" s="609"/>
      <c r="H160" s="1113"/>
      <c r="K160" s="616"/>
      <c r="L160" s="616"/>
      <c r="M160" s="613"/>
      <c r="N160" s="613"/>
      <c r="O160" s="616"/>
      <c r="P160" s="1070"/>
      <c r="Q160" s="1070"/>
      <c r="X160" s="616"/>
    </row>
    <row r="161" spans="2:24">
      <c r="B161" s="609" t="s">
        <v>780</v>
      </c>
      <c r="C161" s="1156">
        <v>2</v>
      </c>
      <c r="D161" s="1071">
        <v>12</v>
      </c>
      <c r="E161" s="1071">
        <v>250</v>
      </c>
      <c r="F161" s="1072">
        <v>0.85</v>
      </c>
      <c r="G161" s="1157">
        <v>0.43</v>
      </c>
      <c r="H161" s="1088">
        <v>0.17399999999999999</v>
      </c>
      <c r="I161" s="1073">
        <v>0.371</v>
      </c>
      <c r="J161" s="1073">
        <v>0.16600000000000001</v>
      </c>
      <c r="K161" s="1075">
        <v>531</v>
      </c>
      <c r="L161" s="1076">
        <f t="shared" ref="L161:L175" si="75">K161+J161*VOC_C_Ratio/CO2_C_Ratio+I161*CO_C_Ratio/CO2_C_Ratio</f>
        <v>532.09977542041634</v>
      </c>
      <c r="M161" s="1073">
        <v>0.74</v>
      </c>
      <c r="N161" s="1073">
        <v>0.45</v>
      </c>
      <c r="O161" s="618">
        <f t="shared" ref="O161:O175" si="76">E161*$C$71*L161*C161*D161/1000000*F161*G161</f>
        <v>239.72686925217815</v>
      </c>
      <c r="P161" s="1078">
        <f t="shared" ref="P161:P175" si="77">$C161*$H161*$C$71*$D161*M161/1000000*$F161</f>
        <v>5.396300697599999E-4</v>
      </c>
      <c r="Q161" s="1078">
        <f t="shared" ref="Q161:Q175" si="78">$C161*$H161*$C$71*$D161*N161/1000000*$F161</f>
        <v>3.2815342079999996E-4</v>
      </c>
      <c r="R161" s="656">
        <f t="shared" ref="R161:R175" si="79">O161+P161*CH4_GWP+Q161*N2O_GWP</f>
        <v>239.83814972332056</v>
      </c>
      <c r="S161" s="1079">
        <f>C161*D161*H161*$C$71*Fuel_Specs!$C$13/1000000</f>
        <v>110.19949516800001</v>
      </c>
      <c r="T161" s="1080">
        <f>S161*Upstream!$C$95/1000000</f>
        <v>2.3051127821935955</v>
      </c>
      <c r="U161" s="1080">
        <f>S161*Upstream!$D$95/1000000</f>
        <v>2.3266891985890847E-3</v>
      </c>
      <c r="V161" s="1081">
        <f>S161*Upstream!$E$95/1000000</f>
        <v>1.5872796389591795E-5</v>
      </c>
      <c r="W161" s="1078">
        <f t="shared" ref="W161:W175" si="80">T161+U161*CH4_GWP+V161*N2O_GWP</f>
        <v>2.3680101054824214</v>
      </c>
      <c r="X161" s="1082">
        <f>R161+W161</f>
        <v>242.20615982880298</v>
      </c>
    </row>
    <row r="162" spans="2:24">
      <c r="B162" s="609" t="s">
        <v>779</v>
      </c>
      <c r="C162" s="1156">
        <v>2</v>
      </c>
      <c r="D162" s="1071">
        <v>12</v>
      </c>
      <c r="E162" s="1071">
        <v>300</v>
      </c>
      <c r="F162" s="1072">
        <v>0.85</v>
      </c>
      <c r="G162" s="1157">
        <v>0.43</v>
      </c>
      <c r="H162" s="1088">
        <v>0.17399999999999999</v>
      </c>
      <c r="I162" s="1073">
        <v>0.371</v>
      </c>
      <c r="J162" s="1073">
        <v>0.16600000000000001</v>
      </c>
      <c r="K162" s="1075">
        <v>531</v>
      </c>
      <c r="L162" s="1076">
        <f t="shared" si="75"/>
        <v>532.09977542041634</v>
      </c>
      <c r="M162" s="1073">
        <v>0.74</v>
      </c>
      <c r="N162" s="1073">
        <v>0.45</v>
      </c>
      <c r="O162" s="618">
        <f t="shared" si="76"/>
        <v>287.67224310261378</v>
      </c>
      <c r="P162" s="1078">
        <f t="shared" si="77"/>
        <v>5.396300697599999E-4</v>
      </c>
      <c r="Q162" s="1078">
        <f t="shared" si="78"/>
        <v>3.2815342079999996E-4</v>
      </c>
      <c r="R162" s="656">
        <f t="shared" si="79"/>
        <v>287.78352357375616</v>
      </c>
      <c r="S162" s="1079">
        <f>C162*D162*H162*$C$71*Fuel_Specs!$C$13/1000000</f>
        <v>110.19949516800001</v>
      </c>
      <c r="T162" s="1080">
        <f>S162*Upstream!$C$95/1000000</f>
        <v>2.3051127821935955</v>
      </c>
      <c r="U162" s="1080">
        <f>S162*Upstream!$D$95/1000000</f>
        <v>2.3266891985890847E-3</v>
      </c>
      <c r="V162" s="1081">
        <f>S162*Upstream!$E$95/1000000</f>
        <v>1.5872796389591795E-5</v>
      </c>
      <c r="W162" s="1078">
        <f t="shared" si="80"/>
        <v>2.3680101054824214</v>
      </c>
      <c r="X162" s="1082">
        <f t="shared" ref="X162:X175" si="81">R162+W162</f>
        <v>290.15153367923858</v>
      </c>
    </row>
    <row r="163" spans="2:24">
      <c r="B163" s="609" t="s">
        <v>778</v>
      </c>
      <c r="C163" s="1156">
        <v>3</v>
      </c>
      <c r="D163" s="1071">
        <v>12</v>
      </c>
      <c r="E163" s="1071">
        <v>85</v>
      </c>
      <c r="F163" s="1072">
        <v>0.85</v>
      </c>
      <c r="G163" s="1157">
        <v>0.43</v>
      </c>
      <c r="H163" s="1088">
        <v>0.42199999999999999</v>
      </c>
      <c r="I163" s="1073">
        <v>1.359</v>
      </c>
      <c r="J163" s="1073">
        <v>0.20799999999999999</v>
      </c>
      <c r="K163" s="1075">
        <v>590</v>
      </c>
      <c r="L163" s="1076">
        <f t="shared" si="75"/>
        <v>592.78281993955227</v>
      </c>
      <c r="M163" s="1073">
        <v>0.74</v>
      </c>
      <c r="N163" s="1073">
        <v>0.45</v>
      </c>
      <c r="O163" s="618">
        <f t="shared" si="76"/>
        <v>136.20386218681787</v>
      </c>
      <c r="P163" s="1078">
        <f t="shared" si="77"/>
        <v>1.9631369779199996E-3</v>
      </c>
      <c r="Q163" s="1078">
        <f t="shared" si="78"/>
        <v>1.1937995135999999E-3</v>
      </c>
      <c r="R163" s="656">
        <f t="shared" si="79"/>
        <v>136.60869286631868</v>
      </c>
      <c r="S163" s="1079">
        <f>C163*D163*H163*$C$71*Fuel_Specs!$C$13/1000000</f>
        <v>400.89816345600002</v>
      </c>
      <c r="T163" s="1080">
        <f>S163*Upstream!$C$95/1000000</f>
        <v>8.3858413283249753</v>
      </c>
      <c r="U163" s="1080">
        <f>S163*Upstream!$D$95/1000000</f>
        <v>8.4643348431430489E-3</v>
      </c>
      <c r="V163" s="1081">
        <f>S163*Upstream!$E$95/1000000</f>
        <v>5.7744138589721874E-5</v>
      </c>
      <c r="W163" s="1078">
        <f t="shared" si="80"/>
        <v>8.6146574527032875</v>
      </c>
      <c r="X163" s="1082">
        <f t="shared" si="81"/>
        <v>145.22335031902196</v>
      </c>
    </row>
    <row r="164" spans="2:24">
      <c r="B164" s="609" t="s">
        <v>777</v>
      </c>
      <c r="C164" s="1156">
        <v>2</v>
      </c>
      <c r="D164" s="1071">
        <v>12</v>
      </c>
      <c r="E164" s="1071">
        <v>100</v>
      </c>
      <c r="F164" s="1072">
        <v>0.85</v>
      </c>
      <c r="G164" s="1157">
        <v>0.43</v>
      </c>
      <c r="H164" s="1088">
        <v>0.42199999999999999</v>
      </c>
      <c r="I164" s="1073">
        <v>1.359</v>
      </c>
      <c r="J164" s="1073">
        <v>0.20799999999999999</v>
      </c>
      <c r="K164" s="1075">
        <v>590</v>
      </c>
      <c r="L164" s="1076">
        <f t="shared" si="75"/>
        <v>592.78281993955227</v>
      </c>
      <c r="M164" s="1073">
        <v>0.74</v>
      </c>
      <c r="N164" s="1073">
        <v>0.45</v>
      </c>
      <c r="O164" s="618">
        <f t="shared" si="76"/>
        <v>106.82655857789634</v>
      </c>
      <c r="P164" s="1078">
        <f t="shared" si="77"/>
        <v>1.30875798528E-3</v>
      </c>
      <c r="Q164" s="1078">
        <f t="shared" si="78"/>
        <v>7.9586634240000006E-4</v>
      </c>
      <c r="R164" s="656">
        <f t="shared" si="79"/>
        <v>107.09644569756354</v>
      </c>
      <c r="S164" s="1079">
        <f>C164*D164*H164*$C$71*Fuel_Specs!$C$13/1000000</f>
        <v>267.26544230399998</v>
      </c>
      <c r="T164" s="1080">
        <f>S164*Upstream!$C$95/1000000</f>
        <v>5.5905608855499827</v>
      </c>
      <c r="U164" s="1080">
        <f>S164*Upstream!$D$95/1000000</f>
        <v>5.642889895428699E-3</v>
      </c>
      <c r="V164" s="1081">
        <f>S164*Upstream!$E$95/1000000</f>
        <v>3.8496092393147914E-5</v>
      </c>
      <c r="W164" s="1078">
        <f t="shared" si="80"/>
        <v>5.7431049684688587</v>
      </c>
      <c r="X164" s="1082">
        <f t="shared" si="81"/>
        <v>112.83955066603239</v>
      </c>
    </row>
    <row r="165" spans="2:24">
      <c r="B165" s="609" t="s">
        <v>776</v>
      </c>
      <c r="C165" s="1156">
        <v>3</v>
      </c>
      <c r="D165" s="1071">
        <v>12</v>
      </c>
      <c r="E165" s="1071">
        <v>55</v>
      </c>
      <c r="F165" s="1072">
        <v>0.85</v>
      </c>
      <c r="G165" s="1157">
        <v>0.43</v>
      </c>
      <c r="H165" s="1088">
        <v>1.02</v>
      </c>
      <c r="I165" s="1073">
        <v>0.73399999999999999</v>
      </c>
      <c r="J165" s="1073">
        <v>0.189</v>
      </c>
      <c r="K165" s="1075">
        <v>590</v>
      </c>
      <c r="L165" s="1076">
        <f t="shared" si="75"/>
        <v>591.74170876326855</v>
      </c>
      <c r="M165" s="1073">
        <v>0.74</v>
      </c>
      <c r="N165" s="1073">
        <v>0.45</v>
      </c>
      <c r="O165" s="618">
        <f t="shared" si="76"/>
        <v>87.97712375422698</v>
      </c>
      <c r="P165" s="1078">
        <f t="shared" si="77"/>
        <v>4.7450230271999993E-3</v>
      </c>
      <c r="Q165" s="1078">
        <f t="shared" si="78"/>
        <v>2.8854869759999996E-3</v>
      </c>
      <c r="R165" s="656">
        <f t="shared" si="79"/>
        <v>88.955624448754975</v>
      </c>
      <c r="S165" s="1079">
        <f>C165*D165*H165*$C$71*Fuel_Specs!$C$13/1000000</f>
        <v>968.99556096000003</v>
      </c>
      <c r="T165" s="1080">
        <f>S165*Upstream!$C$95/1000000</f>
        <v>20.269095153771268</v>
      </c>
      <c r="U165" s="1080">
        <f>S165*Upstream!$D$95/1000000</f>
        <v>2.0458818815179882E-2</v>
      </c>
      <c r="V165" s="1081">
        <f>S165*Upstream!$E$95/1000000</f>
        <v>1.3957114066710026E-4</v>
      </c>
      <c r="W165" s="1078">
        <f t="shared" si="80"/>
        <v>20.82215782406956</v>
      </c>
      <c r="X165" s="1082">
        <f t="shared" si="81"/>
        <v>109.77778227282454</v>
      </c>
    </row>
    <row r="166" spans="2:24">
      <c r="B166" s="609" t="s">
        <v>775</v>
      </c>
      <c r="C166" s="1156">
        <v>2</v>
      </c>
      <c r="D166" s="1071">
        <v>12</v>
      </c>
      <c r="E166" s="1071">
        <v>65</v>
      </c>
      <c r="F166" s="1072">
        <v>0.85</v>
      </c>
      <c r="G166" s="1157">
        <v>0.59</v>
      </c>
      <c r="H166" s="1088">
        <v>0.73199999999999998</v>
      </c>
      <c r="I166" s="1073">
        <v>2.1629999999999998</v>
      </c>
      <c r="J166" s="1073">
        <v>0.254</v>
      </c>
      <c r="K166" s="1075">
        <v>595</v>
      </c>
      <c r="L166" s="1076">
        <f t="shared" si="75"/>
        <v>599.18923386197048</v>
      </c>
      <c r="M166" s="1073">
        <v>0.74</v>
      </c>
      <c r="N166" s="1073">
        <v>0.45</v>
      </c>
      <c r="O166" s="618">
        <f t="shared" si="76"/>
        <v>96.304048240309271</v>
      </c>
      <c r="P166" s="1078">
        <f t="shared" si="77"/>
        <v>2.2701678796799999E-3</v>
      </c>
      <c r="Q166" s="1078">
        <f t="shared" si="78"/>
        <v>1.3805074944000001E-3</v>
      </c>
      <c r="R166" s="656">
        <f t="shared" si="79"/>
        <v>96.772193670632475</v>
      </c>
      <c r="S166" s="1079">
        <f>C166*D166*H166*$C$71*Fuel_Specs!$C$13/1000000</f>
        <v>463.59787622399989</v>
      </c>
      <c r="T166" s="1080">
        <f>S166*Upstream!$C$95/1000000</f>
        <v>9.6973710147454657</v>
      </c>
      <c r="U166" s="1080">
        <f>S166*Upstream!$D$95/1000000</f>
        <v>9.788140766478215E-3</v>
      </c>
      <c r="V166" s="1081">
        <f>S166*Upstream!$E$95/1000000</f>
        <v>6.6775212397593054E-5</v>
      </c>
      <c r="W166" s="1078">
        <f t="shared" si="80"/>
        <v>9.9619735472019038</v>
      </c>
      <c r="X166" s="1082">
        <f t="shared" si="81"/>
        <v>106.73416721783438</v>
      </c>
    </row>
    <row r="167" spans="2:24">
      <c r="B167" s="609" t="s">
        <v>774</v>
      </c>
      <c r="C167" s="1156">
        <v>2</v>
      </c>
      <c r="D167" s="1071">
        <v>12</v>
      </c>
      <c r="E167" s="1071">
        <v>65</v>
      </c>
      <c r="F167" s="1072">
        <v>0.85</v>
      </c>
      <c r="G167" s="1157">
        <v>0.59</v>
      </c>
      <c r="H167" s="1088">
        <v>0.48899999999999999</v>
      </c>
      <c r="I167" s="1073">
        <v>1.5029999999999999</v>
      </c>
      <c r="J167" s="1073">
        <v>0.17699999999999999</v>
      </c>
      <c r="K167" s="1075">
        <v>596</v>
      </c>
      <c r="L167" s="1076">
        <f t="shared" si="75"/>
        <v>598.91253325043328</v>
      </c>
      <c r="M167" s="1073">
        <v>0.74</v>
      </c>
      <c r="N167" s="1073">
        <v>0.45</v>
      </c>
      <c r="O167" s="618">
        <f t="shared" si="76"/>
        <v>96.259575830700285</v>
      </c>
      <c r="P167" s="1078">
        <f t="shared" si="77"/>
        <v>1.51654657536E-3</v>
      </c>
      <c r="Q167" s="1078">
        <f t="shared" si="78"/>
        <v>9.2222426880000019E-4</v>
      </c>
      <c r="R167" s="656">
        <f t="shared" si="79"/>
        <v>96.572312327186694</v>
      </c>
      <c r="S167" s="1079">
        <f>C167*D167*H167*$C$71*Fuel_Specs!$C$13/1000000</f>
        <v>309.69858124800004</v>
      </c>
      <c r="T167" s="1080">
        <f>S167*Upstream!$C$95/1000000</f>
        <v>6.4781617844406219</v>
      </c>
      <c r="U167" s="1080">
        <f>S167*Upstream!$D$95/1000000</f>
        <v>6.538798954655531E-3</v>
      </c>
      <c r="V167" s="1081">
        <f>S167*Upstream!$E$95/1000000</f>
        <v>4.4608031232818317E-5</v>
      </c>
      <c r="W167" s="1078">
        <f t="shared" si="80"/>
        <v>6.6549249516143902</v>
      </c>
      <c r="X167" s="1082">
        <f t="shared" si="81"/>
        <v>103.22723727880108</v>
      </c>
    </row>
    <row r="168" spans="2:24">
      <c r="B168" s="609" t="s">
        <v>773</v>
      </c>
      <c r="C168" s="1156">
        <v>2</v>
      </c>
      <c r="D168" s="1071">
        <v>12</v>
      </c>
      <c r="E168" s="1071">
        <v>150</v>
      </c>
      <c r="F168" s="1072">
        <v>0.85</v>
      </c>
      <c r="G168" s="1157">
        <v>0.43</v>
      </c>
      <c r="H168" s="1088">
        <v>1.0580000000000001</v>
      </c>
      <c r="I168" s="1073">
        <v>2.214</v>
      </c>
      <c r="J168" s="1073">
        <v>0.44500000000000001</v>
      </c>
      <c r="K168" s="1075">
        <v>589</v>
      </c>
      <c r="L168" s="1076">
        <f t="shared" si="75"/>
        <v>593.86409634100994</v>
      </c>
      <c r="M168" s="1073">
        <v>0.74</v>
      </c>
      <c r="N168" s="1073">
        <v>0.45</v>
      </c>
      <c r="O168" s="618">
        <f t="shared" si="76"/>
        <v>160.53212628923248</v>
      </c>
      <c r="P168" s="1078">
        <f t="shared" si="77"/>
        <v>3.2811989299199999E-3</v>
      </c>
      <c r="Q168" s="1078">
        <f t="shared" si="78"/>
        <v>1.9953236735999998E-3</v>
      </c>
      <c r="R168" s="656">
        <f t="shared" si="79"/>
        <v>161.20876271721329</v>
      </c>
      <c r="S168" s="1079">
        <f>C168*D168*H168*$C$71*Fuel_Specs!$C$13/1000000</f>
        <v>670.06359705600016</v>
      </c>
      <c r="T168" s="1080">
        <f>S168*Upstream!$C$95/1000000</f>
        <v>14.016145537705885</v>
      </c>
      <c r="U168" s="1080">
        <f>S168*Upstream!$D$95/1000000</f>
        <v>1.4147340069581908E-2</v>
      </c>
      <c r="V168" s="1081">
        <f>S168*Upstream!$E$95/1000000</f>
        <v>9.651389988613863E-5</v>
      </c>
      <c r="W168" s="1078">
        <f t="shared" si="80"/>
        <v>14.398590181611501</v>
      </c>
      <c r="X168" s="1082">
        <f t="shared" si="81"/>
        <v>175.60735289882479</v>
      </c>
    </row>
    <row r="169" spans="2:24">
      <c r="B169" s="609" t="s">
        <v>772</v>
      </c>
      <c r="C169" s="1156">
        <v>1</v>
      </c>
      <c r="D169" s="1071">
        <v>12</v>
      </c>
      <c r="E169" s="1071">
        <v>290</v>
      </c>
      <c r="F169" s="1072">
        <v>0.5</v>
      </c>
      <c r="G169" s="1157">
        <v>0.43</v>
      </c>
      <c r="H169" s="1088">
        <v>0.17399999999999999</v>
      </c>
      <c r="I169" s="1073">
        <v>0.371</v>
      </c>
      <c r="J169" s="1073">
        <v>0.16600000000000001</v>
      </c>
      <c r="K169" s="1075">
        <v>531</v>
      </c>
      <c r="L169" s="1076">
        <f t="shared" si="75"/>
        <v>532.09977542041634</v>
      </c>
      <c r="M169" s="1073">
        <v>0.74</v>
      </c>
      <c r="N169" s="1073">
        <v>0.45</v>
      </c>
      <c r="O169" s="618">
        <f t="shared" si="76"/>
        <v>81.789167156625496</v>
      </c>
      <c r="P169" s="1078">
        <f t="shared" si="77"/>
        <v>1.5871472639999998E-4</v>
      </c>
      <c r="Q169" s="1078">
        <f t="shared" si="78"/>
        <v>9.6515711999999994E-5</v>
      </c>
      <c r="R169" s="656">
        <f t="shared" si="79"/>
        <v>81.821896706961496</v>
      </c>
      <c r="S169" s="1079">
        <f>C169*D169*H169*$C$71*Fuel_Specs!$C$13/1000000</f>
        <v>55.099747584000006</v>
      </c>
      <c r="T169" s="1080">
        <f>S169*Upstream!$C$95/1000000</f>
        <v>1.1525563910967977</v>
      </c>
      <c r="U169" s="1080">
        <f>S169*Upstream!$D$95/1000000</f>
        <v>1.1633445992945423E-3</v>
      </c>
      <c r="V169" s="1081">
        <f>S169*Upstream!$E$95/1000000</f>
        <v>7.9363981947958975E-6</v>
      </c>
      <c r="W169" s="1078">
        <f t="shared" si="80"/>
        <v>1.1840050527412107</v>
      </c>
      <c r="X169" s="1082">
        <f t="shared" si="81"/>
        <v>83.005901759702709</v>
      </c>
    </row>
    <row r="170" spans="2:24">
      <c r="B170" s="609" t="s">
        <v>771</v>
      </c>
      <c r="C170" s="1156">
        <v>4</v>
      </c>
      <c r="D170" s="1071">
        <v>12</v>
      </c>
      <c r="E170" s="1071">
        <v>250</v>
      </c>
      <c r="F170" s="1072">
        <v>0.85</v>
      </c>
      <c r="G170" s="1157">
        <v>0.59</v>
      </c>
      <c r="H170" s="1088">
        <v>7.3999999999999996E-2</v>
      </c>
      <c r="I170" s="1073">
        <v>0.16300000000000001</v>
      </c>
      <c r="J170" s="1073">
        <v>0.13500000000000001</v>
      </c>
      <c r="K170" s="1075">
        <v>536</v>
      </c>
      <c r="L170" s="1076">
        <f t="shared" si="75"/>
        <v>536.67645504766563</v>
      </c>
      <c r="M170" s="1073">
        <v>0.74</v>
      </c>
      <c r="N170" s="1073">
        <v>0.45</v>
      </c>
      <c r="O170" s="618">
        <f t="shared" si="76"/>
        <v>663.51345214660432</v>
      </c>
      <c r="P170" s="1078">
        <f t="shared" si="77"/>
        <v>4.5899569151999986E-4</v>
      </c>
      <c r="Q170" s="1078">
        <f t="shared" si="78"/>
        <v>2.7911900160000001E-4</v>
      </c>
      <c r="R170" s="656">
        <f t="shared" si="79"/>
        <v>663.6081045013691</v>
      </c>
      <c r="S170" s="1079">
        <f>C170*D170*H170*$C$71*Fuel_Specs!$C$13/1000000</f>
        <v>93.732903935999985</v>
      </c>
      <c r="T170" s="1080">
        <f>S170*Upstream!$C$95/1000000</f>
        <v>1.9606706423255864</v>
      </c>
      <c r="U170" s="1080">
        <f>S170*Upstream!$D$95/1000000</f>
        <v>1.97902299650106E-3</v>
      </c>
      <c r="V170" s="1081">
        <f>S170*Upstream!$E$95/1000000</f>
        <v>1.350099922792865E-5</v>
      </c>
      <c r="W170" s="1078">
        <f t="shared" si="80"/>
        <v>2.0141695150080356</v>
      </c>
      <c r="X170" s="1082">
        <f t="shared" si="81"/>
        <v>665.6222740163771</v>
      </c>
    </row>
    <row r="171" spans="2:24">
      <c r="B171" s="609" t="s">
        <v>770</v>
      </c>
      <c r="C171" s="1156">
        <v>2</v>
      </c>
      <c r="D171" s="1071">
        <v>12</v>
      </c>
      <c r="E171" s="1071">
        <v>200</v>
      </c>
      <c r="F171" s="1072">
        <v>0.85</v>
      </c>
      <c r="G171" s="1157">
        <v>0.59</v>
      </c>
      <c r="H171" s="1088">
        <v>0.112</v>
      </c>
      <c r="I171" s="1073">
        <v>0.23899999999999999</v>
      </c>
      <c r="J171" s="1073">
        <v>0.13700000000000001</v>
      </c>
      <c r="K171" s="1075">
        <v>536</v>
      </c>
      <c r="L171" s="1076">
        <f t="shared" si="75"/>
        <v>536.80208764376732</v>
      </c>
      <c r="M171" s="1073">
        <v>0.74</v>
      </c>
      <c r="N171" s="1073">
        <v>0.45</v>
      </c>
      <c r="O171" s="618">
        <f t="shared" si="76"/>
        <v>265.46751059566117</v>
      </c>
      <c r="P171" s="1078">
        <f t="shared" si="77"/>
        <v>3.4734809087999996E-4</v>
      </c>
      <c r="Q171" s="1078">
        <f t="shared" si="78"/>
        <v>2.1122519039999999E-4</v>
      </c>
      <c r="R171" s="656">
        <f t="shared" si="79"/>
        <v>265.53913940467237</v>
      </c>
      <c r="S171" s="1079">
        <f>C171*D171*H171*$C$71*Fuel_Specs!$C$13/1000000</f>
        <v>70.933008384000004</v>
      </c>
      <c r="T171" s="1080">
        <f>S171*Upstream!$C$95/1000000</f>
        <v>1.483750756354498</v>
      </c>
      <c r="U171" s="1080">
        <f>S171*Upstream!$D$95/1000000</f>
        <v>1.497639024379181E-3</v>
      </c>
      <c r="V171" s="1081">
        <f>S171*Upstream!$E$95/1000000</f>
        <v>1.0216972388702765E-5</v>
      </c>
      <c r="W171" s="1078">
        <f t="shared" si="80"/>
        <v>1.5242363897358111</v>
      </c>
      <c r="X171" s="1082">
        <f t="shared" si="81"/>
        <v>267.06337579440816</v>
      </c>
    </row>
    <row r="172" spans="2:24">
      <c r="B172" s="609" t="s">
        <v>769</v>
      </c>
      <c r="C172" s="1156">
        <v>2</v>
      </c>
      <c r="D172" s="1071">
        <v>12</v>
      </c>
      <c r="E172" s="1071">
        <v>85</v>
      </c>
      <c r="F172" s="1072">
        <v>0.25</v>
      </c>
      <c r="G172" s="1157">
        <v>0.59</v>
      </c>
      <c r="H172" s="1088">
        <v>0.65300000000000002</v>
      </c>
      <c r="I172" s="1073">
        <v>2.0070000000000001</v>
      </c>
      <c r="J172" s="1073">
        <v>0.23300000000000001</v>
      </c>
      <c r="K172" s="1075">
        <v>595</v>
      </c>
      <c r="L172" s="1076">
        <f t="shared" si="75"/>
        <v>598.8787496281625</v>
      </c>
      <c r="M172" s="1073">
        <v>0.74</v>
      </c>
      <c r="N172" s="1073">
        <v>0.45</v>
      </c>
      <c r="O172" s="618">
        <f t="shared" si="76"/>
        <v>37.020825382374163</v>
      </c>
      <c r="P172" s="1078">
        <f t="shared" si="77"/>
        <v>5.9563630080000001E-4</v>
      </c>
      <c r="Q172" s="1078">
        <f t="shared" si="78"/>
        <v>3.6221126399999995E-4</v>
      </c>
      <c r="R172" s="656">
        <f t="shared" si="79"/>
        <v>37.143655246566162</v>
      </c>
      <c r="S172" s="1079">
        <f>C172*D172*H172*$C$71*Fuel_Specs!$C$13/1000000</f>
        <v>413.56477209600001</v>
      </c>
      <c r="T172" s="1080">
        <f>S172*Upstream!$C$95/1000000</f>
        <v>8.6507968205311361</v>
      </c>
      <c r="U172" s="1080">
        <f>S172*Upstream!$D$95/1000000</f>
        <v>8.7317703832107598E-3</v>
      </c>
      <c r="V172" s="1081">
        <f>S172*Upstream!$E$95/1000000</f>
        <v>5.9568597944847359E-5</v>
      </c>
      <c r="W172" s="1078">
        <f t="shared" si="80"/>
        <v>8.88684252229897</v>
      </c>
      <c r="X172" s="1082">
        <f t="shared" si="81"/>
        <v>46.030497768865132</v>
      </c>
    </row>
    <row r="173" spans="2:24">
      <c r="B173" s="609" t="s">
        <v>768</v>
      </c>
      <c r="C173" s="1156">
        <v>2</v>
      </c>
      <c r="D173" s="1071">
        <v>12</v>
      </c>
      <c r="E173" s="1071">
        <v>200</v>
      </c>
      <c r="F173" s="1072">
        <v>0.85</v>
      </c>
      <c r="G173" s="1157">
        <v>0.59</v>
      </c>
      <c r="H173" s="1088">
        <v>0.112</v>
      </c>
      <c r="I173" s="1073">
        <v>0.23899999999999999</v>
      </c>
      <c r="J173" s="1073">
        <v>0.13700000000000001</v>
      </c>
      <c r="K173" s="1075">
        <v>536</v>
      </c>
      <c r="L173" s="1076">
        <f t="shared" si="75"/>
        <v>536.80208764376732</v>
      </c>
      <c r="M173" s="1073">
        <v>0.74</v>
      </c>
      <c r="N173" s="1073">
        <v>0.45</v>
      </c>
      <c r="O173" s="618">
        <f t="shared" si="76"/>
        <v>265.46751059566117</v>
      </c>
      <c r="P173" s="1078">
        <f t="shared" si="77"/>
        <v>3.4734809087999996E-4</v>
      </c>
      <c r="Q173" s="1078">
        <f t="shared" si="78"/>
        <v>2.1122519039999999E-4</v>
      </c>
      <c r="R173" s="656">
        <f t="shared" si="79"/>
        <v>265.53913940467237</v>
      </c>
      <c r="S173" s="1079">
        <f>C173*D173*H173*$C$71*Fuel_Specs!$C$13/1000000</f>
        <v>70.933008384000004</v>
      </c>
      <c r="T173" s="1080">
        <f>S173*Upstream!$C$95/1000000</f>
        <v>1.483750756354498</v>
      </c>
      <c r="U173" s="1080">
        <f>S173*Upstream!$D$95/1000000</f>
        <v>1.497639024379181E-3</v>
      </c>
      <c r="V173" s="1081">
        <f>S173*Upstream!$E$95/1000000</f>
        <v>1.0216972388702765E-5</v>
      </c>
      <c r="W173" s="1078">
        <f t="shared" si="80"/>
        <v>1.5242363897358111</v>
      </c>
      <c r="X173" s="1082">
        <f t="shared" si="81"/>
        <v>267.06337579440816</v>
      </c>
    </row>
    <row r="174" spans="2:24">
      <c r="B174" s="609" t="s">
        <v>767</v>
      </c>
      <c r="C174" s="1156">
        <v>2</v>
      </c>
      <c r="D174" s="1071">
        <v>12</v>
      </c>
      <c r="E174" s="1071">
        <v>100</v>
      </c>
      <c r="F174" s="1072">
        <v>0.85</v>
      </c>
      <c r="G174" s="1157">
        <v>0.21</v>
      </c>
      <c r="H174" s="1088">
        <v>0.64600000000000002</v>
      </c>
      <c r="I174" s="1073">
        <v>4.8949999999999996</v>
      </c>
      <c r="J174" s="1073">
        <v>0.75900000000000001</v>
      </c>
      <c r="K174" s="1075">
        <v>694</v>
      </c>
      <c r="L174" s="1076">
        <f t="shared" si="75"/>
        <v>704.05399743103476</v>
      </c>
      <c r="M174" s="1073">
        <v>0.74</v>
      </c>
      <c r="N174" s="1073">
        <v>0.45</v>
      </c>
      <c r="O174" s="618">
        <f t="shared" si="76"/>
        <v>61.964141524688088</v>
      </c>
      <c r="P174" s="1078">
        <f t="shared" si="77"/>
        <v>2.0034541670399995E-3</v>
      </c>
      <c r="Q174" s="1078">
        <f t="shared" si="78"/>
        <v>1.2183167232E-3</v>
      </c>
      <c r="R174" s="656">
        <f t="shared" si="79"/>
        <v>62.377286262377687</v>
      </c>
      <c r="S174" s="1079">
        <f>C174*D174*H174*$C$71*Fuel_Specs!$C$13/1000000</f>
        <v>409.13145907200004</v>
      </c>
      <c r="T174" s="1080">
        <f>S174*Upstream!$C$95/1000000</f>
        <v>8.558062398258981</v>
      </c>
      <c r="U174" s="1080">
        <f>S174*Upstream!$D$95/1000000</f>
        <v>8.6381679441870623E-3</v>
      </c>
      <c r="V174" s="1081">
        <f>S174*Upstream!$E$95/1000000</f>
        <v>5.8930037170553446E-5</v>
      </c>
      <c r="W174" s="1078">
        <f t="shared" si="80"/>
        <v>8.7915777479404813</v>
      </c>
      <c r="X174" s="1082">
        <f t="shared" si="81"/>
        <v>71.168864010318174</v>
      </c>
    </row>
    <row r="175" spans="2:24">
      <c r="B175" s="1097" t="s">
        <v>766</v>
      </c>
      <c r="C175" s="1162">
        <v>4</v>
      </c>
      <c r="D175" s="1135">
        <v>12</v>
      </c>
      <c r="E175" s="1135">
        <v>50</v>
      </c>
      <c r="F175" s="1137">
        <v>0.85</v>
      </c>
      <c r="G175" s="1163">
        <v>0.21</v>
      </c>
      <c r="H175" s="1158">
        <v>3.661</v>
      </c>
      <c r="I175" s="1142">
        <v>5.4409999999999998</v>
      </c>
      <c r="J175" s="1142">
        <v>1.393</v>
      </c>
      <c r="K175" s="1159">
        <v>692</v>
      </c>
      <c r="L175" s="1141">
        <f t="shared" si="75"/>
        <v>704.88597609189492</v>
      </c>
      <c r="M175" s="1142">
        <v>0.74</v>
      </c>
      <c r="N175" s="1142">
        <v>0.45</v>
      </c>
      <c r="O175" s="1098">
        <f t="shared" si="76"/>
        <v>62.037364379291809</v>
      </c>
      <c r="P175" s="1099">
        <f t="shared" si="77"/>
        <v>2.2707881441280001E-2</v>
      </c>
      <c r="Q175" s="1099">
        <f t="shared" si="78"/>
        <v>1.3808846822400002E-2</v>
      </c>
      <c r="R175" s="1143">
        <f t="shared" si="79"/>
        <v>66.720097768399015</v>
      </c>
      <c r="S175" s="1144">
        <f>C175*D175*H175*$C$71*Fuel_Specs!$C$13/1000000</f>
        <v>4637.2454231040001</v>
      </c>
      <c r="T175" s="1145">
        <f>S175*Upstream!$C$95/1000000</f>
        <v>97.000205696675295</v>
      </c>
      <c r="U175" s="1145">
        <f>S175*Upstream!$D$95/1000000</f>
        <v>9.7908151218788944E-2</v>
      </c>
      <c r="V175" s="1146">
        <f>S175*Upstream!$E$95/1000000</f>
        <v>6.6793456991144314E-4</v>
      </c>
      <c r="W175" s="1099">
        <f t="shared" si="80"/>
        <v>99.64695397897863</v>
      </c>
      <c r="X175" s="1147">
        <f t="shared" si="81"/>
        <v>166.36705174737764</v>
      </c>
    </row>
    <row r="176" spans="2:24">
      <c r="B176" s="605"/>
      <c r="C176" s="605"/>
      <c r="D176" s="605"/>
      <c r="E176" s="605"/>
      <c r="F176" s="605"/>
      <c r="G176" s="605"/>
      <c r="H176" s="1116"/>
      <c r="I176" s="617"/>
      <c r="J176" s="617"/>
      <c r="K176" s="618"/>
      <c r="L176" s="1076"/>
      <c r="M176" s="1073"/>
      <c r="N176" s="616" t="s">
        <v>746</v>
      </c>
      <c r="O176" s="618">
        <f>SUM(O161:O175)</f>
        <v>2648.7623790148814</v>
      </c>
      <c r="P176" s="1078">
        <f t="shared" ref="P176:W176" si="82">SUM(P161:P175)</f>
        <v>4.2783470023679993E-2</v>
      </c>
      <c r="Q176" s="1078">
        <f t="shared" si="82"/>
        <v>2.60169750144E-2</v>
      </c>
      <c r="R176" s="1089">
        <f t="shared" si="82"/>
        <v>2657.5850243197647</v>
      </c>
      <c r="S176" s="1089">
        <f t="shared" si="82"/>
        <v>9051.5585341440019</v>
      </c>
      <c r="T176" s="1089">
        <f>SUM(T161:T175)</f>
        <v>189.33719473052219</v>
      </c>
      <c r="U176" s="1089">
        <f t="shared" si="82"/>
        <v>0.19110943693238616</v>
      </c>
      <c r="V176" s="1089">
        <f t="shared" si="82"/>
        <v>1.3037586551726775E-3</v>
      </c>
      <c r="W176" s="1089">
        <f t="shared" si="82"/>
        <v>194.50345073307329</v>
      </c>
      <c r="X176" s="1089">
        <f>SUM(X161:X175)</f>
        <v>2852.0884750528376</v>
      </c>
    </row>
    <row r="177" spans="2:24">
      <c r="L177" s="610"/>
      <c r="M177" s="611"/>
      <c r="N177" s="611"/>
      <c r="P177" s="612"/>
      <c r="Q177" s="612"/>
      <c r="R177" s="612"/>
    </row>
    <row r="178" spans="2:24">
      <c r="L178" s="610"/>
      <c r="M178" s="611"/>
      <c r="N178" s="611"/>
      <c r="P178" s="612"/>
      <c r="Q178" s="612"/>
      <c r="R178" s="612"/>
    </row>
    <row r="179" spans="2:24" ht="15.75">
      <c r="B179" s="604" t="s">
        <v>791</v>
      </c>
      <c r="C179" s="605"/>
      <c r="D179" s="605"/>
      <c r="E179" s="605"/>
      <c r="F179" s="605"/>
      <c r="G179" s="605"/>
      <c r="H179" s="1111"/>
      <c r="K179" s="605"/>
      <c r="L179" s="609"/>
      <c r="M179" s="613"/>
      <c r="N179" s="614"/>
      <c r="O179" s="605"/>
      <c r="P179" s="615"/>
      <c r="Q179" s="615"/>
      <c r="R179" s="615"/>
      <c r="X179" s="605"/>
    </row>
    <row r="180" spans="2:24" ht="50.25" thickBot="1">
      <c r="B180" s="1090" t="s">
        <v>790</v>
      </c>
      <c r="C180" s="1091" t="s">
        <v>789</v>
      </c>
      <c r="D180" s="1092" t="s">
        <v>788</v>
      </c>
      <c r="E180" s="1093" t="s">
        <v>787</v>
      </c>
      <c r="F180" s="1093" t="s">
        <v>786</v>
      </c>
      <c r="G180" s="1093" t="s">
        <v>785</v>
      </c>
      <c r="H180" s="1112" t="s">
        <v>784</v>
      </c>
      <c r="I180" s="1092" t="s">
        <v>840</v>
      </c>
      <c r="J180" s="1092" t="s">
        <v>841</v>
      </c>
      <c r="K180" s="1092" t="s">
        <v>844</v>
      </c>
      <c r="L180" s="1093" t="s">
        <v>843</v>
      </c>
      <c r="M180" s="1093" t="s">
        <v>855</v>
      </c>
      <c r="N180" s="1093" t="s">
        <v>853</v>
      </c>
      <c r="O180" s="1094" t="s">
        <v>845</v>
      </c>
      <c r="P180" s="1095" t="s">
        <v>783</v>
      </c>
      <c r="Q180" s="1095" t="s">
        <v>782</v>
      </c>
      <c r="R180" s="1096" t="s">
        <v>856</v>
      </c>
      <c r="S180" s="1096" t="s">
        <v>851</v>
      </c>
      <c r="T180" s="1094" t="s">
        <v>847</v>
      </c>
      <c r="U180" s="1092" t="s">
        <v>848</v>
      </c>
      <c r="V180" s="1092" t="s">
        <v>849</v>
      </c>
      <c r="W180" s="1094" t="s">
        <v>858</v>
      </c>
      <c r="X180" s="1096" t="s">
        <v>857</v>
      </c>
    </row>
    <row r="181" spans="2:24" ht="13.5" thickTop="1">
      <c r="B181" s="1069" t="s">
        <v>781</v>
      </c>
      <c r="C181" s="609"/>
      <c r="D181" s="609"/>
      <c r="E181" s="609"/>
      <c r="F181" s="609"/>
      <c r="G181" s="609"/>
      <c r="H181" s="1113"/>
      <c r="I181" s="609"/>
      <c r="J181" s="609"/>
      <c r="K181" s="609"/>
      <c r="L181" s="609"/>
      <c r="M181" s="613"/>
      <c r="N181" s="614"/>
      <c r="O181" s="618"/>
      <c r="P181" s="1070"/>
      <c r="Q181" s="1070"/>
      <c r="X181" s="616"/>
    </row>
    <row r="182" spans="2:24">
      <c r="B182" s="609" t="s">
        <v>780</v>
      </c>
      <c r="C182" s="1071">
        <v>2</v>
      </c>
      <c r="D182" s="1071">
        <v>7</v>
      </c>
      <c r="E182" s="1071">
        <v>250</v>
      </c>
      <c r="F182" s="1072">
        <v>0.85</v>
      </c>
      <c r="G182" s="1072">
        <v>0.43</v>
      </c>
      <c r="H182" s="1088">
        <v>0.17399999999999999</v>
      </c>
      <c r="I182" s="1073">
        <v>0.317</v>
      </c>
      <c r="J182" s="1073">
        <v>0.159</v>
      </c>
      <c r="K182" s="1075">
        <v>531</v>
      </c>
      <c r="L182" s="1076">
        <f t="shared" ref="L182:L196" si="83">K182+J182*VOC_C_Ratio/CO2_C_Ratio+I182*CO_C_Ratio/CO2_C_Ratio</f>
        <v>531.99313843897482</v>
      </c>
      <c r="M182" s="1073">
        <v>0.74</v>
      </c>
      <c r="N182" s="1073">
        <v>0.45</v>
      </c>
      <c r="O182" s="618">
        <f t="shared" ref="O182:O196" si="84">E182*$C$71*L182*C182*D182/1000000*F182*G182</f>
        <v>139.81264855918513</v>
      </c>
      <c r="P182" s="1078">
        <v>3.5E-4</v>
      </c>
      <c r="Q182" s="1078">
        <v>2.1000000000000001E-4</v>
      </c>
      <c r="R182" s="656">
        <f t="shared" ref="R182:R196" si="85">O182+P182*CH4_GWP+Q182*N2O_GWP</f>
        <v>139.88397855918512</v>
      </c>
      <c r="S182" s="1079">
        <f>C182*D182*H182*$C$71*Fuel_Specs!$C$13/1000000</f>
        <v>64.283038848000004</v>
      </c>
      <c r="T182" s="1080">
        <f>S182*Upstream!$C$95/1000000</f>
        <v>1.344649122946264</v>
      </c>
      <c r="U182" s="1080">
        <f>S182*Upstream!$D$95/1000000</f>
        <v>1.3572353658436328E-3</v>
      </c>
      <c r="V182" s="1081">
        <f>S182*Upstream!$E$95/1000000</f>
        <v>9.2591312272618796E-6</v>
      </c>
      <c r="W182" s="1078">
        <f t="shared" ref="W182:W196" si="86">T182+U182*CH4_GWP+V182*N2O_GWP</f>
        <v>1.381339228198079</v>
      </c>
      <c r="X182" s="1082">
        <f>R182+W182</f>
        <v>141.2653177873832</v>
      </c>
    </row>
    <row r="183" spans="2:24">
      <c r="B183" s="609" t="s">
        <v>779</v>
      </c>
      <c r="C183" s="1071">
        <v>2</v>
      </c>
      <c r="D183" s="1071">
        <v>7</v>
      </c>
      <c r="E183" s="1071">
        <v>300</v>
      </c>
      <c r="F183" s="1072">
        <v>0.85</v>
      </c>
      <c r="G183" s="1072">
        <v>0.43</v>
      </c>
      <c r="H183" s="1088">
        <v>0.17399999999999999</v>
      </c>
      <c r="I183" s="1073">
        <v>0.317</v>
      </c>
      <c r="J183" s="1073">
        <v>0.159</v>
      </c>
      <c r="K183" s="1075">
        <v>531</v>
      </c>
      <c r="L183" s="1076">
        <f t="shared" si="83"/>
        <v>531.99313843897482</v>
      </c>
      <c r="M183" s="1073">
        <v>0.74</v>
      </c>
      <c r="N183" s="1073">
        <v>0.45</v>
      </c>
      <c r="O183" s="618">
        <f t="shared" si="84"/>
        <v>167.77517827102216</v>
      </c>
      <c r="P183" s="1078">
        <v>3.5E-4</v>
      </c>
      <c r="Q183" s="1078">
        <v>2.1000000000000001E-4</v>
      </c>
      <c r="R183" s="656">
        <f t="shared" si="85"/>
        <v>167.84650827102215</v>
      </c>
      <c r="S183" s="1079">
        <f>C183*D183*H183*$C$71*Fuel_Specs!$C$13/1000000</f>
        <v>64.283038848000004</v>
      </c>
      <c r="T183" s="1080">
        <f>S183*Upstream!$C$95/1000000</f>
        <v>1.344649122946264</v>
      </c>
      <c r="U183" s="1080">
        <f>S183*Upstream!$D$95/1000000</f>
        <v>1.3572353658436328E-3</v>
      </c>
      <c r="V183" s="1081">
        <f>S183*Upstream!$E$95/1000000</f>
        <v>9.2591312272618796E-6</v>
      </c>
      <c r="W183" s="1078">
        <f t="shared" si="86"/>
        <v>1.381339228198079</v>
      </c>
      <c r="X183" s="1082">
        <f t="shared" ref="X183:X196" si="87">R183+W183</f>
        <v>169.22784749922022</v>
      </c>
    </row>
    <row r="184" spans="2:24">
      <c r="B184" s="609" t="s">
        <v>778</v>
      </c>
      <c r="C184" s="1071">
        <v>3</v>
      </c>
      <c r="D184" s="1071">
        <v>7</v>
      </c>
      <c r="E184" s="1071">
        <v>85</v>
      </c>
      <c r="F184" s="1072">
        <v>0.85</v>
      </c>
      <c r="G184" s="1072">
        <v>0.43</v>
      </c>
      <c r="H184" s="1088">
        <v>0.42199999999999999</v>
      </c>
      <c r="I184" s="1073">
        <v>1.1830000000000001</v>
      </c>
      <c r="J184" s="1073">
        <v>0.188</v>
      </c>
      <c r="K184" s="1075">
        <v>590</v>
      </c>
      <c r="L184" s="1076">
        <f t="shared" si="83"/>
        <v>592.44402713546947</v>
      </c>
      <c r="M184" s="1073">
        <v>0.74</v>
      </c>
      <c r="N184" s="1073">
        <v>0.45</v>
      </c>
      <c r="O184" s="618">
        <f t="shared" si="84"/>
        <v>79.406843644571723</v>
      </c>
      <c r="P184" s="1078">
        <v>1.2999999999999999E-3</v>
      </c>
      <c r="Q184" s="1078">
        <v>7.6999999999999996E-4</v>
      </c>
      <c r="R184" s="656">
        <f t="shared" si="85"/>
        <v>79.668803644571724</v>
      </c>
      <c r="S184" s="1079">
        <f>C184*D184*H184*$C$71*Fuel_Specs!$C$13/1000000</f>
        <v>233.85726201599996</v>
      </c>
      <c r="T184" s="1080">
        <f>S184*Upstream!$C$95/1000000</f>
        <v>4.8917407748562347</v>
      </c>
      <c r="U184" s="1080">
        <f>S184*Upstream!$D$95/1000000</f>
        <v>4.9375286585001104E-3</v>
      </c>
      <c r="V184" s="1081">
        <f>S184*Upstream!$E$95/1000000</f>
        <v>3.3684080844004422E-5</v>
      </c>
      <c r="W184" s="1078">
        <f t="shared" si="86"/>
        <v>5.0252168474102517</v>
      </c>
      <c r="X184" s="1082">
        <f t="shared" si="87"/>
        <v>84.694020491981973</v>
      </c>
    </row>
    <row r="185" spans="2:24">
      <c r="B185" s="609" t="s">
        <v>777</v>
      </c>
      <c r="C185" s="1071">
        <v>2</v>
      </c>
      <c r="D185" s="1071">
        <v>7</v>
      </c>
      <c r="E185" s="1071">
        <v>100</v>
      </c>
      <c r="F185" s="1072">
        <v>0.85</v>
      </c>
      <c r="G185" s="1072">
        <v>0.43</v>
      </c>
      <c r="H185" s="1088">
        <v>0.42199999999999999</v>
      </c>
      <c r="I185" s="1073">
        <v>1.1830000000000001</v>
      </c>
      <c r="J185" s="1073">
        <v>0.188</v>
      </c>
      <c r="K185" s="1075">
        <v>590</v>
      </c>
      <c r="L185" s="1076">
        <f t="shared" si="83"/>
        <v>592.44402713546947</v>
      </c>
      <c r="M185" s="1073">
        <v>0.74</v>
      </c>
      <c r="N185" s="1073">
        <v>0.45</v>
      </c>
      <c r="O185" s="618">
        <f t="shared" si="84"/>
        <v>62.279877368291544</v>
      </c>
      <c r="P185" s="1078">
        <v>8.4000000000000003E-4</v>
      </c>
      <c r="Q185" s="1078">
        <v>5.1000000000000004E-4</v>
      </c>
      <c r="R185" s="656">
        <f t="shared" si="85"/>
        <v>62.452857368291546</v>
      </c>
      <c r="S185" s="1079">
        <f>C185*D185*H185*$C$71*Fuel_Specs!$C$13/1000000</f>
        <v>155.90484134399998</v>
      </c>
      <c r="T185" s="1080">
        <f>S185*Upstream!$C$95/1000000</f>
        <v>3.2611605165708233</v>
      </c>
      <c r="U185" s="1080">
        <f>S185*Upstream!$D$95/1000000</f>
        <v>3.2916857723334072E-3</v>
      </c>
      <c r="V185" s="1081">
        <f>S185*Upstream!$E$95/1000000</f>
        <v>2.2456053896002946E-5</v>
      </c>
      <c r="W185" s="1078">
        <f t="shared" si="86"/>
        <v>3.3501445649401673</v>
      </c>
      <c r="X185" s="1082">
        <f t="shared" si="87"/>
        <v>65.803001933231712</v>
      </c>
    </row>
    <row r="186" spans="2:24">
      <c r="B186" s="609" t="s">
        <v>776</v>
      </c>
      <c r="C186" s="1071">
        <v>3</v>
      </c>
      <c r="D186" s="1071">
        <v>7</v>
      </c>
      <c r="E186" s="1071">
        <v>55</v>
      </c>
      <c r="F186" s="1072">
        <v>0.85</v>
      </c>
      <c r="G186" s="1072">
        <v>0.43</v>
      </c>
      <c r="H186" s="1088">
        <v>1.02</v>
      </c>
      <c r="I186" s="1073">
        <v>0.57199999999999995</v>
      </c>
      <c r="J186" s="1073">
        <v>0.17199999999999999</v>
      </c>
      <c r="K186" s="1075">
        <v>590</v>
      </c>
      <c r="L186" s="1076">
        <f t="shared" si="83"/>
        <v>591.43425301139757</v>
      </c>
      <c r="M186" s="1073">
        <v>0.74</v>
      </c>
      <c r="N186" s="1073">
        <v>0.45</v>
      </c>
      <c r="O186" s="618">
        <f t="shared" si="84"/>
        <v>51.293324138688305</v>
      </c>
      <c r="P186" s="1078">
        <v>3.0999999999999999E-3</v>
      </c>
      <c r="Q186" s="1078">
        <v>1.9E-3</v>
      </c>
      <c r="R186" s="656">
        <f t="shared" si="85"/>
        <v>51.937024138688308</v>
      </c>
      <c r="S186" s="1079">
        <f>C186*D186*H186*$C$71*Fuel_Specs!$C$13/1000000</f>
        <v>565.24741056000005</v>
      </c>
      <c r="T186" s="1080">
        <f>S186*Upstream!$C$95/1000000</f>
        <v>11.823638839699907</v>
      </c>
      <c r="U186" s="1080">
        <f>S186*Upstream!$D$95/1000000</f>
        <v>1.1934310975521598E-2</v>
      </c>
      <c r="V186" s="1081">
        <f>S186*Upstream!$E$95/1000000</f>
        <v>8.141649872247515E-5</v>
      </c>
      <c r="W186" s="1078">
        <f t="shared" si="86"/>
        <v>12.146258730707244</v>
      </c>
      <c r="X186" s="1082">
        <f t="shared" si="87"/>
        <v>64.083282869395546</v>
      </c>
    </row>
    <row r="187" spans="2:24">
      <c r="B187" s="609" t="s">
        <v>775</v>
      </c>
      <c r="C187" s="1071">
        <v>2</v>
      </c>
      <c r="D187" s="1071">
        <v>7</v>
      </c>
      <c r="E187" s="1071">
        <v>65</v>
      </c>
      <c r="F187" s="1072">
        <v>0.85</v>
      </c>
      <c r="G187" s="1072">
        <v>0.59</v>
      </c>
      <c r="H187" s="1088">
        <v>0.73199999999999998</v>
      </c>
      <c r="I187" s="1073">
        <v>1.93</v>
      </c>
      <c r="J187" s="1073">
        <v>0.23200000000000001</v>
      </c>
      <c r="K187" s="1075">
        <v>595</v>
      </c>
      <c r="L187" s="1076">
        <f t="shared" si="83"/>
        <v>598.7546597117547</v>
      </c>
      <c r="M187" s="1073">
        <v>0.74</v>
      </c>
      <c r="N187" s="1073">
        <v>0.45</v>
      </c>
      <c r="O187" s="618">
        <f t="shared" si="84"/>
        <v>56.136617702190669</v>
      </c>
      <c r="P187" s="1078">
        <v>1.5E-3</v>
      </c>
      <c r="Q187" s="1078">
        <v>8.8999999999999995E-4</v>
      </c>
      <c r="R187" s="656">
        <f t="shared" si="85"/>
        <v>56.43933770219067</v>
      </c>
      <c r="S187" s="1079">
        <f>C187*D187*H187*$C$71*Fuel_Specs!$C$13/1000000</f>
        <v>270.43209446399999</v>
      </c>
      <c r="T187" s="1080">
        <f>S187*Upstream!$C$95/1000000</f>
        <v>5.6567997586015233</v>
      </c>
      <c r="U187" s="1080">
        <f>S187*Upstream!$D$95/1000000</f>
        <v>5.7097487804456271E-3</v>
      </c>
      <c r="V187" s="1081">
        <f>S187*Upstream!$E$95/1000000</f>
        <v>3.8952207231929285E-5</v>
      </c>
      <c r="W187" s="1078">
        <f t="shared" si="86"/>
        <v>5.8111512358677793</v>
      </c>
      <c r="X187" s="1082">
        <f t="shared" si="87"/>
        <v>62.250488938058453</v>
      </c>
    </row>
    <row r="188" spans="2:24">
      <c r="B188" s="609" t="s">
        <v>774</v>
      </c>
      <c r="C188" s="1071">
        <v>2</v>
      </c>
      <c r="D188" s="1071">
        <v>7</v>
      </c>
      <c r="E188" s="1071">
        <v>65</v>
      </c>
      <c r="F188" s="1072">
        <v>0.85</v>
      </c>
      <c r="G188" s="1072">
        <v>0.59</v>
      </c>
      <c r="H188" s="1088">
        <v>0.48899999999999999</v>
      </c>
      <c r="I188" s="1073">
        <v>1.2569999999999999</v>
      </c>
      <c r="J188" s="1073">
        <v>0.16400000000000001</v>
      </c>
      <c r="K188" s="1075">
        <v>596</v>
      </c>
      <c r="L188" s="1076">
        <f t="shared" si="83"/>
        <v>598.48555874378519</v>
      </c>
      <c r="M188" s="1073">
        <v>0.74</v>
      </c>
      <c r="N188" s="1073">
        <v>0.45</v>
      </c>
      <c r="O188" s="618">
        <f t="shared" si="84"/>
        <v>56.111387972589121</v>
      </c>
      <c r="P188" s="1078">
        <v>9.7999999999999997E-4</v>
      </c>
      <c r="Q188" s="1078">
        <v>5.9000000000000003E-4</v>
      </c>
      <c r="R188" s="656">
        <f t="shared" si="85"/>
        <v>56.311707972589126</v>
      </c>
      <c r="S188" s="1079">
        <f>C188*D188*H188*$C$71*Fuel_Specs!$C$13/1000000</f>
        <v>180.65750572800002</v>
      </c>
      <c r="T188" s="1080">
        <f>S188*Upstream!$C$95/1000000</f>
        <v>3.7789277075903627</v>
      </c>
      <c r="U188" s="1080">
        <f>S188*Upstream!$D$95/1000000</f>
        <v>3.8142993902157262E-3</v>
      </c>
      <c r="V188" s="1081">
        <f>S188*Upstream!$E$95/1000000</f>
        <v>2.6021351552477352E-5</v>
      </c>
      <c r="W188" s="1078">
        <f t="shared" si="86"/>
        <v>3.8820395551083942</v>
      </c>
      <c r="X188" s="1082">
        <f t="shared" si="87"/>
        <v>60.193747527697518</v>
      </c>
    </row>
    <row r="189" spans="2:24">
      <c r="B189" s="609" t="s">
        <v>773</v>
      </c>
      <c r="C189" s="1071">
        <v>2</v>
      </c>
      <c r="D189" s="1071">
        <v>7</v>
      </c>
      <c r="E189" s="1071">
        <v>150</v>
      </c>
      <c r="F189" s="1072">
        <v>0.85</v>
      </c>
      <c r="G189" s="1072">
        <v>0.43</v>
      </c>
      <c r="H189" s="1088">
        <v>1.0580000000000001</v>
      </c>
      <c r="I189" s="1073">
        <v>2.0779999999999998</v>
      </c>
      <c r="J189" s="1073">
        <v>0.41699999999999998</v>
      </c>
      <c r="K189" s="1075">
        <v>589</v>
      </c>
      <c r="L189" s="1076">
        <f t="shared" si="83"/>
        <v>593.56323788879672</v>
      </c>
      <c r="M189" s="1073">
        <v>0.74</v>
      </c>
      <c r="N189" s="1073">
        <v>0.45</v>
      </c>
      <c r="O189" s="618">
        <f t="shared" si="84"/>
        <v>93.596299328343207</v>
      </c>
      <c r="P189" s="1078">
        <v>2.0999999999999999E-3</v>
      </c>
      <c r="Q189" s="1078">
        <v>1.2999999999999999E-3</v>
      </c>
      <c r="R189" s="656">
        <f t="shared" si="85"/>
        <v>94.036199328343201</v>
      </c>
      <c r="S189" s="1079">
        <f>C189*D189*H189*$C$71*Fuel_Specs!$C$13/1000000</f>
        <v>390.87043161600002</v>
      </c>
      <c r="T189" s="1080">
        <f>S189*Upstream!$C$95/1000000</f>
        <v>8.1760848969950981</v>
      </c>
      <c r="U189" s="1080">
        <f>S189*Upstream!$D$95/1000000</f>
        <v>8.2526150405894446E-3</v>
      </c>
      <c r="V189" s="1081">
        <f>S189*Upstream!$E$95/1000000</f>
        <v>5.6299774933580858E-5</v>
      </c>
      <c r="W189" s="1078">
        <f t="shared" si="86"/>
        <v>8.3991776059400411</v>
      </c>
      <c r="X189" s="1082">
        <f t="shared" si="87"/>
        <v>102.43537693428324</v>
      </c>
    </row>
    <row r="190" spans="2:24">
      <c r="B190" s="609" t="s">
        <v>772</v>
      </c>
      <c r="C190" s="1071">
        <v>1</v>
      </c>
      <c r="D190" s="1071">
        <v>7</v>
      </c>
      <c r="E190" s="1071">
        <v>290</v>
      </c>
      <c r="F190" s="1072">
        <v>0.5</v>
      </c>
      <c r="G190" s="1072">
        <v>0.43</v>
      </c>
      <c r="H190" s="1088">
        <v>0.17399999999999999</v>
      </c>
      <c r="I190" s="1073">
        <v>0.317</v>
      </c>
      <c r="J190" s="1073">
        <v>0.159</v>
      </c>
      <c r="K190" s="1075">
        <v>531</v>
      </c>
      <c r="L190" s="1076">
        <f t="shared" si="83"/>
        <v>531.99313843897482</v>
      </c>
      <c r="M190" s="1073">
        <v>0.74</v>
      </c>
      <c r="N190" s="1073">
        <v>0.45</v>
      </c>
      <c r="O190" s="618">
        <f t="shared" si="84"/>
        <v>47.700785979016104</v>
      </c>
      <c r="P190" s="1078">
        <v>1E-4</v>
      </c>
      <c r="Q190" s="1078">
        <v>6.2000000000000003E-5</v>
      </c>
      <c r="R190" s="656">
        <f t="shared" si="85"/>
        <v>47.721761979016101</v>
      </c>
      <c r="S190" s="1079">
        <f>C190*D190*H190*$C$71*Fuel_Specs!$C$13/1000000</f>
        <v>32.141519424000002</v>
      </c>
      <c r="T190" s="1080">
        <f>S190*Upstream!$C$95/1000000</f>
        <v>0.67232456147313202</v>
      </c>
      <c r="U190" s="1080">
        <f>S190*Upstream!$D$95/1000000</f>
        <v>6.7861768292181639E-4</v>
      </c>
      <c r="V190" s="1081">
        <f>S190*Upstream!$E$95/1000000</f>
        <v>4.6295656136309398E-6</v>
      </c>
      <c r="W190" s="1078">
        <f t="shared" si="86"/>
        <v>0.69066961409903949</v>
      </c>
      <c r="X190" s="1082">
        <f t="shared" si="87"/>
        <v>48.412431593115137</v>
      </c>
    </row>
    <row r="191" spans="2:24">
      <c r="B191" s="609" t="s">
        <v>771</v>
      </c>
      <c r="C191" s="1071">
        <v>4</v>
      </c>
      <c r="D191" s="1071">
        <v>7</v>
      </c>
      <c r="E191" s="1071">
        <v>250</v>
      </c>
      <c r="F191" s="1072">
        <v>0.85</v>
      </c>
      <c r="G191" s="1072">
        <v>0.59</v>
      </c>
      <c r="H191" s="1088">
        <v>7.3999999999999996E-2</v>
      </c>
      <c r="I191" s="1073">
        <v>0.13900000000000001</v>
      </c>
      <c r="J191" s="1073">
        <v>0.13300000000000001</v>
      </c>
      <c r="K191" s="1075">
        <v>536</v>
      </c>
      <c r="L191" s="1076">
        <f t="shared" si="83"/>
        <v>536.63252060937316</v>
      </c>
      <c r="M191" s="1073">
        <v>0.74</v>
      </c>
      <c r="N191" s="1073">
        <v>0.45</v>
      </c>
      <c r="O191" s="618">
        <f t="shared" si="84"/>
        <v>387.01782836182059</v>
      </c>
      <c r="P191" s="1078">
        <v>2.9E-4</v>
      </c>
      <c r="Q191" s="1078">
        <v>1.8000000000000001E-4</v>
      </c>
      <c r="R191" s="656">
        <f t="shared" si="85"/>
        <v>387.07871836182056</v>
      </c>
      <c r="S191" s="1079">
        <f>C191*D191*H191*$C$71*Fuel_Specs!$C$13/1000000</f>
        <v>54.677527295999994</v>
      </c>
      <c r="T191" s="1080">
        <f>S191*Upstream!$C$95/1000000</f>
        <v>1.143724541356592</v>
      </c>
      <c r="U191" s="1080">
        <f>S191*Upstream!$D$95/1000000</f>
        <v>1.1544300812922849E-3</v>
      </c>
      <c r="V191" s="1081">
        <f>S191*Upstream!$E$95/1000000</f>
        <v>7.8755828829583796E-6</v>
      </c>
      <c r="W191" s="1078">
        <f t="shared" si="86"/>
        <v>1.1749322170880208</v>
      </c>
      <c r="X191" s="1082">
        <f t="shared" si="87"/>
        <v>388.2536505789086</v>
      </c>
    </row>
    <row r="192" spans="2:24">
      <c r="B192" s="609" t="s">
        <v>770</v>
      </c>
      <c r="C192" s="1071">
        <v>2</v>
      </c>
      <c r="D192" s="1071">
        <v>7</v>
      </c>
      <c r="E192" s="1071">
        <v>200</v>
      </c>
      <c r="F192" s="1072">
        <v>0.85</v>
      </c>
      <c r="G192" s="1072">
        <v>0.59</v>
      </c>
      <c r="H192" s="1088">
        <v>0.112</v>
      </c>
      <c r="I192" s="1073">
        <v>0.192</v>
      </c>
      <c r="J192" s="1073">
        <v>0.13400000000000001</v>
      </c>
      <c r="K192" s="1075">
        <v>536</v>
      </c>
      <c r="L192" s="1076">
        <f t="shared" si="83"/>
        <v>536.71890368371521</v>
      </c>
      <c r="M192" s="1073">
        <v>0.74</v>
      </c>
      <c r="N192" s="1073">
        <v>0.45</v>
      </c>
      <c r="O192" s="618">
        <f t="shared" si="84"/>
        <v>154.83205103450115</v>
      </c>
      <c r="P192" s="1078">
        <v>2.2000000000000001E-4</v>
      </c>
      <c r="Q192" s="1078">
        <v>1.3999999999999999E-4</v>
      </c>
      <c r="R192" s="656">
        <f t="shared" si="85"/>
        <v>154.87927103450116</v>
      </c>
      <c r="S192" s="1079">
        <f>C192*D192*H192*$C$71*Fuel_Specs!$C$13/1000000</f>
        <v>41.377588224000007</v>
      </c>
      <c r="T192" s="1080">
        <f>S192*Upstream!$C$95/1000000</f>
        <v>0.86552127454012395</v>
      </c>
      <c r="U192" s="1080">
        <f>S192*Upstream!$D$95/1000000</f>
        <v>8.7362276422118894E-4</v>
      </c>
      <c r="V192" s="1081">
        <f>S192*Upstream!$E$95/1000000</f>
        <v>5.9599005600766131E-6</v>
      </c>
      <c r="W192" s="1078">
        <f t="shared" si="86"/>
        <v>0.8891378940125565</v>
      </c>
      <c r="X192" s="1082">
        <f t="shared" si="87"/>
        <v>155.76840892851371</v>
      </c>
    </row>
    <row r="193" spans="2:24">
      <c r="B193" s="609" t="s">
        <v>769</v>
      </c>
      <c r="C193" s="1071">
        <v>2</v>
      </c>
      <c r="D193" s="1071">
        <v>7</v>
      </c>
      <c r="E193" s="1071">
        <v>85</v>
      </c>
      <c r="F193" s="1072">
        <v>0.25</v>
      </c>
      <c r="G193" s="1072">
        <v>0.59</v>
      </c>
      <c r="H193" s="1088">
        <v>0.65300000000000002</v>
      </c>
      <c r="I193" s="1073">
        <v>1.762</v>
      </c>
      <c r="J193" s="1073">
        <v>0.21099999999999999</v>
      </c>
      <c r="K193" s="1075">
        <v>595</v>
      </c>
      <c r="L193" s="1076">
        <f t="shared" si="83"/>
        <v>598.42532205691384</v>
      </c>
      <c r="M193" s="1073">
        <v>0.74</v>
      </c>
      <c r="N193" s="1073">
        <v>0.45</v>
      </c>
      <c r="O193" s="618">
        <f t="shared" si="84"/>
        <v>21.579130940125935</v>
      </c>
      <c r="P193" s="1078">
        <v>3.8000000000000002E-4</v>
      </c>
      <c r="Q193" s="1078">
        <v>2.3000000000000001E-4</v>
      </c>
      <c r="R193" s="656">
        <f t="shared" si="85"/>
        <v>21.657170940125933</v>
      </c>
      <c r="S193" s="1079">
        <f>C193*D193*H193*$C$71*Fuel_Specs!$C$13/1000000</f>
        <v>241.24611705599997</v>
      </c>
      <c r="T193" s="1080">
        <f>S193*Upstream!$C$95/1000000</f>
        <v>5.0462981453098283</v>
      </c>
      <c r="U193" s="1080">
        <f>S193*Upstream!$D$95/1000000</f>
        <v>5.0935327235396089E-3</v>
      </c>
      <c r="V193" s="1081">
        <f>S193*Upstream!$E$95/1000000</f>
        <v>3.4748348801160955E-5</v>
      </c>
      <c r="W193" s="1078">
        <f t="shared" si="86"/>
        <v>5.1839914713410646</v>
      </c>
      <c r="X193" s="1082">
        <f t="shared" si="87"/>
        <v>26.841162411466996</v>
      </c>
    </row>
    <row r="194" spans="2:24">
      <c r="B194" s="609" t="s">
        <v>768</v>
      </c>
      <c r="C194" s="1071">
        <v>2</v>
      </c>
      <c r="D194" s="1071">
        <v>7</v>
      </c>
      <c r="E194" s="1071">
        <v>200</v>
      </c>
      <c r="F194" s="1072">
        <v>0.85</v>
      </c>
      <c r="G194" s="1072">
        <v>0.59</v>
      </c>
      <c r="H194" s="1088">
        <v>0.112</v>
      </c>
      <c r="I194" s="1073">
        <v>0.192</v>
      </c>
      <c r="J194" s="1073">
        <v>0.13400000000000001</v>
      </c>
      <c r="K194" s="1075">
        <v>536</v>
      </c>
      <c r="L194" s="1076">
        <f t="shared" si="83"/>
        <v>536.71890368371521</v>
      </c>
      <c r="M194" s="1073">
        <v>0.74</v>
      </c>
      <c r="N194" s="1073">
        <v>0.45</v>
      </c>
      <c r="O194" s="618">
        <f t="shared" si="84"/>
        <v>154.83205103450115</v>
      </c>
      <c r="P194" s="1078">
        <v>2.2000000000000001E-4</v>
      </c>
      <c r="Q194" s="1078">
        <v>1.3999999999999999E-4</v>
      </c>
      <c r="R194" s="656">
        <f t="shared" si="85"/>
        <v>154.87927103450116</v>
      </c>
      <c r="S194" s="1079">
        <f>C194*D194*H194*$C$71*Fuel_Specs!$C$13/1000000</f>
        <v>41.377588224000007</v>
      </c>
      <c r="T194" s="1080">
        <f>S194*Upstream!$C$95/1000000</f>
        <v>0.86552127454012395</v>
      </c>
      <c r="U194" s="1080">
        <f>S194*Upstream!$D$95/1000000</f>
        <v>8.7362276422118894E-4</v>
      </c>
      <c r="V194" s="1081">
        <f>S194*Upstream!$E$95/1000000</f>
        <v>5.9599005600766131E-6</v>
      </c>
      <c r="W194" s="1078">
        <f t="shared" si="86"/>
        <v>0.8891378940125565</v>
      </c>
      <c r="X194" s="1082">
        <f t="shared" si="87"/>
        <v>155.76840892851371</v>
      </c>
    </row>
    <row r="195" spans="2:24">
      <c r="B195" s="609" t="s">
        <v>767</v>
      </c>
      <c r="C195" s="1071">
        <v>2</v>
      </c>
      <c r="D195" s="1071">
        <v>7</v>
      </c>
      <c r="E195" s="1071">
        <v>100</v>
      </c>
      <c r="F195" s="1072">
        <v>0.85</v>
      </c>
      <c r="G195" s="1072">
        <v>0.21</v>
      </c>
      <c r="H195" s="1088">
        <v>0.64600000000000002</v>
      </c>
      <c r="I195" s="1073">
        <v>4.5570000000000004</v>
      </c>
      <c r="J195" s="1073">
        <v>0.69399999999999995</v>
      </c>
      <c r="K195" s="1075">
        <v>694</v>
      </c>
      <c r="L195" s="1076">
        <f t="shared" si="83"/>
        <v>703.32056252790721</v>
      </c>
      <c r="M195" s="1073">
        <v>0.74</v>
      </c>
      <c r="N195" s="1073">
        <v>0.45</v>
      </c>
      <c r="O195" s="618">
        <f t="shared" si="84"/>
        <v>36.108095073796733</v>
      </c>
      <c r="P195" s="1078">
        <v>1.2999999999999999E-3</v>
      </c>
      <c r="Q195" s="1078">
        <v>7.7999999999999999E-4</v>
      </c>
      <c r="R195" s="656">
        <f t="shared" si="85"/>
        <v>36.373035073796729</v>
      </c>
      <c r="S195" s="1079">
        <f>C195*D195*H195*$C$71*Fuel_Specs!$C$13/1000000</f>
        <v>238.66001779199999</v>
      </c>
      <c r="T195" s="1080">
        <f>S195*Upstream!$C$95/1000000</f>
        <v>4.9922030656510712</v>
      </c>
      <c r="U195" s="1080">
        <f>S195*Upstream!$D$95/1000000</f>
        <v>5.0389313007757853E-3</v>
      </c>
      <c r="V195" s="1081">
        <f>S195*Upstream!$E$95/1000000</f>
        <v>3.4375855016156172E-5</v>
      </c>
      <c r="W195" s="1078">
        <f t="shared" si="86"/>
        <v>5.1284203529652803</v>
      </c>
      <c r="X195" s="1082">
        <f t="shared" si="87"/>
        <v>41.501455426762007</v>
      </c>
    </row>
    <row r="196" spans="2:24">
      <c r="B196" s="1097" t="s">
        <v>766</v>
      </c>
      <c r="C196" s="1135">
        <v>4</v>
      </c>
      <c r="D196" s="1135">
        <v>7</v>
      </c>
      <c r="E196" s="1135">
        <v>50</v>
      </c>
      <c r="F196" s="1137">
        <v>0.85</v>
      </c>
      <c r="G196" s="1137">
        <v>0.21</v>
      </c>
      <c r="H196" s="1158">
        <v>3.661</v>
      </c>
      <c r="I196" s="1142">
        <v>5.0209999999999999</v>
      </c>
      <c r="J196" s="1142">
        <v>1.2729999999999999</v>
      </c>
      <c r="K196" s="1159">
        <v>692</v>
      </c>
      <c r="L196" s="1141">
        <f t="shared" si="83"/>
        <v>703.85245058214161</v>
      </c>
      <c r="M196" s="1142">
        <v>0.74</v>
      </c>
      <c r="N196" s="1142">
        <v>0.45</v>
      </c>
      <c r="O196" s="1098">
        <f t="shared" si="84"/>
        <v>36.135401917154027</v>
      </c>
      <c r="P196" s="1099">
        <v>1.4999999999999999E-2</v>
      </c>
      <c r="Q196" s="1099">
        <v>8.8999999999999999E-3</v>
      </c>
      <c r="R196" s="1143">
        <f t="shared" si="85"/>
        <v>39.162601917154028</v>
      </c>
      <c r="S196" s="1144">
        <f>C196*D196*H196*$C$71*Fuel_Specs!$C$13/1000000</f>
        <v>2705.059830144</v>
      </c>
      <c r="T196" s="1145">
        <f>S196*Upstream!$C$95/1000000</f>
        <v>56.583453323060596</v>
      </c>
      <c r="U196" s="1145">
        <f>S196*Upstream!$D$95/1000000</f>
        <v>5.7113088210960214E-2</v>
      </c>
      <c r="V196" s="1146">
        <f>S196*Upstream!$E$95/1000000</f>
        <v>3.8962849911500848E-4</v>
      </c>
      <c r="W196" s="1099">
        <f t="shared" si="86"/>
        <v>58.127389821070878</v>
      </c>
      <c r="X196" s="1147">
        <f t="shared" si="87"/>
        <v>97.289991738224899</v>
      </c>
    </row>
    <row r="197" spans="2:24">
      <c r="B197" s="1100"/>
      <c r="C197" s="1100"/>
      <c r="D197" s="1100"/>
      <c r="E197" s="1100"/>
      <c r="F197" s="1100"/>
      <c r="G197" s="1100"/>
      <c r="H197" s="1148"/>
      <c r="I197" s="1160"/>
      <c r="J197" s="1160"/>
      <c r="K197" s="1160"/>
      <c r="L197" s="1160"/>
      <c r="M197" s="1160"/>
      <c r="N197" s="1103" t="s">
        <v>746</v>
      </c>
      <c r="O197" s="1104">
        <f>SUM(O182:O196)</f>
        <v>1544.6175213257973</v>
      </c>
      <c r="P197" s="1161">
        <f t="shared" ref="P197:W197" si="88">SUM(P182:P196)</f>
        <v>2.8029999999999999E-2</v>
      </c>
      <c r="Q197" s="1161">
        <f t="shared" si="88"/>
        <v>1.6812000000000001E-2</v>
      </c>
      <c r="R197" s="1108">
        <f t="shared" si="88"/>
        <v>1550.3282473257977</v>
      </c>
      <c r="S197" s="1108">
        <f t="shared" si="88"/>
        <v>5280.0758115839999</v>
      </c>
      <c r="T197" s="1108">
        <f t="shared" si="88"/>
        <v>110.44669692613793</v>
      </c>
      <c r="U197" s="1108">
        <f t="shared" si="88"/>
        <v>0.11148050487722527</v>
      </c>
      <c r="V197" s="1108">
        <f t="shared" si="88"/>
        <v>7.6052588218406198E-4</v>
      </c>
      <c r="W197" s="1108">
        <f t="shared" si="88"/>
        <v>113.46034626095943</v>
      </c>
      <c r="X197" s="1108">
        <f>SUM(X182:X196)</f>
        <v>1663.7885935867569</v>
      </c>
    </row>
    <row r="198" spans="2:24">
      <c r="C198" s="605"/>
      <c r="D198" s="605"/>
      <c r="E198" s="605"/>
      <c r="F198" s="605"/>
      <c r="G198" s="605"/>
      <c r="H198" s="1116"/>
      <c r="I198" s="617"/>
      <c r="J198" s="617"/>
      <c r="K198" s="618"/>
      <c r="L198" s="618"/>
      <c r="M198" s="617"/>
      <c r="N198" s="617"/>
      <c r="O198" s="618"/>
      <c r="P198" s="617"/>
    </row>
    <row r="199" spans="2:24">
      <c r="B199" s="609" t="s">
        <v>602</v>
      </c>
      <c r="C199" s="605"/>
      <c r="D199" s="605"/>
      <c r="E199" s="605"/>
      <c r="F199" s="605"/>
      <c r="G199" s="605"/>
      <c r="H199" s="1116"/>
      <c r="I199" s="617"/>
      <c r="J199" s="617"/>
      <c r="K199" s="618"/>
      <c r="L199" s="618"/>
      <c r="M199" s="617"/>
      <c r="N199" s="617"/>
      <c r="O199" s="618"/>
      <c r="P199" s="617"/>
    </row>
    <row r="200" spans="2:24">
      <c r="B200" s="619" t="s">
        <v>765</v>
      </c>
      <c r="C200" s="605"/>
      <c r="D200" s="605"/>
      <c r="E200" s="605"/>
      <c r="F200" s="605"/>
      <c r="G200" s="605"/>
      <c r="H200" s="1116"/>
      <c r="I200" s="617"/>
      <c r="J200" s="617"/>
      <c r="K200" s="618"/>
      <c r="L200" s="618"/>
      <c r="M200" s="617"/>
      <c r="N200" s="617"/>
      <c r="O200" s="618"/>
      <c r="P200" s="617"/>
    </row>
    <row r="201" spans="2:24">
      <c r="B201" s="619" t="s">
        <v>846</v>
      </c>
      <c r="C201" s="605"/>
      <c r="D201" s="605"/>
      <c r="E201" s="605"/>
      <c r="F201" s="605"/>
      <c r="G201" s="605"/>
      <c r="H201" s="1116"/>
      <c r="I201" s="617"/>
      <c r="J201" s="617"/>
      <c r="K201" s="618"/>
      <c r="L201" s="618"/>
      <c r="M201" s="617"/>
      <c r="N201" s="617"/>
      <c r="O201" s="618"/>
      <c r="P201" s="617"/>
    </row>
    <row r="202" spans="2:24">
      <c r="B202" s="619" t="s">
        <v>764</v>
      </c>
      <c r="C202" s="605"/>
      <c r="D202" s="605"/>
      <c r="E202" s="605"/>
      <c r="F202" s="605"/>
      <c r="G202" s="605"/>
      <c r="H202" s="1116"/>
      <c r="I202" s="617"/>
      <c r="J202" s="617"/>
      <c r="K202" s="618"/>
      <c r="L202" s="618"/>
      <c r="M202" s="617"/>
      <c r="N202" s="617"/>
      <c r="O202" s="618"/>
      <c r="P202" s="617"/>
    </row>
    <row r="203" spans="2:24">
      <c r="B203" s="619" t="s">
        <v>763</v>
      </c>
      <c r="C203" s="605"/>
      <c r="D203" s="605"/>
      <c r="E203" s="605"/>
      <c r="F203" s="605"/>
      <c r="G203" s="605"/>
      <c r="H203" s="1116"/>
      <c r="I203" s="617"/>
      <c r="J203" s="617"/>
      <c r="K203" s="618"/>
      <c r="L203" s="618"/>
      <c r="M203" s="617"/>
      <c r="N203" s="617"/>
      <c r="O203" s="618"/>
      <c r="P203" s="617"/>
    </row>
    <row r="204" spans="2:24">
      <c r="B204" s="619"/>
      <c r="C204" s="605"/>
      <c r="D204" s="605"/>
      <c r="E204" s="605"/>
      <c r="F204" s="605"/>
      <c r="G204" s="605"/>
      <c r="H204" s="1116"/>
      <c r="I204" s="617"/>
      <c r="J204" s="617"/>
      <c r="K204" s="618"/>
      <c r="L204" s="618"/>
      <c r="M204" s="617"/>
      <c r="N204" s="617"/>
      <c r="O204" s="618"/>
      <c r="P204" s="617"/>
    </row>
    <row r="206" spans="2:24" ht="15.75">
      <c r="B206" s="620" t="s">
        <v>762</v>
      </c>
      <c r="C206" s="621"/>
      <c r="D206" s="621"/>
      <c r="E206" s="621"/>
      <c r="F206" s="621"/>
      <c r="G206" s="621"/>
      <c r="H206" s="1117"/>
      <c r="I206" s="621"/>
      <c r="J206" s="621"/>
      <c r="K206" s="621"/>
      <c r="L206" s="621"/>
    </row>
    <row r="207" spans="2:24" ht="15">
      <c r="B207" s="622" t="s">
        <v>761</v>
      </c>
      <c r="C207" s="621"/>
      <c r="D207" s="621"/>
      <c r="E207" s="621"/>
      <c r="F207" s="621"/>
      <c r="G207" s="621"/>
      <c r="H207" s="1117"/>
      <c r="I207" s="621"/>
      <c r="J207" s="621"/>
      <c r="K207" s="621"/>
      <c r="L207" s="621"/>
    </row>
    <row r="208" spans="2:24">
      <c r="B208" s="621"/>
      <c r="C208" s="621"/>
      <c r="D208" s="621"/>
      <c r="E208" s="621"/>
      <c r="F208" s="621"/>
      <c r="G208" s="621"/>
      <c r="H208" s="1117"/>
      <c r="I208" s="621"/>
      <c r="J208" s="621"/>
      <c r="K208" s="621"/>
      <c r="L208" s="621"/>
    </row>
    <row r="209" spans="2:20">
      <c r="B209" s="623" t="s">
        <v>760</v>
      </c>
      <c r="C209" s="624"/>
      <c r="D209" s="624"/>
      <c r="E209" s="624"/>
      <c r="F209" s="624"/>
      <c r="G209" s="624"/>
      <c r="H209" s="1118"/>
      <c r="I209" s="624"/>
      <c r="J209" s="624"/>
      <c r="K209" s="624"/>
      <c r="L209" s="624"/>
      <c r="M209" s="624"/>
      <c r="N209" s="664"/>
    </row>
    <row r="210" spans="2:20" ht="63.75">
      <c r="B210" s="587" t="s">
        <v>752</v>
      </c>
      <c r="C210" s="586" t="s">
        <v>751</v>
      </c>
      <c r="D210" s="584" t="s">
        <v>750</v>
      </c>
      <c r="E210" s="659" t="s">
        <v>1138</v>
      </c>
      <c r="F210" s="665" t="s">
        <v>1139</v>
      </c>
      <c r="G210" s="659" t="s">
        <v>1140</v>
      </c>
      <c r="H210" s="1119" t="s">
        <v>865</v>
      </c>
      <c r="I210" s="659" t="s">
        <v>866</v>
      </c>
      <c r="J210" s="584" t="s">
        <v>1141</v>
      </c>
      <c r="K210" s="659" t="s">
        <v>1142</v>
      </c>
      <c r="L210" s="584" t="s">
        <v>1143</v>
      </c>
      <c r="M210" s="584" t="s">
        <v>1144</v>
      </c>
      <c r="N210" s="585" t="s">
        <v>1145</v>
      </c>
      <c r="O210" s="585" t="s">
        <v>867</v>
      </c>
      <c r="P210" s="652" t="s">
        <v>1146</v>
      </c>
      <c r="Q210" s="653" t="s">
        <v>1147</v>
      </c>
      <c r="R210" s="653" t="s">
        <v>1148</v>
      </c>
      <c r="S210" s="652" t="s">
        <v>1149</v>
      </c>
      <c r="T210" s="590" t="s">
        <v>1150</v>
      </c>
    </row>
    <row r="211" spans="2:20" ht="25.5">
      <c r="B211" s="626" t="s">
        <v>1158</v>
      </c>
      <c r="C211" s="626" t="s">
        <v>748</v>
      </c>
      <c r="D211" s="627">
        <f>H323</f>
        <v>0</v>
      </c>
      <c r="E211" s="666">
        <v>311</v>
      </c>
      <c r="F211" s="667">
        <v>4.0000000000000001E-3</v>
      </c>
      <c r="G211" s="667">
        <v>2E-3</v>
      </c>
      <c r="H211" s="1120">
        <v>2.8260000000000001</v>
      </c>
      <c r="I211" s="667">
        <v>3.5999999999999997E-2</v>
      </c>
      <c r="J211" s="607">
        <f>E211+I211*VOC_C_Ratio/CO2_C_Ratio+H211*CO_C_Ratio/CO2_C_Ratio</f>
        <v>315.55207738532806</v>
      </c>
      <c r="K211" s="660">
        <f>$D211*J211/1000000</f>
        <v>0</v>
      </c>
      <c r="L211" s="628">
        <f>$D211*F211/1000000</f>
        <v>0</v>
      </c>
      <c r="M211" s="628">
        <f>$D211*G211/1000000</f>
        <v>0</v>
      </c>
      <c r="N211" s="600">
        <f>K211+L211*CH4_GWP+M211*N2O_GWP</f>
        <v>0</v>
      </c>
      <c r="O211" s="628">
        <f>N211*1000000/Fuel_Specs!$J$8</f>
        <v>0</v>
      </c>
      <c r="P211" s="671">
        <f>$O211*Upstream!C$104/1000000</f>
        <v>0</v>
      </c>
      <c r="Q211" s="671">
        <f>$O211*Upstream!D$104/1000000</f>
        <v>0</v>
      </c>
      <c r="R211" s="671">
        <f>$O211*Upstream!E$104/1000000</f>
        <v>0</v>
      </c>
      <c r="S211" s="671">
        <f>P211+Q211*CH4_GWP+R211*N2O_GWP</f>
        <v>0</v>
      </c>
      <c r="T211" s="672">
        <f>N211+S211</f>
        <v>0</v>
      </c>
    </row>
    <row r="212" spans="2:20">
      <c r="B212" s="587" t="s">
        <v>747</v>
      </c>
      <c r="C212" s="586"/>
      <c r="D212" s="627">
        <f>I323</f>
        <v>38</v>
      </c>
      <c r="E212" s="666">
        <v>1942</v>
      </c>
      <c r="F212" s="667">
        <v>2.8000000000000001E-2</v>
      </c>
      <c r="G212" s="667">
        <v>2E-3</v>
      </c>
      <c r="H212" s="1120">
        <v>3.11</v>
      </c>
      <c r="I212" s="667">
        <v>0.52400000000000002</v>
      </c>
      <c r="J212" s="607">
        <f>E212+I212*VOC_C_Ratio/CO2_C_Ratio+H212*CO_C_Ratio/CO2_C_Ratio</f>
        <v>1948.5178084957543</v>
      </c>
      <c r="K212" s="628">
        <f>$D212*J212/1000000</f>
        <v>7.4043676722838667E-2</v>
      </c>
      <c r="L212" s="628">
        <f>$D212*F212/1000000</f>
        <v>1.0640000000000001E-6</v>
      </c>
      <c r="M212" s="628">
        <f>$D212*G212/1000000</f>
        <v>7.5999999999999992E-8</v>
      </c>
      <c r="N212" s="600">
        <f>K212+L212*CH4_GWP+M212*N2O_GWP</f>
        <v>7.4092924722838668E-2</v>
      </c>
      <c r="O212" s="628">
        <f>N212*1000000/Fuel_Specs!$J$14</f>
        <v>0.94860878069567889</v>
      </c>
      <c r="P212" s="671">
        <f>$O212*Upstream!C$104/1000000</f>
        <v>2.3004243914988533E-2</v>
      </c>
      <c r="Q212" s="671">
        <f>$O212*Upstream!D$104/1000000</f>
        <v>0</v>
      </c>
      <c r="R212" s="671">
        <f>$O212*Upstream!E$104/1000000</f>
        <v>0</v>
      </c>
      <c r="S212" s="671">
        <f>P212+Q212*CH4_GWP+R212*N2O_GWP</f>
        <v>2.3004243914988533E-2</v>
      </c>
      <c r="T212" s="672">
        <f>N212+S212</f>
        <v>9.7097168637827205E-2</v>
      </c>
    </row>
    <row r="213" spans="2:20">
      <c r="B213" s="589"/>
      <c r="C213" s="581"/>
      <c r="D213" s="629"/>
      <c r="E213" s="668"/>
      <c r="F213" s="668"/>
      <c r="G213" s="668"/>
      <c r="H213" s="1121"/>
      <c r="I213" s="668"/>
      <c r="J213" s="584" t="s">
        <v>211</v>
      </c>
      <c r="K213" s="628">
        <f>SUM(K211:K212)</f>
        <v>7.4043676722838667E-2</v>
      </c>
      <c r="L213" s="628">
        <f t="shared" ref="L213" si="89">SUM(L211:L212)</f>
        <v>1.0640000000000001E-6</v>
      </c>
      <c r="M213" s="628">
        <f>SUM(M211:M212)</f>
        <v>7.5999999999999992E-8</v>
      </c>
      <c r="N213" s="628">
        <f>SUM(N211:N212)</f>
        <v>7.4092924722838668E-2</v>
      </c>
      <c r="O213" s="628">
        <f>SUM(O211:O212)</f>
        <v>0.94860878069567889</v>
      </c>
      <c r="P213" s="628">
        <f t="shared" ref="P213:T213" si="90">SUM(P211:P212)</f>
        <v>2.3004243914988533E-2</v>
      </c>
      <c r="Q213" s="628">
        <f t="shared" si="90"/>
        <v>0</v>
      </c>
      <c r="R213" s="628">
        <f t="shared" si="90"/>
        <v>0</v>
      </c>
      <c r="S213" s="628">
        <f t="shared" si="90"/>
        <v>2.3004243914988533E-2</v>
      </c>
      <c r="T213" s="628">
        <f t="shared" si="90"/>
        <v>9.7097168637827205E-2</v>
      </c>
    </row>
    <row r="214" spans="2:20">
      <c r="B214" s="588"/>
      <c r="C214" s="578"/>
      <c r="D214" s="630"/>
      <c r="E214" s="661"/>
      <c r="F214" s="661"/>
      <c r="G214" s="661"/>
      <c r="H214" s="1122"/>
      <c r="I214" s="661"/>
      <c r="K214" s="661"/>
      <c r="L214" s="630"/>
      <c r="M214" s="630"/>
      <c r="N214" s="630"/>
      <c r="O214" s="630"/>
      <c r="P214" s="630"/>
      <c r="Q214" s="630"/>
      <c r="R214" s="630"/>
      <c r="S214" s="630"/>
      <c r="T214" s="630"/>
    </row>
    <row r="215" spans="2:20">
      <c r="B215" s="632" t="s">
        <v>759</v>
      </c>
      <c r="C215" s="633"/>
      <c r="D215" s="634"/>
      <c r="E215" s="662"/>
      <c r="F215" s="662"/>
      <c r="G215" s="662"/>
      <c r="H215" s="1123"/>
      <c r="I215" s="662"/>
      <c r="J215" s="634"/>
      <c r="K215" s="634"/>
      <c r="L215" s="634"/>
      <c r="M215" s="634"/>
      <c r="N215" s="634"/>
      <c r="O215" s="634"/>
      <c r="P215" s="634"/>
      <c r="Q215" s="634"/>
      <c r="R215" s="634"/>
      <c r="S215" s="634"/>
      <c r="T215" s="634"/>
    </row>
    <row r="216" spans="2:20" ht="63.75">
      <c r="B216" s="587" t="s">
        <v>752</v>
      </c>
      <c r="C216" s="586" t="s">
        <v>751</v>
      </c>
      <c r="D216" s="584" t="s">
        <v>750</v>
      </c>
      <c r="E216" s="659" t="s">
        <v>1138</v>
      </c>
      <c r="F216" s="665" t="s">
        <v>1139</v>
      </c>
      <c r="G216" s="659" t="s">
        <v>1140</v>
      </c>
      <c r="H216" s="1119" t="s">
        <v>865</v>
      </c>
      <c r="I216" s="659" t="s">
        <v>866</v>
      </c>
      <c r="J216" s="584" t="s">
        <v>1141</v>
      </c>
      <c r="K216" s="659" t="s">
        <v>1142</v>
      </c>
      <c r="L216" s="584" t="s">
        <v>1143</v>
      </c>
      <c r="M216" s="584" t="s">
        <v>1144</v>
      </c>
      <c r="N216" s="585" t="s">
        <v>1145</v>
      </c>
      <c r="O216" s="585" t="s">
        <v>867</v>
      </c>
      <c r="P216" s="652" t="s">
        <v>1146</v>
      </c>
      <c r="Q216" s="653" t="s">
        <v>1147</v>
      </c>
      <c r="R216" s="653" t="s">
        <v>1148</v>
      </c>
      <c r="S216" s="652" t="s">
        <v>1149</v>
      </c>
      <c r="T216" s="590" t="s">
        <v>1150</v>
      </c>
    </row>
    <row r="217" spans="2:20" ht="25.5">
      <c r="B217" s="626" t="s">
        <v>1158</v>
      </c>
      <c r="C217" s="626" t="s">
        <v>748</v>
      </c>
      <c r="D217" s="627">
        <f>H324</f>
        <v>0</v>
      </c>
      <c r="E217" s="666">
        <v>325.20600000000002</v>
      </c>
      <c r="F217" s="667">
        <v>4.0000000000000001E-3</v>
      </c>
      <c r="G217" s="667">
        <v>2E-3</v>
      </c>
      <c r="H217" s="1120">
        <v>1.827</v>
      </c>
      <c r="I217" s="667">
        <v>3.5999999999999997E-2</v>
      </c>
      <c r="J217" s="607">
        <f>E217+I217*VOC_C_Ratio/CO2_C_Ratio+H217*CO_C_Ratio/CO2_C_Ratio</f>
        <v>328.18853008433928</v>
      </c>
      <c r="K217" s="660">
        <f>$D217*J217/1000000</f>
        <v>0</v>
      </c>
      <c r="L217" s="628">
        <f>$D217*F217/1000000</f>
        <v>0</v>
      </c>
      <c r="M217" s="628">
        <f>$D217*G217/1000000</f>
        <v>0</v>
      </c>
      <c r="N217" s="600">
        <f>K217+L217*CH4_GWP+M217*N2O_GWP</f>
        <v>0</v>
      </c>
      <c r="O217" s="628">
        <f>N217*1000000/Fuel_Specs!$J$8</f>
        <v>0</v>
      </c>
      <c r="P217" s="671">
        <f>$O217*Upstream!C$104/1000000</f>
        <v>0</v>
      </c>
      <c r="Q217" s="671">
        <f>$O217*Upstream!D$104/1000000</f>
        <v>0</v>
      </c>
      <c r="R217" s="671">
        <f>$O217*Upstream!E$104/1000000</f>
        <v>0</v>
      </c>
      <c r="S217" s="671">
        <f>P217+Q217*CH4_GWP+R217*N2O_GWP</f>
        <v>0</v>
      </c>
      <c r="T217" s="672">
        <f>N217+S217</f>
        <v>0</v>
      </c>
    </row>
    <row r="218" spans="2:20">
      <c r="B218" s="587" t="s">
        <v>747</v>
      </c>
      <c r="C218" s="586"/>
      <c r="D218" s="627">
        <f>I324</f>
        <v>1225</v>
      </c>
      <c r="E218" s="666">
        <v>2017</v>
      </c>
      <c r="F218" s="667">
        <v>2.8000000000000001E-2</v>
      </c>
      <c r="G218" s="667">
        <v>2E-3</v>
      </c>
      <c r="H218" s="1120">
        <v>3.11</v>
      </c>
      <c r="I218" s="667">
        <v>0.52400000000000002</v>
      </c>
      <c r="J218" s="607">
        <f>E218+I218*VOC_C_Ratio/CO2_C_Ratio+H218*CO_C_Ratio/CO2_C_Ratio</f>
        <v>2023.5178084957543</v>
      </c>
      <c r="K218" s="660">
        <f>$D218*J218/1000000</f>
        <v>2.478809315407299</v>
      </c>
      <c r="L218" s="628">
        <f>$D218*F218/1000000</f>
        <v>3.4300000000000007E-5</v>
      </c>
      <c r="M218" s="628">
        <f>$D218*G218/1000000</f>
        <v>2.4500000000000003E-6</v>
      </c>
      <c r="N218" s="600">
        <f>K218+L218*CH4_GWP+M218*N2O_GWP</f>
        <v>2.4803969154072991</v>
      </c>
      <c r="O218" s="628">
        <f>N218*1000000/Fuel_Specs!$J$14</f>
        <v>31.756423469143563</v>
      </c>
      <c r="P218" s="671">
        <f>$O218*Upstream!C$104/1000000</f>
        <v>0.77010937092116727</v>
      </c>
      <c r="Q218" s="671">
        <f>$O218*Upstream!D$104/1000000</f>
        <v>0</v>
      </c>
      <c r="R218" s="671">
        <f>$O218*Upstream!E$104/1000000</f>
        <v>0</v>
      </c>
      <c r="S218" s="671">
        <f>P218+Q218*CH4_GWP+R218*N2O_GWP</f>
        <v>0.77010937092116727</v>
      </c>
      <c r="T218" s="672">
        <f>N218+S218</f>
        <v>3.2505062863284664</v>
      </c>
    </row>
    <row r="219" spans="2:20">
      <c r="B219" s="589"/>
      <c r="C219" s="581"/>
      <c r="D219" s="581"/>
      <c r="E219" s="669"/>
      <c r="F219" s="669"/>
      <c r="G219" s="669"/>
      <c r="H219" s="1124"/>
      <c r="I219" s="669"/>
      <c r="J219" s="584" t="s">
        <v>211</v>
      </c>
      <c r="K219" s="660">
        <f>SUM(K217:K218)</f>
        <v>2.478809315407299</v>
      </c>
      <c r="L219" s="628">
        <f t="shared" ref="L219" si="91">SUM(L217:L218)</f>
        <v>3.4300000000000007E-5</v>
      </c>
      <c r="M219" s="628">
        <f t="shared" ref="M219" si="92">SUM(M217:M218)</f>
        <v>2.4500000000000003E-6</v>
      </c>
      <c r="N219" s="600">
        <f>K219+L219*CH4_GWP+M219*N2O_GWP</f>
        <v>2.4803969154072991</v>
      </c>
      <c r="O219" s="628">
        <f>SUM(O217:O218)</f>
        <v>31.756423469143563</v>
      </c>
      <c r="P219" s="628">
        <f t="shared" ref="P219" si="93">SUM(P217:P218)</f>
        <v>0.77010937092116727</v>
      </c>
      <c r="Q219" s="628">
        <f t="shared" ref="Q219" si="94">SUM(Q217:Q218)</f>
        <v>0</v>
      </c>
      <c r="R219" s="628">
        <f t="shared" ref="R219" si="95">SUM(R217:R218)</f>
        <v>0</v>
      </c>
      <c r="S219" s="628">
        <f t="shared" ref="S219" si="96">SUM(S217:S218)</f>
        <v>0.77010937092116727</v>
      </c>
      <c r="T219" s="628">
        <f t="shared" ref="T219" si="97">SUM(T217:T218)</f>
        <v>3.2505062863284664</v>
      </c>
    </row>
    <row r="220" spans="2:20" ht="25.5">
      <c r="B220" s="588"/>
      <c r="C220" s="578"/>
      <c r="D220" s="578"/>
      <c r="E220" s="670"/>
      <c r="F220" s="670"/>
      <c r="G220" s="670"/>
      <c r="H220" s="1125"/>
      <c r="I220" s="670"/>
      <c r="J220" s="636" t="s">
        <v>746</v>
      </c>
      <c r="K220" s="637">
        <f>K213+K219</f>
        <v>2.5528529921301377</v>
      </c>
      <c r="L220" s="637">
        <f>L213+L219</f>
        <v>3.5364000000000009E-5</v>
      </c>
      <c r="M220" s="637">
        <f>M213+M219</f>
        <v>2.526E-6</v>
      </c>
      <c r="N220" s="637">
        <f>N213+N219</f>
        <v>2.5544898401301377</v>
      </c>
      <c r="O220" s="637">
        <f>O213+O219</f>
        <v>32.705032249839242</v>
      </c>
      <c r="P220" s="637">
        <f t="shared" ref="P220:S220" si="98">P213+P219</f>
        <v>0.79311361483615583</v>
      </c>
      <c r="Q220" s="637">
        <f t="shared" si="98"/>
        <v>0</v>
      </c>
      <c r="R220" s="637">
        <f t="shared" si="98"/>
        <v>0</v>
      </c>
      <c r="S220" s="637">
        <f t="shared" si="98"/>
        <v>0.79311361483615583</v>
      </c>
      <c r="T220" s="637">
        <f>T213+T219</f>
        <v>3.3476034549662934</v>
      </c>
    </row>
    <row r="221" spans="2:20">
      <c r="B221" s="621"/>
      <c r="C221" s="621"/>
      <c r="D221" s="621"/>
      <c r="E221" s="657"/>
      <c r="F221" s="657"/>
      <c r="G221" s="657"/>
      <c r="I221" s="655"/>
      <c r="K221" s="657"/>
      <c r="L221" s="621"/>
      <c r="M221" s="621"/>
      <c r="N221" s="621"/>
      <c r="O221" s="621"/>
      <c r="P221" s="621"/>
      <c r="Q221" s="621"/>
      <c r="R221" s="621"/>
      <c r="S221" s="621"/>
      <c r="T221" s="621"/>
    </row>
    <row r="222" spans="2:20">
      <c r="B222" s="621"/>
      <c r="C222" s="621"/>
      <c r="D222" s="621"/>
      <c r="E222" s="657"/>
      <c r="F222" s="657"/>
      <c r="G222" s="657"/>
      <c r="I222" s="655"/>
      <c r="K222" s="657"/>
      <c r="L222" s="621"/>
      <c r="M222" s="621"/>
      <c r="N222" s="621"/>
      <c r="O222" s="621"/>
      <c r="P222" s="621"/>
      <c r="Q222" s="621"/>
      <c r="R222" s="621"/>
      <c r="S222" s="621"/>
      <c r="T222" s="621"/>
    </row>
    <row r="223" spans="2:20">
      <c r="B223" s="623" t="s">
        <v>758</v>
      </c>
      <c r="C223" s="624"/>
      <c r="D223" s="624"/>
      <c r="E223" s="658"/>
      <c r="F223" s="658"/>
      <c r="G223" s="658"/>
      <c r="H223" s="1118"/>
      <c r="I223" s="658"/>
      <c r="J223" s="624"/>
      <c r="K223" s="624"/>
      <c r="L223" s="624"/>
      <c r="M223" s="624"/>
      <c r="N223" s="624"/>
      <c r="O223" s="624"/>
      <c r="P223" s="624"/>
      <c r="Q223" s="624"/>
      <c r="R223" s="624"/>
      <c r="S223" s="624"/>
      <c r="T223" s="624"/>
    </row>
    <row r="224" spans="2:20" ht="63.75">
      <c r="B224" s="587" t="s">
        <v>752</v>
      </c>
      <c r="C224" s="586" t="s">
        <v>751</v>
      </c>
      <c r="D224" s="584" t="s">
        <v>750</v>
      </c>
      <c r="E224" s="659" t="s">
        <v>1138</v>
      </c>
      <c r="F224" s="665" t="s">
        <v>1139</v>
      </c>
      <c r="G224" s="659" t="s">
        <v>1140</v>
      </c>
      <c r="H224" s="1119" t="s">
        <v>865</v>
      </c>
      <c r="I224" s="659" t="s">
        <v>866</v>
      </c>
      <c r="J224" s="584" t="s">
        <v>1141</v>
      </c>
      <c r="K224" s="659" t="s">
        <v>1142</v>
      </c>
      <c r="L224" s="584" t="s">
        <v>1143</v>
      </c>
      <c r="M224" s="584" t="s">
        <v>1144</v>
      </c>
      <c r="N224" s="585" t="s">
        <v>1145</v>
      </c>
      <c r="O224" s="585" t="s">
        <v>867</v>
      </c>
      <c r="P224" s="652" t="s">
        <v>1146</v>
      </c>
      <c r="Q224" s="653" t="s">
        <v>1147</v>
      </c>
      <c r="R224" s="653" t="s">
        <v>1148</v>
      </c>
      <c r="S224" s="652" t="s">
        <v>1149</v>
      </c>
      <c r="T224" s="590" t="s">
        <v>1150</v>
      </c>
    </row>
    <row r="225" spans="2:20" ht="25.5">
      <c r="B225" s="625" t="s">
        <v>749</v>
      </c>
      <c r="C225" s="626" t="s">
        <v>748</v>
      </c>
      <c r="D225" s="627">
        <f>H325</f>
        <v>309120</v>
      </c>
      <c r="E225" s="666">
        <v>306</v>
      </c>
      <c r="F225" s="667">
        <v>3.0000000000000001E-3</v>
      </c>
      <c r="G225" s="667">
        <v>1E-3</v>
      </c>
      <c r="H225" s="1120">
        <v>2.6760000000000002</v>
      </c>
      <c r="I225" s="667">
        <v>0.03</v>
      </c>
      <c r="J225" s="607">
        <f>E225+I225*VOC_C_Ratio/CO2_C_Ratio+H225*CO_C_Ratio/CO2_C_Ratio</f>
        <v>310.29772683373676</v>
      </c>
      <c r="K225" s="660">
        <f>$D225*J225/1000000</f>
        <v>95.919233318844704</v>
      </c>
      <c r="L225" s="628">
        <f>$D225*F225/1000000</f>
        <v>9.2736000000000001E-4</v>
      </c>
      <c r="M225" s="628">
        <f>$D225*G225/1000000</f>
        <v>3.0912000000000002E-4</v>
      </c>
      <c r="N225" s="600">
        <f>K225+L225*CH4_GWP+M225*N2O_GWP</f>
        <v>96.034535078844698</v>
      </c>
      <c r="O225" s="628">
        <f>N225*1000000/Fuel_Specs!$J$8</f>
        <v>1250.9641167806369</v>
      </c>
      <c r="P225" s="671">
        <f>$O225*Upstream!C$104/1000000</f>
        <v>30.336514121464806</v>
      </c>
      <c r="Q225" s="671">
        <f>$O225*Upstream!D$104/1000000</f>
        <v>0</v>
      </c>
      <c r="R225" s="671">
        <f>$O225*Upstream!E$104/1000000</f>
        <v>0</v>
      </c>
      <c r="S225" s="671">
        <f>P225+Q225*CH4_GWP+R225*N2O_GWP</f>
        <v>30.336514121464806</v>
      </c>
      <c r="T225" s="672">
        <f>N225+S225</f>
        <v>126.3710492003095</v>
      </c>
    </row>
    <row r="226" spans="2:20">
      <c r="B226" s="587" t="s">
        <v>747</v>
      </c>
      <c r="C226" s="586"/>
      <c r="D226" s="627">
        <f>I325</f>
        <v>9999</v>
      </c>
      <c r="E226" s="666">
        <v>1942</v>
      </c>
      <c r="F226" s="667">
        <v>0.03</v>
      </c>
      <c r="G226" s="667">
        <v>2E-3</v>
      </c>
      <c r="H226" s="1120">
        <v>2.86</v>
      </c>
      <c r="I226" s="667">
        <v>0.48</v>
      </c>
      <c r="J226" s="607">
        <f>E226+I226*VOC_C_Ratio/CO2_C_Ratio+H226*CO_C_Ratio/CO2_C_Ratio</f>
        <v>1947.9880217739149</v>
      </c>
      <c r="K226" s="660">
        <f>$D226*J226/1000000</f>
        <v>19.477932229717375</v>
      </c>
      <c r="L226" s="628">
        <f>$D226*F226/1000000</f>
        <v>2.9996999999999999E-4</v>
      </c>
      <c r="M226" s="628">
        <f>$D226*G226/1000000</f>
        <v>1.9998000000000001E-5</v>
      </c>
      <c r="N226" s="600">
        <f>K226+L226*CH4_GWP+M226*N2O_GWP</f>
        <v>19.491390883717372</v>
      </c>
      <c r="O226" s="628">
        <f>N226*1000000/Fuel_Specs!$J$14</f>
        <v>249.54750550650994</v>
      </c>
      <c r="P226" s="671">
        <f>$O226*Upstream!C$104/1000000</f>
        <v>6.05165353923742</v>
      </c>
      <c r="Q226" s="671">
        <f>$O226*Upstream!D$104/1000000</f>
        <v>0</v>
      </c>
      <c r="R226" s="671">
        <f>$O226*Upstream!E$104/1000000</f>
        <v>0</v>
      </c>
      <c r="S226" s="671">
        <f>P226+Q226*CH4_GWP+R226*N2O_GWP</f>
        <v>6.05165353923742</v>
      </c>
      <c r="T226" s="672">
        <f>N226+S226</f>
        <v>25.543044422954793</v>
      </c>
    </row>
    <row r="227" spans="2:20">
      <c r="B227" s="589"/>
      <c r="C227" s="581"/>
      <c r="D227" s="629"/>
      <c r="E227" s="668"/>
      <c r="F227" s="668"/>
      <c r="G227" s="668"/>
      <c r="H227" s="1121"/>
      <c r="I227" s="668"/>
      <c r="J227" s="584" t="s">
        <v>211</v>
      </c>
      <c r="K227" s="660">
        <f>SUM(K225:K226)</f>
        <v>115.39716554856207</v>
      </c>
      <c r="L227" s="628">
        <f t="shared" ref="L227:M227" si="99">SUM(L225:L226)</f>
        <v>1.22733E-3</v>
      </c>
      <c r="M227" s="628">
        <f t="shared" si="99"/>
        <v>3.2911800000000004E-4</v>
      </c>
      <c r="N227" s="600">
        <f>K227+L227*CH4_GWP+M227*N2O_GWP</f>
        <v>115.52592596256207</v>
      </c>
      <c r="O227" s="628">
        <f>SUM(O225:O226)</f>
        <v>1500.5116222871468</v>
      </c>
      <c r="P227" s="628">
        <f t="shared" ref="P227" si="100">SUM(P225:P226)</f>
        <v>36.388167660702223</v>
      </c>
      <c r="Q227" s="628">
        <f t="shared" ref="Q227" si="101">SUM(Q225:Q226)</f>
        <v>0</v>
      </c>
      <c r="R227" s="628">
        <f t="shared" ref="R227" si="102">SUM(R225:R226)</f>
        <v>0</v>
      </c>
      <c r="S227" s="628">
        <f t="shared" ref="S227" si="103">SUM(S225:S226)</f>
        <v>36.388167660702223</v>
      </c>
      <c r="T227" s="628">
        <f t="shared" ref="T227" si="104">SUM(T225:T226)</f>
        <v>151.91409362326431</v>
      </c>
    </row>
    <row r="228" spans="2:20">
      <c r="B228" s="588"/>
      <c r="C228" s="578"/>
      <c r="D228" s="630"/>
      <c r="E228" s="661"/>
      <c r="F228" s="661"/>
      <c r="G228" s="661"/>
      <c r="H228" s="1122"/>
      <c r="I228" s="661"/>
      <c r="K228" s="661"/>
      <c r="L228" s="630"/>
      <c r="M228" s="630"/>
      <c r="N228" s="631"/>
    </row>
    <row r="229" spans="2:20">
      <c r="B229" s="632" t="s">
        <v>757</v>
      </c>
      <c r="C229" s="633"/>
      <c r="D229" s="634"/>
      <c r="E229" s="662"/>
      <c r="F229" s="662"/>
      <c r="G229" s="662"/>
      <c r="H229" s="1123"/>
      <c r="I229" s="662"/>
      <c r="J229" s="634"/>
      <c r="K229" s="634"/>
      <c r="L229" s="634"/>
      <c r="M229" s="634"/>
      <c r="N229" s="635"/>
    </row>
    <row r="230" spans="2:20" ht="63.75">
      <c r="B230" s="587" t="s">
        <v>752</v>
      </c>
      <c r="C230" s="586" t="s">
        <v>751</v>
      </c>
      <c r="D230" s="584" t="s">
        <v>750</v>
      </c>
      <c r="E230" s="659" t="s">
        <v>1138</v>
      </c>
      <c r="F230" s="665" t="s">
        <v>1139</v>
      </c>
      <c r="G230" s="659" t="s">
        <v>1140</v>
      </c>
      <c r="H230" s="1119" t="s">
        <v>865</v>
      </c>
      <c r="I230" s="659" t="s">
        <v>866</v>
      </c>
      <c r="J230" s="584" t="s">
        <v>1141</v>
      </c>
      <c r="K230" s="659" t="s">
        <v>1142</v>
      </c>
      <c r="L230" s="584" t="s">
        <v>1143</v>
      </c>
      <c r="M230" s="584" t="s">
        <v>1144</v>
      </c>
      <c r="N230" s="585" t="s">
        <v>1145</v>
      </c>
      <c r="O230" s="585" t="s">
        <v>867</v>
      </c>
      <c r="P230" s="652" t="s">
        <v>1146</v>
      </c>
      <c r="Q230" s="653" t="s">
        <v>1147</v>
      </c>
      <c r="R230" s="653" t="s">
        <v>1148</v>
      </c>
      <c r="S230" s="652" t="s">
        <v>1149</v>
      </c>
      <c r="T230" s="590" t="s">
        <v>1150</v>
      </c>
    </row>
    <row r="231" spans="2:20" ht="25.5">
      <c r="B231" s="626" t="s">
        <v>1158</v>
      </c>
      <c r="C231" s="626" t="s">
        <v>748</v>
      </c>
      <c r="D231" s="627">
        <f>H326</f>
        <v>309120</v>
      </c>
      <c r="E231" s="667">
        <v>319.32299999999998</v>
      </c>
      <c r="F231" s="667">
        <v>3.0000000000000001E-3</v>
      </c>
      <c r="G231" s="667">
        <v>1E-3</v>
      </c>
      <c r="H231" s="1120">
        <v>1.6950000000000001</v>
      </c>
      <c r="I231" s="667">
        <v>0.03</v>
      </c>
      <c r="J231" s="607">
        <f>E231+I231*VOC_C_Ratio/CO2_C_Ratio+H231*CO_C_Ratio/CO2_C_Ratio</f>
        <v>322.0794596642973</v>
      </c>
      <c r="K231" s="660">
        <f>$D231*J231/1000000</f>
        <v>99.561202571427586</v>
      </c>
      <c r="L231" s="628">
        <f>$D231*F231/1000000</f>
        <v>9.2736000000000001E-4</v>
      </c>
      <c r="M231" s="628">
        <f>$D231*G231/1000000</f>
        <v>3.0912000000000002E-4</v>
      </c>
      <c r="N231" s="600">
        <f>K231+L231*CH4_GWP+M231*N2O_GWP</f>
        <v>99.67650433142758</v>
      </c>
      <c r="O231" s="628">
        <f>N231*1000000/Fuel_Specs!$J$8</f>
        <v>1298.4051008564081</v>
      </c>
      <c r="P231" s="671">
        <f>$O231*Upstream!C$104/1000000</f>
        <v>31.486982039804936</v>
      </c>
      <c r="Q231" s="671">
        <f>$O231*Upstream!D$104/1000000</f>
        <v>0</v>
      </c>
      <c r="R231" s="671">
        <f>$O231*Upstream!E$104/1000000</f>
        <v>0</v>
      </c>
      <c r="S231" s="671">
        <f>P231+Q231*CH4_GWP+R231*N2O_GWP</f>
        <v>31.486982039804936</v>
      </c>
      <c r="T231" s="672">
        <f>N231+S231</f>
        <v>131.16348637123252</v>
      </c>
    </row>
    <row r="232" spans="2:20">
      <c r="B232" s="587" t="s">
        <v>747</v>
      </c>
      <c r="C232" s="586"/>
      <c r="D232" s="627">
        <f>I326</f>
        <v>5789</v>
      </c>
      <c r="E232" s="667">
        <v>2018</v>
      </c>
      <c r="F232" s="667">
        <v>0.03</v>
      </c>
      <c r="G232" s="667">
        <v>2E-3</v>
      </c>
      <c r="H232" s="1120">
        <v>2.86</v>
      </c>
      <c r="I232" s="667">
        <v>0.48</v>
      </c>
      <c r="J232" s="607">
        <f>E232+I232*VOC_C_Ratio/CO2_C_Ratio+H232*CO_C_Ratio/CO2_C_Ratio</f>
        <v>2023.9880217739149</v>
      </c>
      <c r="K232" s="660">
        <f>$D232*J232/1000000</f>
        <v>11.716866658049192</v>
      </c>
      <c r="L232" s="628">
        <f>$D232*F232/1000000</f>
        <v>1.7366999999999998E-4</v>
      </c>
      <c r="M232" s="628">
        <f>$D232*G232/1000000</f>
        <v>1.1578E-5</v>
      </c>
      <c r="N232" s="600">
        <f>K232+L232*CH4_GWP+M232*N2O_GWP</f>
        <v>11.724658652049191</v>
      </c>
      <c r="O232" s="628">
        <f>N232*1000000/Fuel_Specs!$J$14</f>
        <v>150.11034035433488</v>
      </c>
      <c r="P232" s="671">
        <f>$O232*Upstream!C$104/1000000</f>
        <v>3.6402518656222216</v>
      </c>
      <c r="Q232" s="671">
        <f>$O232*Upstream!D$104/1000000</f>
        <v>0</v>
      </c>
      <c r="R232" s="671">
        <f>$O232*Upstream!E$104/1000000</f>
        <v>0</v>
      </c>
      <c r="S232" s="671">
        <f>P232+Q232*CH4_GWP+R232*N2O_GWP</f>
        <v>3.6402518656222216</v>
      </c>
      <c r="T232" s="672">
        <f>N232+S232</f>
        <v>15.364910517671413</v>
      </c>
    </row>
    <row r="233" spans="2:20">
      <c r="B233" s="589"/>
      <c r="C233" s="581"/>
      <c r="D233" s="581"/>
      <c r="E233" s="669"/>
      <c r="F233" s="669"/>
      <c r="G233" s="669"/>
      <c r="H233" s="1124"/>
      <c r="I233" s="669"/>
      <c r="J233" s="584" t="s">
        <v>211</v>
      </c>
      <c r="K233" s="660">
        <f>SUM(K231:K232)</f>
        <v>111.27806922947678</v>
      </c>
      <c r="L233" s="628">
        <f t="shared" ref="L233:M233" si="105">SUM(L231:L232)</f>
        <v>1.10103E-3</v>
      </c>
      <c r="M233" s="628">
        <f t="shared" si="105"/>
        <v>3.2069800000000001E-4</v>
      </c>
      <c r="N233" s="600">
        <f>K233+L233*CH4_GWP+M233*N2O_GWP</f>
        <v>111.40116298347678</v>
      </c>
      <c r="O233" s="628">
        <f>SUM(O231:O232)</f>
        <v>1448.5154412107431</v>
      </c>
      <c r="P233" s="628">
        <f t="shared" ref="P233" si="106">SUM(P231:P232)</f>
        <v>35.127233905427154</v>
      </c>
      <c r="Q233" s="628">
        <f t="shared" ref="Q233" si="107">SUM(Q231:Q232)</f>
        <v>0</v>
      </c>
      <c r="R233" s="628">
        <f t="shared" ref="R233" si="108">SUM(R231:R232)</f>
        <v>0</v>
      </c>
      <c r="S233" s="628">
        <f t="shared" ref="S233" si="109">SUM(S231:S232)</f>
        <v>35.127233905427154</v>
      </c>
      <c r="T233" s="628">
        <f t="shared" ref="T233" si="110">SUM(T231:T232)</f>
        <v>146.52839688890393</v>
      </c>
    </row>
    <row r="234" spans="2:20" ht="25.5">
      <c r="B234" s="588"/>
      <c r="C234" s="578"/>
      <c r="D234" s="578"/>
      <c r="E234" s="670"/>
      <c r="F234" s="670"/>
      <c r="G234" s="670"/>
      <c r="H234" s="1125"/>
      <c r="I234" s="670"/>
      <c r="J234" s="636" t="s">
        <v>746</v>
      </c>
      <c r="K234" s="637">
        <f>K227+K233</f>
        <v>226.67523477803886</v>
      </c>
      <c r="L234" s="637">
        <f>L227+L233</f>
        <v>2.3283599999999998E-3</v>
      </c>
      <c r="M234" s="637">
        <f>M227+M233</f>
        <v>6.4981600000000011E-4</v>
      </c>
      <c r="N234" s="637">
        <f>N227+N233</f>
        <v>226.92708894603885</v>
      </c>
      <c r="O234" s="637">
        <f>O227+O233</f>
        <v>2949.0270634978897</v>
      </c>
      <c r="P234" s="637">
        <f t="shared" ref="P234" si="111">P227+P233</f>
        <v>71.515401566129384</v>
      </c>
      <c r="Q234" s="637">
        <f t="shared" ref="Q234" si="112">Q227+Q233</f>
        <v>0</v>
      </c>
      <c r="R234" s="637">
        <f t="shared" ref="R234" si="113">R227+R233</f>
        <v>0</v>
      </c>
      <c r="S234" s="637">
        <f t="shared" ref="S234" si="114">S227+S233</f>
        <v>71.515401566129384</v>
      </c>
      <c r="T234" s="637">
        <f>T227+T233</f>
        <v>298.44249051216821</v>
      </c>
    </row>
    <row r="235" spans="2:20">
      <c r="B235" s="621"/>
      <c r="C235" s="621"/>
      <c r="D235" s="621"/>
      <c r="E235" s="657"/>
      <c r="F235" s="657"/>
      <c r="G235" s="657"/>
      <c r="I235" s="655"/>
      <c r="K235" s="657"/>
      <c r="L235" s="621"/>
      <c r="M235" s="621"/>
      <c r="N235" s="621"/>
      <c r="O235" s="621"/>
      <c r="P235" s="621"/>
      <c r="Q235" s="621"/>
      <c r="R235" s="621"/>
      <c r="S235" s="621"/>
      <c r="T235" s="621"/>
    </row>
    <row r="236" spans="2:20">
      <c r="B236" s="621"/>
      <c r="C236" s="621"/>
      <c r="D236" s="621"/>
      <c r="E236" s="657"/>
      <c r="F236" s="657"/>
      <c r="G236" s="657"/>
      <c r="I236" s="655"/>
      <c r="K236" s="657"/>
      <c r="L236" s="621"/>
      <c r="M236" s="621"/>
      <c r="N236" s="621"/>
      <c r="O236" s="621"/>
      <c r="P236" s="621"/>
      <c r="Q236" s="621"/>
      <c r="R236" s="621"/>
      <c r="S236" s="621"/>
      <c r="T236" s="621"/>
    </row>
    <row r="237" spans="2:20">
      <c r="B237" s="623" t="s">
        <v>756</v>
      </c>
      <c r="C237" s="624"/>
      <c r="D237" s="624"/>
      <c r="E237" s="658"/>
      <c r="F237" s="658"/>
      <c r="G237" s="658"/>
      <c r="H237" s="1118"/>
      <c r="I237" s="658"/>
      <c r="J237" s="624"/>
      <c r="K237" s="624"/>
      <c r="L237" s="624"/>
      <c r="M237" s="624"/>
      <c r="N237" s="624"/>
      <c r="O237" s="624"/>
      <c r="P237" s="624"/>
      <c r="Q237" s="624"/>
      <c r="R237" s="624"/>
      <c r="S237" s="624"/>
      <c r="T237" s="624"/>
    </row>
    <row r="238" spans="2:20" ht="63.75">
      <c r="B238" s="587" t="s">
        <v>752</v>
      </c>
      <c r="C238" s="586" t="s">
        <v>751</v>
      </c>
      <c r="D238" s="584" t="s">
        <v>750</v>
      </c>
      <c r="E238" s="659" t="s">
        <v>1138</v>
      </c>
      <c r="F238" s="665" t="s">
        <v>1139</v>
      </c>
      <c r="G238" s="659" t="s">
        <v>1140</v>
      </c>
      <c r="H238" s="1119" t="s">
        <v>865</v>
      </c>
      <c r="I238" s="659" t="s">
        <v>866</v>
      </c>
      <c r="J238" s="584" t="s">
        <v>1141</v>
      </c>
      <c r="K238" s="659" t="s">
        <v>1142</v>
      </c>
      <c r="L238" s="584" t="s">
        <v>1143</v>
      </c>
      <c r="M238" s="584" t="s">
        <v>1144</v>
      </c>
      <c r="N238" s="585" t="s">
        <v>1145</v>
      </c>
      <c r="O238" s="585" t="s">
        <v>867</v>
      </c>
      <c r="P238" s="652" t="s">
        <v>1146</v>
      </c>
      <c r="Q238" s="653" t="s">
        <v>1147</v>
      </c>
      <c r="R238" s="653" t="s">
        <v>1148</v>
      </c>
      <c r="S238" s="652" t="s">
        <v>1149</v>
      </c>
      <c r="T238" s="590" t="s">
        <v>1150</v>
      </c>
    </row>
    <row r="239" spans="2:20" ht="25.5">
      <c r="B239" s="626" t="s">
        <v>1158</v>
      </c>
      <c r="C239" s="626" t="s">
        <v>748</v>
      </c>
      <c r="D239" s="627">
        <f>H327</f>
        <v>302400</v>
      </c>
      <c r="E239" s="666">
        <v>300</v>
      </c>
      <c r="F239" s="667">
        <v>3.0000000000000001E-3</v>
      </c>
      <c r="G239" s="667">
        <v>1E-3</v>
      </c>
      <c r="H239" s="1120">
        <v>2.5590000000000002</v>
      </c>
      <c r="I239" s="667">
        <v>2.5000000000000001E-2</v>
      </c>
      <c r="J239" s="607">
        <f>E239+I239*VOC_C_Ratio/CO2_C_Ratio+H239*CO_C_Ratio/CO2_C_Ratio</f>
        <v>304.09833698809928</v>
      </c>
      <c r="K239" s="660">
        <f>$D239*J239/1000000</f>
        <v>91.959337105201215</v>
      </c>
      <c r="L239" s="628">
        <f>$D239*F239/1000000</f>
        <v>9.0720000000000004E-4</v>
      </c>
      <c r="M239" s="628">
        <f>$D239*G239/1000000</f>
        <v>3.0240000000000003E-4</v>
      </c>
      <c r="N239" s="600">
        <f>K239+L239*CH4_GWP+M239*N2O_GWP</f>
        <v>92.072132305201208</v>
      </c>
      <c r="O239" s="628">
        <f>N239*1000000/Fuel_Specs!$J$8</f>
        <v>1199.3491047228338</v>
      </c>
      <c r="P239" s="671">
        <f>$O239*Upstream!C$104/1000000</f>
        <v>29.084823908158953</v>
      </c>
      <c r="Q239" s="671">
        <f>$O239*Upstream!D$104/1000000</f>
        <v>0</v>
      </c>
      <c r="R239" s="671">
        <f>$O239*Upstream!E$104/1000000</f>
        <v>0</v>
      </c>
      <c r="S239" s="671">
        <f>P239+Q239*CH4_GWP+R239*N2O_GWP</f>
        <v>29.084823908158953</v>
      </c>
      <c r="T239" s="672">
        <f>N239+S239</f>
        <v>121.15695621336016</v>
      </c>
    </row>
    <row r="240" spans="2:20">
      <c r="B240" s="587" t="s">
        <v>747</v>
      </c>
      <c r="C240" s="586"/>
      <c r="D240" s="627">
        <f>I327</f>
        <v>6356</v>
      </c>
      <c r="E240" s="666">
        <v>1942</v>
      </c>
      <c r="F240" s="667">
        <v>3.2000000000000001E-2</v>
      </c>
      <c r="G240" s="667">
        <v>2E-3</v>
      </c>
      <c r="H240" s="1120">
        <v>2.62</v>
      </c>
      <c r="I240" s="667">
        <v>0.439</v>
      </c>
      <c r="J240" s="607">
        <f>E240+I240*VOC_C_Ratio/CO2_C_Ratio+H240*CO_C_Ratio/CO2_C_Ratio</f>
        <v>1947.4832876306095</v>
      </c>
      <c r="K240" s="660">
        <f>$D240*J240/1000000</f>
        <v>12.378203776180154</v>
      </c>
      <c r="L240" s="628">
        <f>$D240*F240/1000000</f>
        <v>2.0339199999999999E-4</v>
      </c>
      <c r="M240" s="628">
        <f>$D240*G240/1000000</f>
        <v>1.2712E-5</v>
      </c>
      <c r="N240" s="600">
        <f>K240+L240*CH4_GWP+M240*N2O_GWP</f>
        <v>12.387076752180155</v>
      </c>
      <c r="O240" s="628">
        <f>N240*1000000/Fuel_Specs!$J$14</f>
        <v>158.5912530545227</v>
      </c>
      <c r="P240" s="671">
        <f>$O240*Upstream!C$104/1000000</f>
        <v>3.84591829876842</v>
      </c>
      <c r="Q240" s="671">
        <f>$O240*Upstream!D$104/1000000</f>
        <v>0</v>
      </c>
      <c r="R240" s="671">
        <f>$O240*Upstream!E$104/1000000</f>
        <v>0</v>
      </c>
      <c r="S240" s="671">
        <f>P240+Q240*CH4_GWP+R240*N2O_GWP</f>
        <v>3.84591829876842</v>
      </c>
      <c r="T240" s="672">
        <f>N240+S240</f>
        <v>16.232995050948574</v>
      </c>
    </row>
    <row r="241" spans="2:20">
      <c r="B241" s="589"/>
      <c r="C241" s="581"/>
      <c r="D241" s="629"/>
      <c r="E241" s="668"/>
      <c r="F241" s="668"/>
      <c r="G241" s="668"/>
      <c r="H241" s="1121"/>
      <c r="I241" s="668"/>
      <c r="J241" s="584" t="s">
        <v>211</v>
      </c>
      <c r="K241" s="660">
        <f>SUM(K239:K240)</f>
        <v>104.33754088138137</v>
      </c>
      <c r="L241" s="628">
        <f t="shared" ref="L241:M241" si="115">SUM(L239:L240)</f>
        <v>1.1105920000000001E-3</v>
      </c>
      <c r="M241" s="628">
        <f t="shared" si="115"/>
        <v>3.1511200000000004E-4</v>
      </c>
      <c r="N241" s="600">
        <f>K241+L241*CH4_GWP+M241*N2O_GWP</f>
        <v>104.45920905738137</v>
      </c>
      <c r="O241" s="628">
        <f>SUM(O239:O240)</f>
        <v>1357.9403577773564</v>
      </c>
      <c r="P241" s="628">
        <f t="shared" ref="P241" si="116">SUM(P239:P240)</f>
        <v>32.93074220692737</v>
      </c>
      <c r="Q241" s="628">
        <f t="shared" ref="Q241" si="117">SUM(Q239:Q240)</f>
        <v>0</v>
      </c>
      <c r="R241" s="628">
        <f t="shared" ref="R241" si="118">SUM(R239:R240)</f>
        <v>0</v>
      </c>
      <c r="S241" s="628">
        <f t="shared" ref="S241" si="119">SUM(S239:S240)</f>
        <v>32.93074220692737</v>
      </c>
      <c r="T241" s="628">
        <f t="shared" ref="T241" si="120">SUM(T239:T240)</f>
        <v>137.38995126430873</v>
      </c>
    </row>
    <row r="242" spans="2:20">
      <c r="B242" s="588"/>
      <c r="C242" s="578"/>
      <c r="D242" s="630"/>
      <c r="E242" s="661"/>
      <c r="F242" s="661"/>
      <c r="G242" s="661"/>
      <c r="H242" s="1122"/>
      <c r="I242" s="661"/>
    </row>
    <row r="243" spans="2:20">
      <c r="B243" s="632" t="s">
        <v>755</v>
      </c>
      <c r="C243" s="633"/>
      <c r="D243" s="634"/>
      <c r="E243" s="662"/>
      <c r="F243" s="662"/>
      <c r="G243" s="662"/>
      <c r="H243" s="1123"/>
      <c r="I243" s="662"/>
      <c r="J243" s="634"/>
      <c r="K243" s="634"/>
      <c r="L243" s="634"/>
      <c r="M243" s="634"/>
      <c r="N243" s="634"/>
      <c r="O243" s="634"/>
      <c r="P243" s="634"/>
      <c r="Q243" s="634"/>
      <c r="R243" s="634"/>
      <c r="S243" s="634"/>
      <c r="T243" s="634"/>
    </row>
    <row r="244" spans="2:20" ht="63.75">
      <c r="B244" s="587" t="s">
        <v>752</v>
      </c>
      <c r="C244" s="586" t="s">
        <v>751</v>
      </c>
      <c r="D244" s="584" t="s">
        <v>750</v>
      </c>
      <c r="E244" s="659" t="s">
        <v>1138</v>
      </c>
      <c r="F244" s="665" t="s">
        <v>1139</v>
      </c>
      <c r="G244" s="659" t="s">
        <v>1140</v>
      </c>
      <c r="H244" s="1119" t="s">
        <v>865</v>
      </c>
      <c r="I244" s="659" t="s">
        <v>866</v>
      </c>
      <c r="J244" s="584" t="s">
        <v>1141</v>
      </c>
      <c r="K244" s="659" t="s">
        <v>1142</v>
      </c>
      <c r="L244" s="584" t="s">
        <v>1143</v>
      </c>
      <c r="M244" s="584" t="s">
        <v>1144</v>
      </c>
      <c r="N244" s="585" t="s">
        <v>1145</v>
      </c>
      <c r="O244" s="585" t="s">
        <v>867</v>
      </c>
      <c r="P244" s="652" t="s">
        <v>1146</v>
      </c>
      <c r="Q244" s="653" t="s">
        <v>1147</v>
      </c>
      <c r="R244" s="653" t="s">
        <v>1148</v>
      </c>
      <c r="S244" s="652" t="s">
        <v>1149</v>
      </c>
      <c r="T244" s="590" t="s">
        <v>1150</v>
      </c>
    </row>
    <row r="245" spans="2:20" ht="25.5">
      <c r="B245" s="626" t="s">
        <v>1158</v>
      </c>
      <c r="C245" s="626" t="s">
        <v>748</v>
      </c>
      <c r="D245" s="627">
        <f>H328</f>
        <v>614880</v>
      </c>
      <c r="E245" s="667">
        <v>313.79000000000002</v>
      </c>
      <c r="F245" s="667">
        <v>3.0000000000000001E-3</v>
      </c>
      <c r="G245" s="667">
        <v>1E-3</v>
      </c>
      <c r="H245" s="1120">
        <v>1.593</v>
      </c>
      <c r="I245" s="667">
        <v>2.5000000000000001E-2</v>
      </c>
      <c r="J245" s="607">
        <f>E245+I245*VOC_C_Ratio/CO2_C_Ratio+H245*CO_C_Ratio/CO2_C_Ratio</f>
        <v>316.37063659495095</v>
      </c>
      <c r="K245" s="660">
        <f>$D245*J245/1000000</f>
        <v>194.52997702950344</v>
      </c>
      <c r="L245" s="628">
        <f>$D245*F245/1000000</f>
        <v>1.84464E-3</v>
      </c>
      <c r="M245" s="628">
        <f>$D245*G245/1000000</f>
        <v>6.1488000000000005E-4</v>
      </c>
      <c r="N245" s="600">
        <f>K245+L245*CH4_GWP+M245*N2O_GWP</f>
        <v>194.75932726950344</v>
      </c>
      <c r="O245" s="628">
        <f>N245*1000000/Fuel_Specs!$J$8</f>
        <v>2536.9720343047279</v>
      </c>
      <c r="P245" s="671">
        <f>$O245*Upstream!C$104/1000000</f>
        <v>61.522858179586386</v>
      </c>
      <c r="Q245" s="671">
        <f>$O245*Upstream!D$104/1000000</f>
        <v>0</v>
      </c>
      <c r="R245" s="671">
        <f>$O245*Upstream!E$104/1000000</f>
        <v>0</v>
      </c>
      <c r="S245" s="671">
        <f>P245+Q245*CH4_GWP+R245*N2O_GWP</f>
        <v>61.522858179586386</v>
      </c>
      <c r="T245" s="672">
        <f>N245+S245</f>
        <v>256.28218544908981</v>
      </c>
    </row>
    <row r="246" spans="2:20">
      <c r="B246" s="587" t="s">
        <v>747</v>
      </c>
      <c r="C246" s="586"/>
      <c r="D246" s="627">
        <f>I328</f>
        <v>4160</v>
      </c>
      <c r="E246" s="667">
        <v>2018</v>
      </c>
      <c r="F246" s="667">
        <v>3.2000000000000001E-2</v>
      </c>
      <c r="G246" s="667">
        <v>2E-3</v>
      </c>
      <c r="H246" s="1120">
        <v>2.62</v>
      </c>
      <c r="I246" s="667">
        <v>0.439</v>
      </c>
      <c r="J246" s="607">
        <f>E246+I246*VOC_C_Ratio/CO2_C_Ratio+H246*CO_C_Ratio/CO2_C_Ratio</f>
        <v>2023.4832876306095</v>
      </c>
      <c r="K246" s="660">
        <f>$D246*J246/1000000</f>
        <v>8.4176904765433349</v>
      </c>
      <c r="L246" s="628">
        <f>$D246*F246/1000000</f>
        <v>1.3312E-4</v>
      </c>
      <c r="M246" s="628">
        <f>$D246*G246/1000000</f>
        <v>8.32E-6</v>
      </c>
      <c r="N246" s="600">
        <f>K246+L246*CH4_GWP+M246*N2O_GWP</f>
        <v>8.4234978365433353</v>
      </c>
      <c r="O246" s="628">
        <f>N246*1000000/Fuel_Specs!$J$14</f>
        <v>107.84570917947595</v>
      </c>
      <c r="P246" s="671">
        <f>$O246*Upstream!C$104/1000000</f>
        <v>2.6153131297500369</v>
      </c>
      <c r="Q246" s="671">
        <f>$O246*Upstream!D$104/1000000</f>
        <v>0</v>
      </c>
      <c r="R246" s="671">
        <f>$O246*Upstream!E$104/1000000</f>
        <v>0</v>
      </c>
      <c r="S246" s="671">
        <f>P246+Q246*CH4_GWP+R246*N2O_GWP</f>
        <v>2.6153131297500369</v>
      </c>
      <c r="T246" s="672">
        <f>N246+S246</f>
        <v>11.038810966293372</v>
      </c>
    </row>
    <row r="247" spans="2:20">
      <c r="B247" s="589"/>
      <c r="C247" s="581"/>
      <c r="D247" s="581"/>
      <c r="E247" s="581"/>
      <c r="F247" s="581"/>
      <c r="G247" s="581"/>
      <c r="H247" s="1124"/>
      <c r="I247" s="581"/>
      <c r="J247" s="584" t="s">
        <v>211</v>
      </c>
      <c r="K247" s="660">
        <f>SUM(K245:K246)</f>
        <v>202.94766750604677</v>
      </c>
      <c r="L247" s="628">
        <f t="shared" ref="L247:M247" si="121">SUM(L245:L246)</f>
        <v>1.9777599999999998E-3</v>
      </c>
      <c r="M247" s="628">
        <f t="shared" si="121"/>
        <v>6.2320000000000008E-4</v>
      </c>
      <c r="N247" s="600">
        <f>K247+L247*CH4_GWP+M247*N2O_GWP</f>
        <v>203.18282510604678</v>
      </c>
      <c r="O247" s="628">
        <f>SUM(O245:O246)</f>
        <v>2644.8177434842037</v>
      </c>
      <c r="P247" s="628">
        <f t="shared" ref="P247" si="122">SUM(P245:P246)</f>
        <v>64.138171309336428</v>
      </c>
      <c r="Q247" s="628">
        <f t="shared" ref="Q247" si="123">SUM(Q245:Q246)</f>
        <v>0</v>
      </c>
      <c r="R247" s="628">
        <f t="shared" ref="R247" si="124">SUM(R245:R246)</f>
        <v>0</v>
      </c>
      <c r="S247" s="628">
        <f t="shared" ref="S247" si="125">SUM(S245:S246)</f>
        <v>64.138171309336428</v>
      </c>
      <c r="T247" s="628">
        <f t="shared" ref="T247" si="126">SUM(T245:T246)</f>
        <v>267.32099641538321</v>
      </c>
    </row>
    <row r="248" spans="2:20" ht="25.5">
      <c r="B248" s="588"/>
      <c r="C248" s="578"/>
      <c r="D248" s="578"/>
      <c r="E248" s="578"/>
      <c r="F248" s="578"/>
      <c r="G248" s="578"/>
      <c r="H248" s="1125"/>
      <c r="I248" s="578"/>
      <c r="J248" s="636" t="s">
        <v>746</v>
      </c>
      <c r="K248" s="637">
        <f>K241+K247</f>
        <v>307.28520838742816</v>
      </c>
      <c r="L248" s="637">
        <f>L241+L247</f>
        <v>3.0883519999999999E-3</v>
      </c>
      <c r="M248" s="637">
        <f>M241+M247</f>
        <v>9.3831200000000017E-4</v>
      </c>
      <c r="N248" s="637">
        <f>N241+N247</f>
        <v>307.64203416342815</v>
      </c>
      <c r="O248" s="637">
        <f>O241+O247</f>
        <v>4002.7581012615601</v>
      </c>
      <c r="P248" s="637">
        <f t="shared" ref="P248" si="127">P241+P247</f>
        <v>97.068913516263791</v>
      </c>
      <c r="Q248" s="637">
        <f t="shared" ref="Q248" si="128">Q241+Q247</f>
        <v>0</v>
      </c>
      <c r="R248" s="637">
        <f t="shared" ref="R248" si="129">R241+R247</f>
        <v>0</v>
      </c>
      <c r="S248" s="637">
        <f t="shared" ref="S248" si="130">S241+S247</f>
        <v>97.068913516263791</v>
      </c>
      <c r="T248" s="637">
        <f>T241+T247</f>
        <v>404.71094767969191</v>
      </c>
    </row>
    <row r="249" spans="2:20">
      <c r="B249" s="621"/>
      <c r="C249" s="621"/>
      <c r="D249" s="621"/>
      <c r="E249" s="621"/>
      <c r="F249" s="621"/>
      <c r="G249" s="621"/>
      <c r="K249" s="657"/>
      <c r="L249" s="621"/>
      <c r="M249" s="621"/>
      <c r="N249" s="621"/>
    </row>
    <row r="250" spans="2:20">
      <c r="B250" s="621"/>
      <c r="C250" s="621"/>
      <c r="D250" s="621"/>
      <c r="E250" s="621"/>
      <c r="F250" s="621"/>
      <c r="G250" s="621"/>
      <c r="K250" s="657"/>
      <c r="L250" s="621"/>
      <c r="M250" s="621"/>
      <c r="N250" s="621"/>
    </row>
    <row r="251" spans="2:20">
      <c r="B251" s="623" t="s">
        <v>754</v>
      </c>
      <c r="C251" s="624"/>
      <c r="D251" s="624"/>
      <c r="E251" s="624"/>
      <c r="F251" s="624"/>
      <c r="G251" s="624"/>
      <c r="H251" s="1118"/>
      <c r="I251" s="624"/>
      <c r="J251" s="624"/>
      <c r="K251" s="624"/>
      <c r="L251" s="624"/>
      <c r="M251" s="624"/>
      <c r="N251" s="624"/>
      <c r="O251" s="624"/>
      <c r="P251" s="624"/>
      <c r="Q251" s="624"/>
      <c r="R251" s="624"/>
      <c r="S251" s="624"/>
      <c r="T251" s="624"/>
    </row>
    <row r="252" spans="2:20" ht="63.75">
      <c r="B252" s="587" t="s">
        <v>752</v>
      </c>
      <c r="C252" s="586" t="s">
        <v>751</v>
      </c>
      <c r="D252" s="584" t="s">
        <v>750</v>
      </c>
      <c r="E252" s="659" t="s">
        <v>1138</v>
      </c>
      <c r="F252" s="665" t="s">
        <v>1139</v>
      </c>
      <c r="G252" s="659" t="s">
        <v>1140</v>
      </c>
      <c r="H252" s="1119" t="s">
        <v>865</v>
      </c>
      <c r="I252" s="659" t="s">
        <v>866</v>
      </c>
      <c r="J252" s="584" t="s">
        <v>1141</v>
      </c>
      <c r="K252" s="659" t="s">
        <v>1142</v>
      </c>
      <c r="L252" s="584" t="s">
        <v>1143</v>
      </c>
      <c r="M252" s="584" t="s">
        <v>1144</v>
      </c>
      <c r="N252" s="585" t="s">
        <v>1145</v>
      </c>
      <c r="O252" s="585" t="s">
        <v>867</v>
      </c>
      <c r="P252" s="652" t="s">
        <v>1146</v>
      </c>
      <c r="Q252" s="653" t="s">
        <v>1147</v>
      </c>
      <c r="R252" s="653" t="s">
        <v>1148</v>
      </c>
      <c r="S252" s="652" t="s">
        <v>1149</v>
      </c>
      <c r="T252" s="590" t="s">
        <v>1150</v>
      </c>
    </row>
    <row r="253" spans="2:20" ht="25.5">
      <c r="B253" s="626" t="s">
        <v>1158</v>
      </c>
      <c r="C253" s="626" t="s">
        <v>748</v>
      </c>
      <c r="D253" s="627">
        <f>H329</f>
        <v>0</v>
      </c>
      <c r="E253" s="666">
        <v>295</v>
      </c>
      <c r="F253" s="667">
        <v>3.0000000000000001E-3</v>
      </c>
      <c r="G253" s="667">
        <v>1E-3</v>
      </c>
      <c r="H253" s="1120">
        <v>2.464</v>
      </c>
      <c r="I253" s="667">
        <v>2.1000000000000001E-2</v>
      </c>
      <c r="J253" s="607">
        <f>E253+I253*VOC_C_Ratio/CO2_C_Ratio+H253*CO_C_Ratio/CO2_C_Ratio</f>
        <v>298.93662554580209</v>
      </c>
      <c r="K253" s="660">
        <f>$D253*J253/1000000</f>
        <v>0</v>
      </c>
      <c r="L253" s="628">
        <f>$D253*F253/1000000</f>
        <v>0</v>
      </c>
      <c r="M253" s="628">
        <f>$D253*G253/1000000</f>
        <v>0</v>
      </c>
      <c r="N253" s="600">
        <f>K253+L253*CH4_GWP+M253*N2O_GWP</f>
        <v>0</v>
      </c>
      <c r="O253" s="628">
        <f>N253*1000000/Fuel_Specs!$J$8</f>
        <v>0</v>
      </c>
      <c r="P253" s="671">
        <f>$O253*Upstream!C$104/1000000</f>
        <v>0</v>
      </c>
      <c r="Q253" s="671">
        <f>$O253*Upstream!D$104/1000000</f>
        <v>0</v>
      </c>
      <c r="R253" s="671">
        <f>$O253*Upstream!E$104/1000000</f>
        <v>0</v>
      </c>
      <c r="S253" s="671">
        <f>P253+Q253*CH4_GWP+R253*N2O_GWP</f>
        <v>0</v>
      </c>
      <c r="T253" s="672">
        <f>N253+S253</f>
        <v>0</v>
      </c>
    </row>
    <row r="254" spans="2:20">
      <c r="B254" s="587" t="s">
        <v>747</v>
      </c>
      <c r="C254" s="586"/>
      <c r="D254" s="627">
        <f>I329</f>
        <v>457</v>
      </c>
      <c r="E254" s="666">
        <v>1942</v>
      </c>
      <c r="F254" s="667">
        <v>3.4000000000000002E-2</v>
      </c>
      <c r="G254" s="667">
        <v>2E-3</v>
      </c>
      <c r="H254" s="1120">
        <v>2.38</v>
      </c>
      <c r="I254" s="667">
        <v>0.39700000000000002</v>
      </c>
      <c r="J254" s="607">
        <f>E254+I254*VOC_C_Ratio/CO2_C_Ratio+H254*CO_C_Ratio/CO2_C_Ratio</f>
        <v>1946.975439689191</v>
      </c>
      <c r="K254" s="660">
        <f>$D254*J254/1000000</f>
        <v>0.8897677759379603</v>
      </c>
      <c r="L254" s="628">
        <f>$D254*F254/1000000</f>
        <v>1.5537999999999999E-5</v>
      </c>
      <c r="M254" s="628">
        <f>$D254*G254/1000000</f>
        <v>9.1400000000000006E-7</v>
      </c>
      <c r="N254" s="600">
        <f>K254+L254*CH4_GWP+M254*N2O_GWP</f>
        <v>0.89042859793796025</v>
      </c>
      <c r="O254" s="628">
        <f>N254*1000000/Fuel_Specs!$J$14</f>
        <v>11.400122073007166</v>
      </c>
      <c r="P254" s="671">
        <f>$O254*Upstream!C$104/1000000</f>
        <v>0.2764587405945948</v>
      </c>
      <c r="Q254" s="671">
        <f>$O254*Upstream!D$104/1000000</f>
        <v>0</v>
      </c>
      <c r="R254" s="671">
        <f>$O254*Upstream!E$104/1000000</f>
        <v>0</v>
      </c>
      <c r="S254" s="671">
        <f>P254+Q254*CH4_GWP+R254*N2O_GWP</f>
        <v>0.2764587405945948</v>
      </c>
      <c r="T254" s="672">
        <f>N254+S254</f>
        <v>1.1668873385325551</v>
      </c>
    </row>
    <row r="255" spans="2:20">
      <c r="B255" s="589"/>
      <c r="C255" s="581"/>
      <c r="D255" s="629"/>
      <c r="E255" s="629"/>
      <c r="F255" s="629"/>
      <c r="G255" s="629"/>
      <c r="H255" s="1121"/>
      <c r="I255" s="629"/>
      <c r="J255" s="584" t="s">
        <v>211</v>
      </c>
      <c r="K255" s="660">
        <f>SUM(K253:K254)</f>
        <v>0.8897677759379603</v>
      </c>
      <c r="L255" s="628">
        <f t="shared" ref="L255:M255" si="131">SUM(L253:L254)</f>
        <v>1.5537999999999999E-5</v>
      </c>
      <c r="M255" s="628">
        <f t="shared" si="131"/>
        <v>9.1400000000000006E-7</v>
      </c>
      <c r="N255" s="600">
        <f>K255+L255*CH4_GWP+M255*N2O_GWP</f>
        <v>0.89042859793796025</v>
      </c>
      <c r="O255" s="628">
        <f>SUM(O253:O254)</f>
        <v>11.400122073007166</v>
      </c>
      <c r="P255" s="628">
        <f t="shared" ref="P255" si="132">SUM(P253:P254)</f>
        <v>0.2764587405945948</v>
      </c>
      <c r="Q255" s="628">
        <f t="shared" ref="Q255" si="133">SUM(Q253:Q254)</f>
        <v>0</v>
      </c>
      <c r="R255" s="628">
        <f t="shared" ref="R255" si="134">SUM(R253:R254)</f>
        <v>0</v>
      </c>
      <c r="S255" s="628">
        <f t="shared" ref="S255" si="135">SUM(S253:S254)</f>
        <v>0.2764587405945948</v>
      </c>
      <c r="T255" s="628">
        <f t="shared" ref="T255" si="136">SUM(T253:T254)</f>
        <v>1.1668873385325551</v>
      </c>
    </row>
    <row r="256" spans="2:20">
      <c r="B256" s="588"/>
      <c r="C256" s="578"/>
      <c r="D256" s="630"/>
      <c r="E256" s="630"/>
      <c r="F256" s="630"/>
      <c r="G256" s="630"/>
      <c r="H256" s="1122"/>
      <c r="I256" s="630"/>
      <c r="K256" s="661"/>
      <c r="L256" s="630"/>
      <c r="M256" s="630"/>
      <c r="N256" s="630"/>
      <c r="O256" s="630"/>
      <c r="P256" s="630"/>
      <c r="Q256" s="630"/>
      <c r="R256" s="630"/>
      <c r="S256" s="630"/>
      <c r="T256" s="630"/>
    </row>
    <row r="257" spans="2:20">
      <c r="B257" s="632" t="s">
        <v>753</v>
      </c>
      <c r="C257" s="633"/>
      <c r="D257" s="634"/>
      <c r="E257" s="634"/>
      <c r="F257" s="634"/>
      <c r="G257" s="634"/>
      <c r="H257" s="1123"/>
      <c r="I257" s="634"/>
      <c r="J257" s="634"/>
      <c r="K257" s="634"/>
      <c r="L257" s="634"/>
      <c r="M257" s="634"/>
      <c r="N257" s="634"/>
      <c r="O257" s="634"/>
      <c r="P257" s="634"/>
      <c r="Q257" s="634"/>
      <c r="R257" s="634"/>
      <c r="S257" s="634"/>
      <c r="T257" s="634"/>
    </row>
    <row r="258" spans="2:20" ht="63.75">
      <c r="B258" s="587" t="s">
        <v>752</v>
      </c>
      <c r="C258" s="586" t="s">
        <v>751</v>
      </c>
      <c r="D258" s="584" t="s">
        <v>750</v>
      </c>
      <c r="E258" s="659" t="s">
        <v>1138</v>
      </c>
      <c r="F258" s="665" t="s">
        <v>1139</v>
      </c>
      <c r="G258" s="659" t="s">
        <v>1140</v>
      </c>
      <c r="H258" s="1119" t="s">
        <v>865</v>
      </c>
      <c r="I258" s="659" t="s">
        <v>866</v>
      </c>
      <c r="J258" s="584" t="s">
        <v>1141</v>
      </c>
      <c r="K258" s="659" t="s">
        <v>1142</v>
      </c>
      <c r="L258" s="584" t="s">
        <v>1143</v>
      </c>
      <c r="M258" s="584" t="s">
        <v>1144</v>
      </c>
      <c r="N258" s="585" t="s">
        <v>1145</v>
      </c>
      <c r="O258" s="585" t="s">
        <v>867</v>
      </c>
      <c r="P258" s="652" t="s">
        <v>1146</v>
      </c>
      <c r="Q258" s="653" t="s">
        <v>1147</v>
      </c>
      <c r="R258" s="653" t="s">
        <v>1148</v>
      </c>
      <c r="S258" s="652" t="s">
        <v>1149</v>
      </c>
      <c r="T258" s="590" t="s">
        <v>1150</v>
      </c>
    </row>
    <row r="259" spans="2:20" ht="25.5">
      <c r="B259" s="626" t="s">
        <v>1158</v>
      </c>
      <c r="C259" s="626" t="s">
        <v>748</v>
      </c>
      <c r="D259" s="627">
        <f>H330</f>
        <v>0</v>
      </c>
      <c r="E259" s="667">
        <v>308.45999999999998</v>
      </c>
      <c r="F259" s="667">
        <v>3.0000000000000001E-3</v>
      </c>
      <c r="G259" s="667">
        <v>1E-3</v>
      </c>
      <c r="H259" s="1120">
        <v>1.512</v>
      </c>
      <c r="I259" s="667">
        <v>2.1000000000000001E-2</v>
      </c>
      <c r="J259" s="607">
        <f>E259+I259*VOC_C_Ratio/CO2_C_Ratio+H259*CO_C_Ratio/CO2_C_Ratio</f>
        <v>310.90092081052546</v>
      </c>
      <c r="K259" s="660">
        <f>$D259*J259/1000000</f>
        <v>0</v>
      </c>
      <c r="L259" s="628">
        <f>$D259*F259/1000000</f>
        <v>0</v>
      </c>
      <c r="M259" s="628">
        <f>$D259*G259/1000000</f>
        <v>0</v>
      </c>
      <c r="N259" s="600">
        <f>K259+L259*CH4_GWP+M259*N2O_GWP</f>
        <v>0</v>
      </c>
      <c r="O259" s="628">
        <f>N259*1000000/Fuel_Specs!$J$8</f>
        <v>0</v>
      </c>
      <c r="P259" s="671">
        <f>$O259*Upstream!C$104/1000000</f>
        <v>0</v>
      </c>
      <c r="Q259" s="671">
        <f>$O259*Upstream!D$104/1000000</f>
        <v>0</v>
      </c>
      <c r="R259" s="671">
        <f>$O259*Upstream!E$104/1000000</f>
        <v>0</v>
      </c>
      <c r="S259" s="671">
        <f>P259+Q259*CH4_GWP+R259*N2O_GWP</f>
        <v>0</v>
      </c>
      <c r="T259" s="672">
        <f>N259+S259</f>
        <v>0</v>
      </c>
    </row>
    <row r="260" spans="2:20">
      <c r="B260" s="587" t="s">
        <v>747</v>
      </c>
      <c r="C260" s="586"/>
      <c r="D260" s="627">
        <f>I330</f>
        <v>306</v>
      </c>
      <c r="E260" s="667">
        <v>2019</v>
      </c>
      <c r="F260" s="667">
        <v>3.4000000000000002E-2</v>
      </c>
      <c r="G260" s="667">
        <v>2E-3</v>
      </c>
      <c r="H260" s="1120">
        <v>2.38</v>
      </c>
      <c r="I260" s="667">
        <v>0.39700000000000002</v>
      </c>
      <c r="J260" s="607">
        <f>E260+I260*VOC_C_Ratio/CO2_C_Ratio+H260*CO_C_Ratio/CO2_C_Ratio</f>
        <v>2023.975439689191</v>
      </c>
      <c r="K260" s="660">
        <f>$D260*J260/1000000</f>
        <v>0.61933648454489243</v>
      </c>
      <c r="L260" s="628">
        <f>$D260*F260/1000000</f>
        <v>1.0404000000000001E-5</v>
      </c>
      <c r="M260" s="628">
        <f>$D260*G260/1000000</f>
        <v>6.1200000000000003E-7</v>
      </c>
      <c r="N260" s="600">
        <f>K260+L260*CH4_GWP+M260*N2O_GWP</f>
        <v>0.61977896054489245</v>
      </c>
      <c r="O260" s="628">
        <f>N260*1000000/Fuel_Specs!$J$14</f>
        <v>7.935005484836811</v>
      </c>
      <c r="P260" s="671">
        <f>$O260*Upstream!C$104/1000000</f>
        <v>0.19242790637684148</v>
      </c>
      <c r="Q260" s="671">
        <f>$O260*Upstream!D$104/1000000</f>
        <v>0</v>
      </c>
      <c r="R260" s="671">
        <f>$O260*Upstream!E$104/1000000</f>
        <v>0</v>
      </c>
      <c r="S260" s="671">
        <f>P260+Q260*CH4_GWP+R260*N2O_GWP</f>
        <v>0.19242790637684148</v>
      </c>
      <c r="T260" s="672">
        <f>N260+S260</f>
        <v>0.81220686692173394</v>
      </c>
    </row>
    <row r="261" spans="2:20">
      <c r="B261" s="583"/>
      <c r="C261" s="582"/>
      <c r="D261" s="581"/>
      <c r="E261" s="581"/>
      <c r="F261" s="581"/>
      <c r="G261" s="581"/>
      <c r="H261" s="1124"/>
      <c r="I261" s="581"/>
      <c r="J261" s="584" t="s">
        <v>211</v>
      </c>
      <c r="K261" s="660">
        <f>SUM(K259:K260)</f>
        <v>0.61933648454489243</v>
      </c>
      <c r="L261" s="628">
        <f t="shared" ref="L261:M261" si="137">SUM(L259:L260)</f>
        <v>1.0404000000000001E-5</v>
      </c>
      <c r="M261" s="628">
        <f t="shared" si="137"/>
        <v>6.1200000000000003E-7</v>
      </c>
      <c r="N261" s="600">
        <f>K261+L261*CH4_GWP+M261*N2O_GWP</f>
        <v>0.61977896054489245</v>
      </c>
      <c r="O261" s="628">
        <f>SUM(O259:O260)</f>
        <v>7.935005484836811</v>
      </c>
      <c r="P261" s="628">
        <f t="shared" ref="P261" si="138">SUM(P259:P260)</f>
        <v>0.19242790637684148</v>
      </c>
      <c r="Q261" s="628">
        <f t="shared" ref="Q261" si="139">SUM(Q259:Q260)</f>
        <v>0</v>
      </c>
      <c r="R261" s="628">
        <f t="shared" ref="R261" si="140">SUM(R259:R260)</f>
        <v>0</v>
      </c>
      <c r="S261" s="628">
        <f t="shared" ref="S261" si="141">SUM(S259:S260)</f>
        <v>0.19242790637684148</v>
      </c>
      <c r="T261" s="628">
        <f t="shared" ref="T261" si="142">SUM(T259:T260)</f>
        <v>0.81220686692173394</v>
      </c>
    </row>
    <row r="262" spans="2:20" ht="25.5">
      <c r="B262" s="580"/>
      <c r="C262" s="579"/>
      <c r="D262" s="578"/>
      <c r="E262" s="578"/>
      <c r="F262" s="578"/>
      <c r="G262" s="578"/>
      <c r="H262" s="1125"/>
      <c r="I262" s="578"/>
      <c r="J262" s="636" t="s">
        <v>746</v>
      </c>
      <c r="K262" s="637">
        <f>K255+K261</f>
        <v>1.5091042604828528</v>
      </c>
      <c r="L262" s="637">
        <f>L255+L261</f>
        <v>2.5942E-5</v>
      </c>
      <c r="M262" s="637">
        <f>M255+M261</f>
        <v>1.5260000000000001E-6</v>
      </c>
      <c r="N262" s="637">
        <f>N255+N261</f>
        <v>1.5102075584828527</v>
      </c>
      <c r="O262" s="637">
        <f>O255+O261</f>
        <v>19.335127557843975</v>
      </c>
      <c r="P262" s="637">
        <f t="shared" ref="P262" si="143">P255+P261</f>
        <v>0.46888664697143628</v>
      </c>
      <c r="Q262" s="637">
        <f t="shared" ref="Q262" si="144">Q255+Q261</f>
        <v>0</v>
      </c>
      <c r="R262" s="637">
        <f t="shared" ref="R262" si="145">R255+R261</f>
        <v>0</v>
      </c>
      <c r="S262" s="637">
        <f t="shared" ref="S262" si="146">S255+S261</f>
        <v>0.46888664697143628</v>
      </c>
      <c r="T262" s="637">
        <f>T255+T261</f>
        <v>1.979094205454289</v>
      </c>
    </row>
    <row r="263" spans="2:20">
      <c r="B263" s="621" t="s">
        <v>602</v>
      </c>
      <c r="C263" s="621"/>
      <c r="D263" s="621"/>
      <c r="E263" s="621"/>
      <c r="F263" s="621"/>
      <c r="G263" s="621"/>
      <c r="H263" s="1117"/>
      <c r="I263" s="621"/>
      <c r="J263" s="621"/>
      <c r="K263" s="621"/>
      <c r="L263" s="621"/>
    </row>
    <row r="264" spans="2:20">
      <c r="B264" s="638" t="s">
        <v>745</v>
      </c>
      <c r="C264" s="621"/>
      <c r="D264" s="621"/>
      <c r="E264" s="621"/>
      <c r="F264" s="621"/>
      <c r="G264" s="621"/>
      <c r="H264" s="1117"/>
      <c r="I264" s="621"/>
      <c r="J264" s="621"/>
      <c r="K264" s="621"/>
      <c r="L264" s="621"/>
    </row>
    <row r="265" spans="2:20">
      <c r="B265" s="638" t="s">
        <v>744</v>
      </c>
      <c r="C265" s="621"/>
      <c r="D265" s="621"/>
      <c r="E265" s="621"/>
      <c r="F265" s="621"/>
      <c r="G265" s="621"/>
      <c r="H265" s="1117"/>
      <c r="I265" s="621"/>
      <c r="J265" s="621"/>
      <c r="K265" s="621"/>
      <c r="L265" s="621"/>
    </row>
    <row r="266" spans="2:20">
      <c r="B266" s="638" t="s">
        <v>743</v>
      </c>
      <c r="C266" s="621"/>
      <c r="D266" s="621"/>
      <c r="E266" s="621"/>
      <c r="F266" s="621"/>
      <c r="G266" s="621"/>
      <c r="H266" s="1117"/>
      <c r="I266" s="621"/>
      <c r="J266" s="621"/>
      <c r="K266" s="621"/>
      <c r="L266" s="621"/>
    </row>
    <row r="267" spans="2:20">
      <c r="B267" s="621"/>
      <c r="C267" s="621"/>
      <c r="D267" s="621"/>
      <c r="E267" s="621"/>
      <c r="F267" s="621"/>
      <c r="G267" s="621"/>
      <c r="H267" s="1117"/>
      <c r="I267" s="621"/>
      <c r="J267" s="621"/>
      <c r="K267" s="621"/>
      <c r="L267" s="621"/>
    </row>
    <row r="268" spans="2:20">
      <c r="B268" s="621"/>
      <c r="C268" s="621"/>
      <c r="D268" s="621"/>
      <c r="E268" s="621"/>
      <c r="F268" s="621"/>
      <c r="G268" s="621"/>
      <c r="H268" s="1117"/>
      <c r="I268" s="621"/>
      <c r="J268" s="621"/>
      <c r="K268" s="621"/>
      <c r="L268" s="621"/>
    </row>
    <row r="269" spans="2:20">
      <c r="B269" s="621"/>
      <c r="C269" s="621"/>
      <c r="D269" s="621"/>
      <c r="E269" s="621"/>
      <c r="F269" s="621"/>
      <c r="G269" s="621"/>
      <c r="H269" s="1117"/>
      <c r="I269" s="621"/>
      <c r="J269" s="621"/>
      <c r="K269" s="621"/>
      <c r="L269" s="621"/>
    </row>
    <row r="270" spans="2:20">
      <c r="B270" s="621"/>
      <c r="C270" s="621"/>
      <c r="D270" s="621"/>
      <c r="E270" s="621"/>
      <c r="F270" s="621"/>
      <c r="G270" s="621"/>
      <c r="H270" s="1117"/>
      <c r="I270" s="621"/>
      <c r="J270" s="621"/>
      <c r="K270" s="621"/>
      <c r="L270" s="621"/>
    </row>
    <row r="271" spans="2:20" ht="51.75" thickBot="1">
      <c r="B271" s="639" t="s">
        <v>742</v>
      </c>
      <c r="C271" s="640" t="s">
        <v>741</v>
      </c>
      <c r="D271" s="577" t="s">
        <v>832</v>
      </c>
      <c r="E271" s="577" t="s">
        <v>740</v>
      </c>
      <c r="F271" s="577" t="s">
        <v>830</v>
      </c>
      <c r="G271" s="577" t="s">
        <v>831</v>
      </c>
      <c r="H271" s="1126" t="s">
        <v>828</v>
      </c>
      <c r="I271" s="577" t="s">
        <v>827</v>
      </c>
      <c r="J271" s="577" t="s">
        <v>829</v>
      </c>
      <c r="K271" s="621"/>
      <c r="L271" s="621"/>
    </row>
    <row r="272" spans="2:20" ht="13.5" thickTop="1">
      <c r="B272" s="641" t="s">
        <v>739</v>
      </c>
      <c r="C272" s="1804" t="s">
        <v>728</v>
      </c>
      <c r="D272" s="592">
        <v>26.6</v>
      </c>
      <c r="E272" s="593">
        <v>0</v>
      </c>
      <c r="F272" s="593">
        <v>0</v>
      </c>
      <c r="G272" s="593">
        <v>0</v>
      </c>
      <c r="H272" s="1127">
        <v>0</v>
      </c>
      <c r="I272" s="593">
        <v>0</v>
      </c>
      <c r="J272" s="593">
        <v>0</v>
      </c>
      <c r="K272" s="621"/>
      <c r="L272" s="621"/>
    </row>
    <row r="273" spans="2:12">
      <c r="B273" s="575" t="s">
        <v>738</v>
      </c>
      <c r="C273" s="1805"/>
      <c r="D273" s="594">
        <v>24</v>
      </c>
      <c r="E273" s="595">
        <v>0</v>
      </c>
      <c r="F273" s="595">
        <v>0</v>
      </c>
      <c r="G273" s="595">
        <v>0</v>
      </c>
      <c r="H273" s="1128">
        <v>0</v>
      </c>
      <c r="I273" s="595">
        <v>0</v>
      </c>
      <c r="J273" s="595">
        <v>0</v>
      </c>
      <c r="K273" s="621"/>
      <c r="L273" s="621"/>
    </row>
    <row r="274" spans="2:12">
      <c r="B274" s="642" t="s">
        <v>737</v>
      </c>
      <c r="C274" s="1806"/>
      <c r="D274" s="643">
        <v>26.6</v>
      </c>
      <c r="E274" s="644">
        <v>0</v>
      </c>
      <c r="F274" s="644">
        <v>0</v>
      </c>
      <c r="G274" s="644">
        <v>0</v>
      </c>
      <c r="H274" s="1129">
        <v>0</v>
      </c>
      <c r="I274" s="644">
        <v>0</v>
      </c>
      <c r="J274" s="644">
        <v>0</v>
      </c>
      <c r="K274" s="621"/>
      <c r="L274" s="621"/>
    </row>
    <row r="275" spans="2:12" ht="12.75" customHeight="1">
      <c r="B275" s="645" t="s">
        <v>736</v>
      </c>
      <c r="C275" s="1800" t="s">
        <v>735</v>
      </c>
      <c r="D275" s="596">
        <v>25.7</v>
      </c>
      <c r="E275" s="597">
        <v>0</v>
      </c>
      <c r="F275" s="597">
        <v>0</v>
      </c>
      <c r="G275" s="597">
        <v>0</v>
      </c>
      <c r="H275" s="1130">
        <v>0</v>
      </c>
      <c r="I275" s="597">
        <v>0</v>
      </c>
      <c r="J275" s="597">
        <v>0</v>
      </c>
      <c r="K275" s="621"/>
      <c r="L275" s="621"/>
    </row>
    <row r="276" spans="2:12">
      <c r="B276" s="575" t="s">
        <v>734</v>
      </c>
      <c r="C276" s="1801"/>
      <c r="D276" s="594">
        <v>26.6</v>
      </c>
      <c r="E276" s="595">
        <v>0</v>
      </c>
      <c r="F276" s="595">
        <v>0</v>
      </c>
      <c r="G276" s="595">
        <v>0</v>
      </c>
      <c r="H276" s="1128">
        <v>0</v>
      </c>
      <c r="I276" s="595">
        <v>0</v>
      </c>
      <c r="J276" s="595">
        <v>0</v>
      </c>
      <c r="K276" s="621"/>
      <c r="L276" s="621"/>
    </row>
    <row r="277" spans="2:12">
      <c r="B277" s="646" t="s">
        <v>733</v>
      </c>
      <c r="C277" s="1801"/>
      <c r="D277" s="594">
        <v>25.7</v>
      </c>
      <c r="E277" s="595">
        <v>0</v>
      </c>
      <c r="F277" s="595">
        <v>0</v>
      </c>
      <c r="G277" s="595">
        <v>0</v>
      </c>
      <c r="H277" s="1128">
        <v>85</v>
      </c>
      <c r="I277" s="595">
        <v>331</v>
      </c>
      <c r="J277" s="595">
        <v>331</v>
      </c>
      <c r="K277" s="621"/>
      <c r="L277" s="621"/>
    </row>
    <row r="278" spans="2:12">
      <c r="B278" s="576" t="s">
        <v>732</v>
      </c>
      <c r="C278" s="1801"/>
      <c r="D278" s="594">
        <v>26.6</v>
      </c>
      <c r="E278" s="595">
        <v>0</v>
      </c>
      <c r="F278" s="595">
        <v>0</v>
      </c>
      <c r="G278" s="595">
        <v>0</v>
      </c>
      <c r="H278" s="1128">
        <v>85</v>
      </c>
      <c r="I278" s="595">
        <v>320</v>
      </c>
      <c r="J278" s="595">
        <v>320</v>
      </c>
      <c r="K278" s="621"/>
      <c r="L278" s="621"/>
    </row>
    <row r="279" spans="2:12">
      <c r="B279" s="647" t="s">
        <v>731</v>
      </c>
      <c r="C279" s="1801"/>
      <c r="D279" s="594">
        <v>26.6</v>
      </c>
      <c r="E279" s="595">
        <v>0</v>
      </c>
      <c r="F279" s="595">
        <v>0</v>
      </c>
      <c r="G279" s="595">
        <v>0</v>
      </c>
      <c r="H279" s="1128">
        <v>75</v>
      </c>
      <c r="I279" s="595">
        <v>282</v>
      </c>
      <c r="J279" s="595">
        <v>282</v>
      </c>
      <c r="K279" s="621"/>
      <c r="L279" s="621"/>
    </row>
    <row r="280" spans="2:12">
      <c r="B280" s="648" t="s">
        <v>730</v>
      </c>
      <c r="C280" s="1802"/>
      <c r="D280" s="643">
        <v>25.7</v>
      </c>
      <c r="E280" s="644">
        <v>0</v>
      </c>
      <c r="F280" s="644">
        <v>0</v>
      </c>
      <c r="G280" s="644">
        <v>0</v>
      </c>
      <c r="H280" s="1129">
        <v>75</v>
      </c>
      <c r="I280" s="644">
        <v>292</v>
      </c>
      <c r="J280" s="644">
        <v>292</v>
      </c>
      <c r="K280" s="621"/>
      <c r="L280" s="621"/>
    </row>
    <row r="281" spans="2:12">
      <c r="B281" s="591" t="s">
        <v>729</v>
      </c>
      <c r="C281" s="1800" t="s">
        <v>728</v>
      </c>
      <c r="D281" s="596">
        <v>26.6</v>
      </c>
      <c r="E281" s="597">
        <v>0</v>
      </c>
      <c r="F281" s="597">
        <v>0</v>
      </c>
      <c r="G281" s="597">
        <v>0</v>
      </c>
      <c r="H281" s="1130">
        <v>5</v>
      </c>
      <c r="I281" s="597">
        <v>19</v>
      </c>
      <c r="J281" s="597">
        <v>19</v>
      </c>
      <c r="K281" s="621"/>
      <c r="L281" s="621"/>
    </row>
    <row r="282" spans="2:12">
      <c r="B282" s="575" t="s">
        <v>727</v>
      </c>
      <c r="C282" s="1801"/>
      <c r="D282" s="594">
        <v>25.7</v>
      </c>
      <c r="E282" s="595">
        <v>0</v>
      </c>
      <c r="F282" s="595">
        <v>0</v>
      </c>
      <c r="G282" s="595">
        <v>0</v>
      </c>
      <c r="H282" s="1128">
        <v>5</v>
      </c>
      <c r="I282" s="595">
        <v>19</v>
      </c>
      <c r="J282" s="595">
        <v>19</v>
      </c>
      <c r="K282" s="621"/>
      <c r="L282" s="621"/>
    </row>
    <row r="283" spans="2:12">
      <c r="B283" s="649" t="s">
        <v>726</v>
      </c>
      <c r="C283" s="1802"/>
      <c r="D283" s="643">
        <v>26.6</v>
      </c>
      <c r="E283" s="644">
        <v>0</v>
      </c>
      <c r="F283" s="644">
        <v>0</v>
      </c>
      <c r="G283" s="644">
        <v>0</v>
      </c>
      <c r="H283" s="1129">
        <v>0</v>
      </c>
      <c r="I283" s="644">
        <v>0</v>
      </c>
      <c r="J283" s="644">
        <v>0</v>
      </c>
      <c r="K283" s="621"/>
      <c r="L283" s="621"/>
    </row>
    <row r="284" spans="2:12">
      <c r="B284" s="650" t="s">
        <v>725</v>
      </c>
      <c r="C284" s="1800" t="s">
        <v>714</v>
      </c>
      <c r="D284" s="596">
        <v>26.6</v>
      </c>
      <c r="E284" s="597">
        <v>0</v>
      </c>
      <c r="F284" s="597">
        <v>0</v>
      </c>
      <c r="G284" s="597">
        <v>0</v>
      </c>
      <c r="H284" s="1130">
        <v>0</v>
      </c>
      <c r="I284" s="597">
        <v>0</v>
      </c>
      <c r="J284" s="597">
        <v>0</v>
      </c>
      <c r="K284" s="621"/>
      <c r="L284" s="621"/>
    </row>
    <row r="285" spans="2:12">
      <c r="B285" s="647" t="s">
        <v>724</v>
      </c>
      <c r="C285" s="1801"/>
      <c r="D285" s="594">
        <v>24.9</v>
      </c>
      <c r="E285" s="595">
        <v>0</v>
      </c>
      <c r="F285" s="595">
        <v>0</v>
      </c>
      <c r="G285" s="595">
        <v>0</v>
      </c>
      <c r="H285" s="1128">
        <v>0</v>
      </c>
      <c r="I285" s="595">
        <v>0</v>
      </c>
      <c r="J285" s="595">
        <v>0</v>
      </c>
      <c r="K285" s="621"/>
      <c r="L285" s="621"/>
    </row>
    <row r="286" spans="2:12">
      <c r="B286" s="649" t="s">
        <v>723</v>
      </c>
      <c r="C286" s="1802"/>
      <c r="D286" s="643">
        <v>26.6</v>
      </c>
      <c r="E286" s="644">
        <v>0</v>
      </c>
      <c r="F286" s="644">
        <v>0</v>
      </c>
      <c r="G286" s="644">
        <v>0</v>
      </c>
      <c r="H286" s="1129">
        <v>0</v>
      </c>
      <c r="I286" s="644">
        <v>0</v>
      </c>
      <c r="J286" s="644">
        <v>0</v>
      </c>
      <c r="K286" s="621"/>
      <c r="L286" s="621"/>
    </row>
    <row r="287" spans="2:12">
      <c r="B287" s="650" t="s">
        <v>722</v>
      </c>
      <c r="C287" s="1800" t="s">
        <v>721</v>
      </c>
      <c r="D287" s="596">
        <v>25.7</v>
      </c>
      <c r="E287" s="597">
        <v>0</v>
      </c>
      <c r="F287" s="597">
        <v>0</v>
      </c>
      <c r="G287" s="597">
        <v>0</v>
      </c>
      <c r="H287" s="1130">
        <v>0</v>
      </c>
      <c r="I287" s="597">
        <v>0</v>
      </c>
      <c r="J287" s="597">
        <v>0</v>
      </c>
      <c r="K287" s="621"/>
      <c r="L287" s="621"/>
    </row>
    <row r="288" spans="2:12">
      <c r="B288" s="647" t="s">
        <v>720</v>
      </c>
      <c r="C288" s="1801"/>
      <c r="D288" s="594">
        <v>26.6</v>
      </c>
      <c r="E288" s="595">
        <v>0</v>
      </c>
      <c r="F288" s="595">
        <v>0</v>
      </c>
      <c r="G288" s="595">
        <v>0</v>
      </c>
      <c r="H288" s="1128">
        <v>0</v>
      </c>
      <c r="I288" s="595">
        <v>0</v>
      </c>
      <c r="J288" s="595">
        <v>0</v>
      </c>
      <c r="K288" s="621"/>
      <c r="L288" s="621"/>
    </row>
    <row r="289" spans="2:12">
      <c r="B289" s="647" t="s">
        <v>719</v>
      </c>
      <c r="C289" s="1801"/>
      <c r="D289" s="594">
        <v>25.7</v>
      </c>
      <c r="E289" s="595">
        <v>0</v>
      </c>
      <c r="F289" s="595">
        <v>0</v>
      </c>
      <c r="G289" s="595">
        <v>0</v>
      </c>
      <c r="H289" s="1128">
        <v>174</v>
      </c>
      <c r="I289" s="595">
        <v>677</v>
      </c>
      <c r="J289" s="595">
        <v>677</v>
      </c>
      <c r="K289" s="621"/>
      <c r="L289" s="621"/>
    </row>
    <row r="290" spans="2:12">
      <c r="B290" s="647" t="s">
        <v>718</v>
      </c>
      <c r="C290" s="1801"/>
      <c r="D290" s="594">
        <v>26.6</v>
      </c>
      <c r="E290" s="595">
        <v>98</v>
      </c>
      <c r="F290" s="595">
        <v>2604</v>
      </c>
      <c r="G290" s="595">
        <v>104160</v>
      </c>
      <c r="H290" s="1128">
        <v>244</v>
      </c>
      <c r="I290" s="595">
        <v>918</v>
      </c>
      <c r="J290" s="595">
        <v>105078</v>
      </c>
      <c r="K290" s="621"/>
      <c r="L290" s="621"/>
    </row>
    <row r="291" spans="2:12">
      <c r="B291" s="647" t="s">
        <v>717</v>
      </c>
      <c r="C291" s="1801"/>
      <c r="D291" s="594">
        <v>26.6</v>
      </c>
      <c r="E291" s="595">
        <v>98</v>
      </c>
      <c r="F291" s="595">
        <v>2604</v>
      </c>
      <c r="G291" s="595">
        <v>104160</v>
      </c>
      <c r="H291" s="1128">
        <v>294</v>
      </c>
      <c r="I291" s="595">
        <v>1106</v>
      </c>
      <c r="J291" s="595">
        <v>105266</v>
      </c>
      <c r="K291" s="621"/>
      <c r="L291" s="621"/>
    </row>
    <row r="292" spans="2:12">
      <c r="B292" s="649" t="s">
        <v>716</v>
      </c>
      <c r="C292" s="1802"/>
      <c r="D292" s="643">
        <v>25.7</v>
      </c>
      <c r="E292" s="644">
        <v>98</v>
      </c>
      <c r="F292" s="644">
        <v>2520</v>
      </c>
      <c r="G292" s="644">
        <v>100800</v>
      </c>
      <c r="H292" s="1129">
        <v>794</v>
      </c>
      <c r="I292" s="644">
        <v>3088</v>
      </c>
      <c r="J292" s="644">
        <v>103888</v>
      </c>
      <c r="K292" s="621"/>
      <c r="L292" s="621"/>
    </row>
    <row r="293" spans="2:12">
      <c r="B293" s="650" t="s">
        <v>715</v>
      </c>
      <c r="C293" s="1800" t="s">
        <v>714</v>
      </c>
      <c r="D293" s="596">
        <v>26.6</v>
      </c>
      <c r="E293" s="597">
        <v>98</v>
      </c>
      <c r="F293" s="597">
        <v>2604</v>
      </c>
      <c r="G293" s="597">
        <v>104160</v>
      </c>
      <c r="H293" s="1130">
        <v>844</v>
      </c>
      <c r="I293" s="597">
        <v>3176</v>
      </c>
      <c r="J293" s="597">
        <v>107336</v>
      </c>
      <c r="K293" s="621"/>
      <c r="L293" s="621"/>
    </row>
    <row r="294" spans="2:12">
      <c r="B294" s="647" t="s">
        <v>713</v>
      </c>
      <c r="C294" s="1801"/>
      <c r="D294" s="594">
        <v>25.7</v>
      </c>
      <c r="E294" s="595">
        <v>98</v>
      </c>
      <c r="F294" s="595">
        <v>2520</v>
      </c>
      <c r="G294" s="595">
        <v>100800</v>
      </c>
      <c r="H294" s="1128">
        <v>894</v>
      </c>
      <c r="I294" s="595">
        <v>3477</v>
      </c>
      <c r="J294" s="595">
        <v>104277</v>
      </c>
      <c r="K294" s="621"/>
      <c r="L294" s="621"/>
    </row>
    <row r="295" spans="2:12">
      <c r="B295" s="649" t="s">
        <v>712</v>
      </c>
      <c r="C295" s="1802"/>
      <c r="D295" s="643">
        <v>26.6</v>
      </c>
      <c r="E295" s="644">
        <v>98</v>
      </c>
      <c r="F295" s="644">
        <v>2604</v>
      </c>
      <c r="G295" s="644">
        <v>104160</v>
      </c>
      <c r="H295" s="1129">
        <v>889</v>
      </c>
      <c r="I295" s="644">
        <v>3346</v>
      </c>
      <c r="J295" s="644">
        <v>107506</v>
      </c>
      <c r="K295" s="621"/>
      <c r="L295" s="621"/>
    </row>
    <row r="296" spans="2:12">
      <c r="B296" s="650" t="s">
        <v>711</v>
      </c>
      <c r="C296" s="1800" t="s">
        <v>700</v>
      </c>
      <c r="D296" s="596">
        <v>26.6</v>
      </c>
      <c r="E296" s="597">
        <v>98</v>
      </c>
      <c r="F296" s="597">
        <v>2604</v>
      </c>
      <c r="G296" s="597">
        <v>104160</v>
      </c>
      <c r="H296" s="1130">
        <v>888</v>
      </c>
      <c r="I296" s="597">
        <v>3342</v>
      </c>
      <c r="J296" s="597">
        <v>107502</v>
      </c>
      <c r="K296" s="621"/>
      <c r="L296" s="621"/>
    </row>
    <row r="297" spans="2:12">
      <c r="B297" s="647" t="s">
        <v>710</v>
      </c>
      <c r="C297" s="1801"/>
      <c r="D297" s="594">
        <v>24</v>
      </c>
      <c r="E297" s="595">
        <v>98</v>
      </c>
      <c r="F297" s="595">
        <v>2352</v>
      </c>
      <c r="G297" s="595">
        <v>94080</v>
      </c>
      <c r="H297" s="1128">
        <v>329</v>
      </c>
      <c r="I297" s="595">
        <v>1371</v>
      </c>
      <c r="J297" s="595">
        <v>95451</v>
      </c>
      <c r="K297" s="621"/>
      <c r="L297" s="621"/>
    </row>
    <row r="298" spans="2:12">
      <c r="B298" s="649" t="s">
        <v>709</v>
      </c>
      <c r="C298" s="1802"/>
      <c r="D298" s="643">
        <v>26.6</v>
      </c>
      <c r="E298" s="644">
        <v>98</v>
      </c>
      <c r="F298" s="644">
        <v>2604</v>
      </c>
      <c r="G298" s="644">
        <v>104160</v>
      </c>
      <c r="H298" s="1129">
        <v>279</v>
      </c>
      <c r="I298" s="644">
        <v>1050</v>
      </c>
      <c r="J298" s="644">
        <v>105210</v>
      </c>
      <c r="K298" s="621"/>
      <c r="L298" s="621"/>
    </row>
    <row r="299" spans="2:12">
      <c r="B299" s="650" t="s">
        <v>708</v>
      </c>
      <c r="C299" s="1800" t="s">
        <v>707</v>
      </c>
      <c r="D299" s="596">
        <v>25.7</v>
      </c>
      <c r="E299" s="597">
        <v>98</v>
      </c>
      <c r="F299" s="597">
        <v>2520</v>
      </c>
      <c r="G299" s="597">
        <v>100800</v>
      </c>
      <c r="H299" s="1130">
        <v>279</v>
      </c>
      <c r="I299" s="597">
        <v>1085</v>
      </c>
      <c r="J299" s="597">
        <v>101885</v>
      </c>
      <c r="K299" s="621"/>
      <c r="L299" s="621"/>
    </row>
    <row r="300" spans="2:12">
      <c r="B300" s="647" t="s">
        <v>706</v>
      </c>
      <c r="C300" s="1801"/>
      <c r="D300" s="594">
        <v>26.6</v>
      </c>
      <c r="E300" s="595">
        <v>98</v>
      </c>
      <c r="F300" s="595">
        <v>2604</v>
      </c>
      <c r="G300" s="595">
        <v>104160</v>
      </c>
      <c r="H300" s="1128">
        <v>252</v>
      </c>
      <c r="I300" s="595">
        <v>948</v>
      </c>
      <c r="J300" s="595">
        <v>105108</v>
      </c>
      <c r="K300" s="621"/>
      <c r="L300" s="621"/>
    </row>
    <row r="301" spans="2:12">
      <c r="B301" s="647" t="s">
        <v>705</v>
      </c>
      <c r="C301" s="1801"/>
      <c r="D301" s="594">
        <v>25.7</v>
      </c>
      <c r="E301" s="595">
        <v>98</v>
      </c>
      <c r="F301" s="595">
        <v>2520</v>
      </c>
      <c r="G301" s="595">
        <v>100800</v>
      </c>
      <c r="H301" s="1128">
        <v>189</v>
      </c>
      <c r="I301" s="595">
        <v>735</v>
      </c>
      <c r="J301" s="595">
        <v>101535</v>
      </c>
      <c r="K301" s="621"/>
      <c r="L301" s="621"/>
    </row>
    <row r="302" spans="2:12">
      <c r="B302" s="647" t="s">
        <v>704</v>
      </c>
      <c r="C302" s="1801"/>
      <c r="D302" s="594">
        <v>26.6</v>
      </c>
      <c r="E302" s="595">
        <v>98</v>
      </c>
      <c r="F302" s="595">
        <v>2604</v>
      </c>
      <c r="G302" s="595">
        <v>104160</v>
      </c>
      <c r="H302" s="1128">
        <v>139</v>
      </c>
      <c r="I302" s="595">
        <v>523</v>
      </c>
      <c r="J302" s="595">
        <v>104683</v>
      </c>
      <c r="K302" s="621"/>
      <c r="L302" s="621"/>
    </row>
    <row r="303" spans="2:12">
      <c r="B303" s="647" t="s">
        <v>703</v>
      </c>
      <c r="C303" s="1801"/>
      <c r="D303" s="594">
        <v>26.6</v>
      </c>
      <c r="E303" s="595">
        <v>98</v>
      </c>
      <c r="F303" s="595">
        <v>2604</v>
      </c>
      <c r="G303" s="595">
        <v>104160</v>
      </c>
      <c r="H303" s="1128">
        <v>139</v>
      </c>
      <c r="I303" s="595">
        <v>523</v>
      </c>
      <c r="J303" s="595">
        <v>104683</v>
      </c>
      <c r="K303" s="621"/>
      <c r="L303" s="621"/>
    </row>
    <row r="304" spans="2:12">
      <c r="B304" s="649" t="s">
        <v>702</v>
      </c>
      <c r="C304" s="1802"/>
      <c r="D304" s="643">
        <v>25.7</v>
      </c>
      <c r="E304" s="644">
        <v>98</v>
      </c>
      <c r="F304" s="644">
        <v>2520</v>
      </c>
      <c r="G304" s="644">
        <v>100800</v>
      </c>
      <c r="H304" s="1129">
        <v>89</v>
      </c>
      <c r="I304" s="644">
        <v>346</v>
      </c>
      <c r="J304" s="644">
        <v>101146</v>
      </c>
      <c r="K304" s="621"/>
      <c r="L304" s="621"/>
    </row>
    <row r="305" spans="2:12">
      <c r="B305" s="650" t="s">
        <v>701</v>
      </c>
      <c r="C305" s="1800" t="s">
        <v>700</v>
      </c>
      <c r="D305" s="596">
        <v>26.6</v>
      </c>
      <c r="E305" s="597">
        <v>0</v>
      </c>
      <c r="F305" s="597">
        <v>0</v>
      </c>
      <c r="G305" s="597">
        <v>0</v>
      </c>
      <c r="H305" s="1130">
        <v>78</v>
      </c>
      <c r="I305" s="597">
        <v>294</v>
      </c>
      <c r="J305" s="597">
        <v>294</v>
      </c>
      <c r="K305" s="621"/>
      <c r="L305" s="621"/>
    </row>
    <row r="306" spans="2:12">
      <c r="B306" s="647" t="s">
        <v>699</v>
      </c>
      <c r="C306" s="1801"/>
      <c r="D306" s="594">
        <v>25.7</v>
      </c>
      <c r="E306" s="595">
        <v>0</v>
      </c>
      <c r="F306" s="595">
        <v>0</v>
      </c>
      <c r="G306" s="595">
        <v>0</v>
      </c>
      <c r="H306" s="1128">
        <v>39</v>
      </c>
      <c r="I306" s="595">
        <v>152</v>
      </c>
      <c r="J306" s="595">
        <v>152</v>
      </c>
      <c r="K306" s="621"/>
      <c r="L306" s="621"/>
    </row>
    <row r="307" spans="2:12">
      <c r="B307" s="649" t="s">
        <v>698</v>
      </c>
      <c r="C307" s="1802"/>
      <c r="D307" s="643">
        <v>26.6</v>
      </c>
      <c r="E307" s="644">
        <v>0</v>
      </c>
      <c r="F307" s="644">
        <v>0</v>
      </c>
      <c r="G307" s="644">
        <v>0</v>
      </c>
      <c r="H307" s="1129">
        <v>39</v>
      </c>
      <c r="I307" s="644">
        <v>147</v>
      </c>
      <c r="J307" s="644">
        <v>147</v>
      </c>
      <c r="K307" s="621"/>
      <c r="L307" s="621"/>
    </row>
    <row r="308" spans="2:12">
      <c r="B308" s="650" t="s">
        <v>697</v>
      </c>
      <c r="C308" s="1800" t="s">
        <v>686</v>
      </c>
      <c r="D308" s="596">
        <v>26.6</v>
      </c>
      <c r="E308" s="597">
        <v>0</v>
      </c>
      <c r="F308" s="597">
        <v>0</v>
      </c>
      <c r="G308" s="597">
        <v>0</v>
      </c>
      <c r="H308" s="1130">
        <v>39</v>
      </c>
      <c r="I308" s="597">
        <v>147</v>
      </c>
      <c r="J308" s="597">
        <v>147</v>
      </c>
      <c r="K308" s="621"/>
      <c r="L308" s="621"/>
    </row>
    <row r="309" spans="2:12">
      <c r="B309" s="647" t="s">
        <v>696</v>
      </c>
      <c r="C309" s="1801"/>
      <c r="D309" s="594">
        <v>24</v>
      </c>
      <c r="E309" s="595">
        <v>0</v>
      </c>
      <c r="F309" s="595">
        <v>0</v>
      </c>
      <c r="G309" s="595">
        <v>0</v>
      </c>
      <c r="H309" s="1128">
        <v>39</v>
      </c>
      <c r="I309" s="595">
        <v>163</v>
      </c>
      <c r="J309" s="595">
        <v>163</v>
      </c>
      <c r="K309" s="621"/>
      <c r="L309" s="621"/>
    </row>
    <row r="310" spans="2:12">
      <c r="B310" s="649" t="s">
        <v>695</v>
      </c>
      <c r="C310" s="1802"/>
      <c r="D310" s="643">
        <v>26.6</v>
      </c>
      <c r="E310" s="644">
        <v>0</v>
      </c>
      <c r="F310" s="644">
        <v>0</v>
      </c>
      <c r="G310" s="644">
        <v>0</v>
      </c>
      <c r="H310" s="1129">
        <v>39</v>
      </c>
      <c r="I310" s="644">
        <v>147</v>
      </c>
      <c r="J310" s="644">
        <v>147</v>
      </c>
      <c r="K310" s="621"/>
      <c r="L310" s="621"/>
    </row>
    <row r="311" spans="2:12">
      <c r="B311" s="650" t="s">
        <v>694</v>
      </c>
      <c r="C311" s="1800" t="s">
        <v>693</v>
      </c>
      <c r="D311" s="596">
        <v>25.7</v>
      </c>
      <c r="E311" s="597">
        <v>0</v>
      </c>
      <c r="F311" s="597">
        <v>0</v>
      </c>
      <c r="G311" s="597">
        <v>0</v>
      </c>
      <c r="H311" s="1130">
        <v>41</v>
      </c>
      <c r="I311" s="597">
        <v>159</v>
      </c>
      <c r="J311" s="597">
        <v>159</v>
      </c>
      <c r="K311" s="621"/>
      <c r="L311" s="621"/>
    </row>
    <row r="312" spans="2:12">
      <c r="B312" s="647" t="s">
        <v>692</v>
      </c>
      <c r="C312" s="1801"/>
      <c r="D312" s="594">
        <v>26.6</v>
      </c>
      <c r="E312" s="595">
        <v>0</v>
      </c>
      <c r="F312" s="595">
        <v>0</v>
      </c>
      <c r="G312" s="595">
        <v>0</v>
      </c>
      <c r="H312" s="1128">
        <v>39</v>
      </c>
      <c r="I312" s="595">
        <v>147</v>
      </c>
      <c r="J312" s="595">
        <v>147</v>
      </c>
      <c r="K312" s="621"/>
      <c r="L312" s="621"/>
    </row>
    <row r="313" spans="2:12">
      <c r="B313" s="647" t="s">
        <v>691</v>
      </c>
      <c r="C313" s="1801"/>
      <c r="D313" s="594">
        <v>25.7</v>
      </c>
      <c r="E313" s="595">
        <v>0</v>
      </c>
      <c r="F313" s="595">
        <v>0</v>
      </c>
      <c r="G313" s="595">
        <v>0</v>
      </c>
      <c r="H313" s="1128">
        <v>0</v>
      </c>
      <c r="I313" s="595">
        <v>0</v>
      </c>
      <c r="J313" s="595">
        <v>0</v>
      </c>
      <c r="K313" s="621"/>
      <c r="L313" s="621"/>
    </row>
    <row r="314" spans="2:12">
      <c r="B314" s="647" t="s">
        <v>690</v>
      </c>
      <c r="C314" s="1801"/>
      <c r="D314" s="594">
        <v>26.6</v>
      </c>
      <c r="E314" s="595">
        <v>0</v>
      </c>
      <c r="F314" s="595">
        <v>0</v>
      </c>
      <c r="G314" s="595">
        <v>0</v>
      </c>
      <c r="H314" s="1128">
        <v>0</v>
      </c>
      <c r="I314" s="595">
        <v>0</v>
      </c>
      <c r="J314" s="595">
        <v>0</v>
      </c>
      <c r="K314" s="621"/>
      <c r="L314" s="621"/>
    </row>
    <row r="315" spans="2:12">
      <c r="B315" s="647" t="s">
        <v>689</v>
      </c>
      <c r="C315" s="1801"/>
      <c r="D315" s="594">
        <v>26.6</v>
      </c>
      <c r="E315" s="595">
        <v>0</v>
      </c>
      <c r="F315" s="595">
        <v>0</v>
      </c>
      <c r="G315" s="595">
        <v>0</v>
      </c>
      <c r="H315" s="1128">
        <v>0</v>
      </c>
      <c r="I315" s="595">
        <v>0</v>
      </c>
      <c r="J315" s="595">
        <v>0</v>
      </c>
      <c r="K315" s="621"/>
      <c r="L315" s="621"/>
    </row>
    <row r="316" spans="2:12">
      <c r="B316" s="649" t="s">
        <v>688</v>
      </c>
      <c r="C316" s="1802"/>
      <c r="D316" s="643">
        <v>25.7</v>
      </c>
      <c r="E316" s="644">
        <v>0</v>
      </c>
      <c r="F316" s="644">
        <v>0</v>
      </c>
      <c r="G316" s="644">
        <v>0</v>
      </c>
      <c r="H316" s="1129">
        <v>0</v>
      </c>
      <c r="I316" s="644">
        <v>0</v>
      </c>
      <c r="J316" s="644">
        <v>0</v>
      </c>
      <c r="K316" s="621"/>
      <c r="L316" s="621"/>
    </row>
    <row r="317" spans="2:12">
      <c r="B317" s="650" t="s">
        <v>687</v>
      </c>
      <c r="C317" s="1800" t="s">
        <v>686</v>
      </c>
      <c r="D317" s="596">
        <v>26.6</v>
      </c>
      <c r="E317" s="597">
        <v>0</v>
      </c>
      <c r="F317" s="597">
        <v>0</v>
      </c>
      <c r="G317" s="597">
        <v>0</v>
      </c>
      <c r="H317" s="1130">
        <v>0</v>
      </c>
      <c r="I317" s="597">
        <v>0</v>
      </c>
      <c r="J317" s="597">
        <v>0</v>
      </c>
      <c r="K317" s="621"/>
      <c r="L317" s="621"/>
    </row>
    <row r="318" spans="2:12">
      <c r="B318" s="647" t="s">
        <v>685</v>
      </c>
      <c r="C318" s="1801"/>
      <c r="D318" s="594">
        <v>25.7</v>
      </c>
      <c r="E318" s="595">
        <v>0</v>
      </c>
      <c r="F318" s="595">
        <v>0</v>
      </c>
      <c r="G318" s="595">
        <v>0</v>
      </c>
      <c r="H318" s="1128">
        <v>0</v>
      </c>
      <c r="I318" s="595">
        <v>0</v>
      </c>
      <c r="J318" s="595">
        <v>0</v>
      </c>
      <c r="K318" s="621"/>
      <c r="L318" s="621"/>
    </row>
    <row r="319" spans="2:12">
      <c r="B319" s="649" t="s">
        <v>684</v>
      </c>
      <c r="C319" s="1802"/>
      <c r="D319" s="643">
        <v>26.6</v>
      </c>
      <c r="E319" s="644">
        <v>0</v>
      </c>
      <c r="F319" s="644">
        <v>0</v>
      </c>
      <c r="G319" s="644">
        <v>0</v>
      </c>
      <c r="H319" s="1129">
        <v>0</v>
      </c>
      <c r="I319" s="644">
        <v>0</v>
      </c>
      <c r="J319" s="644">
        <v>0</v>
      </c>
      <c r="K319" s="621"/>
      <c r="L319" s="621"/>
    </row>
    <row r="320" spans="2:12">
      <c r="B320" s="647" t="s">
        <v>211</v>
      </c>
      <c r="C320" s="638"/>
      <c r="D320" s="638"/>
      <c r="E320" s="638"/>
      <c r="F320" s="638"/>
      <c r="G320" s="651">
        <f>SUM(G272:G319)</f>
        <v>1535520</v>
      </c>
      <c r="H320" s="1131"/>
      <c r="I320" s="651">
        <f>SUM(I272:I319)</f>
        <v>28330</v>
      </c>
      <c r="J320" s="638"/>
      <c r="K320" s="621"/>
      <c r="L320" s="621"/>
    </row>
    <row r="321" spans="2:12">
      <c r="B321" s="647" t="s">
        <v>683</v>
      </c>
      <c r="C321" s="638"/>
      <c r="D321" s="638"/>
      <c r="E321" s="638"/>
      <c r="F321" s="638"/>
      <c r="G321" s="638"/>
      <c r="H321" s="1131"/>
      <c r="I321" s="638"/>
      <c r="J321" s="638"/>
      <c r="K321" s="621"/>
      <c r="L321" s="621"/>
    </row>
    <row r="322" spans="2:12" ht="26.25" thickBot="1">
      <c r="C322" s="638"/>
      <c r="F322" s="577" t="s">
        <v>1153</v>
      </c>
      <c r="G322" s="577"/>
      <c r="H322" s="577" t="s">
        <v>1151</v>
      </c>
      <c r="I322" s="1126" t="s">
        <v>1152</v>
      </c>
      <c r="J322" s="638"/>
      <c r="K322" s="621"/>
      <c r="L322" s="621"/>
    </row>
    <row r="323" spans="2:12" ht="13.5" thickTop="1">
      <c r="F323" s="1797" t="s">
        <v>835</v>
      </c>
      <c r="G323" s="638" t="s">
        <v>833</v>
      </c>
      <c r="H323" s="1171">
        <f>SUM(G272:G274,G281:G283)</f>
        <v>0</v>
      </c>
      <c r="I323" s="1172">
        <f>SUM(I272:I274,I281:I283)</f>
        <v>38</v>
      </c>
      <c r="J323" s="638"/>
      <c r="K323" s="621"/>
      <c r="L323" s="621"/>
    </row>
    <row r="324" spans="2:12">
      <c r="F324" s="1798"/>
      <c r="G324" s="621" t="s">
        <v>834</v>
      </c>
      <c r="H324" s="1173">
        <f>SUM(G275:G280)</f>
        <v>0</v>
      </c>
      <c r="I324" s="1174">
        <f>SUM(I275:I280)</f>
        <v>1225</v>
      </c>
      <c r="J324" s="621"/>
      <c r="K324" s="621"/>
      <c r="L324" s="621"/>
    </row>
    <row r="325" spans="2:12">
      <c r="F325" s="1798" t="s">
        <v>836</v>
      </c>
      <c r="G325" s="638" t="s">
        <v>833</v>
      </c>
      <c r="H325" s="1173">
        <f>SUM(G284:G286,G293:G295)</f>
        <v>309120</v>
      </c>
      <c r="I325" s="1174">
        <f>SUM(I284:I286,I293:I295)</f>
        <v>9999</v>
      </c>
      <c r="J325" s="621"/>
      <c r="K325" s="621"/>
      <c r="L325" s="621"/>
    </row>
    <row r="326" spans="2:12">
      <c r="B326" s="1164" t="s">
        <v>861</v>
      </c>
      <c r="C326" s="1165">
        <v>40</v>
      </c>
      <c r="D326" s="1166" t="s">
        <v>862</v>
      </c>
      <c r="F326" s="1798"/>
      <c r="G326" s="621" t="s">
        <v>834</v>
      </c>
      <c r="H326" s="1175">
        <f>SUM(G287:G292)</f>
        <v>309120</v>
      </c>
      <c r="I326" s="1176">
        <f>SUM(I287:I292)</f>
        <v>5789</v>
      </c>
    </row>
    <row r="327" spans="2:12">
      <c r="B327" s="1167" t="s">
        <v>863</v>
      </c>
      <c r="C327" s="1168">
        <v>100</v>
      </c>
      <c r="D327" s="1169" t="s">
        <v>862</v>
      </c>
      <c r="F327" s="1798" t="s">
        <v>837</v>
      </c>
      <c r="G327" s="638" t="s">
        <v>833</v>
      </c>
      <c r="H327" s="1175">
        <f>SUM(G296:G298,G305:G307)</f>
        <v>302400</v>
      </c>
      <c r="I327" s="1176">
        <f>SUM(I296:I298,I305:I307)</f>
        <v>6356</v>
      </c>
    </row>
    <row r="328" spans="2:12">
      <c r="F328" s="1798"/>
      <c r="G328" s="621" t="s">
        <v>834</v>
      </c>
      <c r="H328" s="1175">
        <f>SUM(G299:G304)</f>
        <v>614880</v>
      </c>
      <c r="I328" s="1176">
        <f>SUM(I299:I304)</f>
        <v>4160</v>
      </c>
    </row>
    <row r="329" spans="2:12">
      <c r="F329" s="1798" t="s">
        <v>838</v>
      </c>
      <c r="G329" s="638" t="s">
        <v>833</v>
      </c>
      <c r="H329" s="1175">
        <f>SUM(G308:G310,G317:G319)</f>
        <v>0</v>
      </c>
      <c r="I329" s="1176">
        <f>SUM(I308:I310,I317:I319)</f>
        <v>457</v>
      </c>
    </row>
    <row r="330" spans="2:12">
      <c r="F330" s="1799"/>
      <c r="G330" s="621" t="s">
        <v>834</v>
      </c>
      <c r="H330" s="1175">
        <f>SUM(G311:G316)</f>
        <v>0</v>
      </c>
      <c r="I330" s="1176">
        <f>SUM(I311:I316)</f>
        <v>306</v>
      </c>
    </row>
    <row r="331" spans="2:12">
      <c r="F331" s="1170" t="s">
        <v>211</v>
      </c>
      <c r="G331" s="1170"/>
      <c r="H331" s="1177">
        <f>SUM(H323:H330)</f>
        <v>1535520</v>
      </c>
      <c r="I331" s="1178">
        <f>SUM(I323:I330)</f>
        <v>28330</v>
      </c>
    </row>
  </sheetData>
  <sheetProtection password="C8A2" sheet="1" objects="1" scenarios="1"/>
  <mergeCells count="17">
    <mergeCell ref="C287:C292"/>
    <mergeCell ref="C293:C295"/>
    <mergeCell ref="C296:C298"/>
    <mergeCell ref="C299:C304"/>
    <mergeCell ref="C308:C310"/>
    <mergeCell ref="T76:W76"/>
    <mergeCell ref="C272:C274"/>
    <mergeCell ref="C275:C280"/>
    <mergeCell ref="C281:C283"/>
    <mergeCell ref="C284:C286"/>
    <mergeCell ref="F323:F324"/>
    <mergeCell ref="F325:F326"/>
    <mergeCell ref="F327:F328"/>
    <mergeCell ref="F329:F330"/>
    <mergeCell ref="C305:C307"/>
    <mergeCell ref="C311:C316"/>
    <mergeCell ref="C317:C319"/>
  </mergeCells>
  <pageMargins left="0.7" right="0.7" top="0.75" bottom="0.75" header="0.3" footer="0.3"/>
  <pageSetup paperSize="9" scale="50" orientation="landscape" r:id="rId1"/>
  <headerFooter>
    <oddHeader>&amp;CTacoma LNG Facility DSEIS Life Cycle Analsis GHG Emission Calculations Scenario A</oddHeader>
    <oddFooter>Page &amp;P of &amp;N</oddFooter>
  </headerFooter>
  <rowBreaks count="6" manualBreakCount="6">
    <brk id="72" max="16383" man="1"/>
    <brk id="107" max="16383" man="1"/>
    <brk id="157" max="16383" man="1"/>
    <brk id="204" max="16383" man="1"/>
    <brk id="249" max="16383" man="1"/>
    <brk id="2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61</vt:i4>
      </vt:variant>
    </vt:vector>
  </HeadingPairs>
  <TitlesOfParts>
    <vt:vector size="82" baseType="lpstr">
      <vt:lpstr>Input</vt:lpstr>
      <vt:lpstr>Results</vt:lpstr>
      <vt:lpstr>Compare Results</vt:lpstr>
      <vt:lpstr>Direct End use</vt:lpstr>
      <vt:lpstr>Upstream</vt:lpstr>
      <vt:lpstr>PSE LNG Operations</vt:lpstr>
      <vt:lpstr>Matrix</vt:lpstr>
      <vt:lpstr>Results FEIS scenario A</vt:lpstr>
      <vt:lpstr>Construction Equipment</vt:lpstr>
      <vt:lpstr>Construction Material&amp;Power</vt:lpstr>
      <vt:lpstr>End use Gig Harbor</vt:lpstr>
      <vt:lpstr>End use On-road trucking</vt:lpstr>
      <vt:lpstr>End use TOTE - LNG Vessel</vt:lpstr>
      <vt:lpstr>End use TOTE - Fuel Oil Vessel</vt:lpstr>
      <vt:lpstr>Fugitives</vt:lpstr>
      <vt:lpstr>Factors</vt:lpstr>
      <vt:lpstr>Fuel_Specs</vt:lpstr>
      <vt:lpstr>EFs</vt:lpstr>
      <vt:lpstr>EF Marine Vessels spec. TOTE</vt:lpstr>
      <vt:lpstr> Gas Data Fugitives</vt:lpstr>
      <vt:lpstr>BC_OC Ratios</vt:lpstr>
      <vt:lpstr>Upstream!_Ref514137621</vt:lpstr>
      <vt:lpstr>acreperhectare</vt:lpstr>
      <vt:lpstr>BtuperkWh</vt:lpstr>
      <vt:lpstr>BtuperMJ</vt:lpstr>
      <vt:lpstr>C_MW</vt:lpstr>
      <vt:lpstr>Ca_MW</vt:lpstr>
      <vt:lpstr>CarVMTmiles</vt:lpstr>
      <vt:lpstr>CH4_C_Ratio</vt:lpstr>
      <vt:lpstr>CH4_GWP</vt:lpstr>
      <vt:lpstr>CH4_MW</vt:lpstr>
      <vt:lpstr>Cl_MW</vt:lpstr>
      <vt:lpstr>CO_C_Ratio</vt:lpstr>
      <vt:lpstr>CO_GWP</vt:lpstr>
      <vt:lpstr>CO_MW</vt:lpstr>
      <vt:lpstr>CO2_C_Ratio</vt:lpstr>
      <vt:lpstr>CO2_GWP</vt:lpstr>
      <vt:lpstr>CO2_MW</vt:lpstr>
      <vt:lpstr>galMeOHpertonne</vt:lpstr>
      <vt:lpstr>gperlb</vt:lpstr>
      <vt:lpstr>H_MW</vt:lpstr>
      <vt:lpstr>JperBtu</vt:lpstr>
      <vt:lpstr>K_MW</vt:lpstr>
      <vt:lpstr>km_mi</vt:lpstr>
      <vt:lpstr>kmpermi</vt:lpstr>
      <vt:lpstr>kwperhp</vt:lpstr>
      <vt:lpstr>lbperkg</vt:lpstr>
      <vt:lpstr>Lpergal</vt:lpstr>
      <vt:lpstr>Lpergmol</vt:lpstr>
      <vt:lpstr>mipernaut</vt:lpstr>
      <vt:lpstr>N_MW</vt:lpstr>
      <vt:lpstr>N2O_GWP</vt:lpstr>
      <vt:lpstr>N2O_MW</vt:lpstr>
      <vt:lpstr>Na_MW</vt:lpstr>
      <vt:lpstr>NO2_GWP</vt:lpstr>
      <vt:lpstr>NO2_MW</vt:lpstr>
      <vt:lpstr>O_MW</vt:lpstr>
      <vt:lpstr>P_MW</vt:lpstr>
      <vt:lpstr>' Gas Data Fugitives'!Print_Area</vt:lpstr>
      <vt:lpstr>'BC_OC Ratios'!Print_Area</vt:lpstr>
      <vt:lpstr>'Construction Material&amp;Power'!Print_Area</vt:lpstr>
      <vt:lpstr>'Direct End use'!Print_Area</vt:lpstr>
      <vt:lpstr>'EF Marine Vessels spec. TOTE'!Print_Area</vt:lpstr>
      <vt:lpstr>'End use On-road trucking'!Print_Area</vt:lpstr>
      <vt:lpstr>'End use TOTE - Fuel Oil Vessel'!Print_Area</vt:lpstr>
      <vt:lpstr>'End use TOTE - LNG Vessel'!Print_Area</vt:lpstr>
      <vt:lpstr>Fugitives!Print_Area</vt:lpstr>
      <vt:lpstr>Input!Print_Area</vt:lpstr>
      <vt:lpstr>'PSE LNG Operations'!Print_Area</vt:lpstr>
      <vt:lpstr>Results!Print_Area</vt:lpstr>
      <vt:lpstr>'Results FEIS scenario A'!Print_Area</vt:lpstr>
      <vt:lpstr>S_MW</vt:lpstr>
      <vt:lpstr>scenario</vt:lpstr>
      <vt:lpstr>scfperlbmol</vt:lpstr>
      <vt:lpstr>scfperm3</vt:lpstr>
      <vt:lpstr>shorttonpertonne</vt:lpstr>
      <vt:lpstr>SO2_S_Ratio</vt:lpstr>
      <vt:lpstr>tonneperton</vt:lpstr>
      <vt:lpstr>TruckVMTmiles</vt:lpstr>
      <vt:lpstr>VOC_C_Ratio</vt:lpstr>
      <vt:lpstr>VOC_GWP</vt:lpstr>
      <vt:lpstr>VOC_MW</vt:lpstr>
    </vt:vector>
  </TitlesOfParts>
  <Company>Life Cycle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dc:creator>
  <cp:lastModifiedBy>Betsy Wheelock</cp:lastModifiedBy>
  <cp:lastPrinted>2018-10-03T18:38:12Z</cp:lastPrinted>
  <dcterms:created xsi:type="dcterms:W3CDTF">2014-05-01T22:42:44Z</dcterms:created>
  <dcterms:modified xsi:type="dcterms:W3CDTF">2018-10-03T23:27:23Z</dcterms:modified>
</cp:coreProperties>
</file>