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45" yWindow="0" windowWidth="20910" windowHeight="11190" tabRatio="886" firstSheet="12" activeTab="23"/>
  </bookViews>
  <sheets>
    <sheet name="Input" sheetId="25" r:id="rId1"/>
    <sheet name="Results" sheetId="19" r:id="rId2"/>
    <sheet name="Compare Results" sheetId="9" r:id="rId3"/>
    <sheet name="Direct End use" sheetId="20" r:id="rId4"/>
    <sheet name="Upstream" sheetId="18" r:id="rId5"/>
    <sheet name="CH4" sheetId="49" r:id="rId6"/>
    <sheet name="Oil WTT" sheetId="48" r:id="rId7"/>
    <sheet name="PSE LNG Operations" sheetId="6" r:id="rId8"/>
    <sheet name="GREET LNG" sheetId="47" r:id="rId9"/>
    <sheet name="Matrix" sheetId="41" state="hidden" r:id="rId10"/>
    <sheet name="Results FEIS scenario A" sheetId="39" r:id="rId11"/>
    <sheet name="Construction Equipment" sheetId="28" r:id="rId12"/>
    <sheet name="Construction Material&amp;Power" sheetId="22" r:id="rId13"/>
    <sheet name="End use Gig Harbor" sheetId="42" r:id="rId14"/>
    <sheet name="End use On-road trucking" sheetId="43" r:id="rId15"/>
    <sheet name="End use TOTE - LNG Vessel" sheetId="31" r:id="rId16"/>
    <sheet name="End use TOTE - MGO Vessel" sheetId="30" r:id="rId17"/>
    <sheet name="Fugitives" sheetId="27" r:id="rId18"/>
    <sheet name="Factors" sheetId="2" r:id="rId19"/>
    <sheet name="Fuel_Specs" sheetId="1" r:id="rId20"/>
    <sheet name="EFs" sheetId="16" r:id="rId21"/>
    <sheet name="EF Marine Vessels spec. TOTE" sheetId="29" r:id="rId22"/>
    <sheet name=" Gas Data Fugitives" sheetId="26" r:id="rId23"/>
    <sheet name="BC_OC Ratios" sheetId="38" r:id="rId24"/>
  </sheets>
  <externalReferences>
    <externalReference r:id="rId25"/>
    <externalReference r:id="rId26"/>
    <externalReference r:id="rId27"/>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_123Graph_A" localSheetId="22" hidden="1">#REF!</definedName>
    <definedName name="__123Graph_A" localSheetId="17" hidden="1">#REF!</definedName>
    <definedName name="__123Graph_X" localSheetId="22" hidden="1">#REF!</definedName>
    <definedName name="__123Graph_X" localSheetId="17"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ef514137621" localSheetId="4">Upstream!$B$128</definedName>
    <definedName name="acreperhectare">Factors!$C$47</definedName>
    <definedName name="BD_LHV">#REF!</definedName>
    <definedName name="BtuperkWh">Factors!$C$37</definedName>
    <definedName name="BtuperMJ">Factors!$C$36</definedName>
    <definedName name="C_MW">Factors!$D$14</definedName>
    <definedName name="Ca_MW">Factors!$D$18</definedName>
    <definedName name="CarVMTmiles">'Construction Equipment'!$C$326</definedName>
    <definedName name="CBWorkbookPriority" hidden="1">-717469739</definedName>
    <definedName name="CF">#REF!</definedName>
    <definedName name="CFtarget">#REF!</definedName>
    <definedName name="CH4_C_Ratio">Factors!$C$29</definedName>
    <definedName name="CH4_GWP">Factors!$C$9</definedName>
    <definedName name="CH4_MW">Factors!$D$9</definedName>
    <definedName name="Cl_MW">Factors!$D$19</definedName>
    <definedName name="CO_C_Ratio">Factors!$C$28</definedName>
    <definedName name="CO_GWP">Factors!$C$12</definedName>
    <definedName name="CO_MW">Factors!$D$12</definedName>
    <definedName name="CO2_C_Ratio">Factors!$C$30</definedName>
    <definedName name="CO2_GWP">Factors!$C$8</definedName>
    <definedName name="CO2_MW">Factors!$D$8</definedName>
    <definedName name="conv">#REF!</definedName>
    <definedName name="convergence">#REF!</definedName>
    <definedName name="Cv">#REF!</definedName>
    <definedName name="FF">#REF!</definedName>
    <definedName name="galMeOHpertonne">Fuel_Specs!$W$19</definedName>
    <definedName name="gperlb">Factors!$C$39</definedName>
    <definedName name="gtpower">#REF!</definedName>
    <definedName name="H_MW">Factors!$D$15</definedName>
    <definedName name="iterations">#REF!</definedName>
    <definedName name="jdafsl">#REF!</definedName>
    <definedName name="JperBtu">Factors!$C$35</definedName>
    <definedName name="K_MW">Factors!$D$23</definedName>
    <definedName name="km_mi">Factors!$C$52</definedName>
    <definedName name="kmpermi">Factors!$C$52</definedName>
    <definedName name="KO">#REF!</definedName>
    <definedName name="KOratio">#REF!</definedName>
    <definedName name="kwperhp">Factors!$C$56</definedName>
    <definedName name="lbperkg">Factors!$C$42</definedName>
    <definedName name="Lpergal">Factors!$C$45</definedName>
    <definedName name="Lpergmol">Factors!$C$54</definedName>
    <definedName name="MeOH_HHVt">[2]Fuel_Specs!$AA$19</definedName>
    <definedName name="MeOH_LHVt">[2]Fuel_Specs!$Y$19</definedName>
    <definedName name="mipernaut">Factors!$C$50</definedName>
    <definedName name="mmBTU2MJ">[3]Fuel_Specs!$H$148</definedName>
    <definedName name="N_MW">Factors!$D$17</definedName>
    <definedName name="N2O_GWP">Factors!$C$10</definedName>
    <definedName name="N2O_MW">Factors!$D$10</definedName>
    <definedName name="Na_MW">Factors!$D$20</definedName>
    <definedName name="NG_HHVt">[2]Fuel_Specs!$AA$46</definedName>
    <definedName name="NO2_GWP">Factors!$C$13</definedName>
    <definedName name="NO2_MW">Factors!$D$13</definedName>
    <definedName name="O_MW">Factors!$D$16</definedName>
    <definedName name="OR">#REF!</definedName>
    <definedName name="ORtarget">#REF!</definedName>
    <definedName name="P_MW">Factors!$D$22</definedName>
    <definedName name="Pal_Workbook_GUID" hidden="1">"9LST3G56W5URFQ4RF6NCNAG4"</definedName>
    <definedName name="powersurplus">#REF!</definedName>
    <definedName name="_xlnm.Print_Area" localSheetId="22">' Gas Data Fugitives'!$A$4:$K$23</definedName>
    <definedName name="_xlnm.Print_Area" localSheetId="21">'EF Marine Vessels spec. TOTE'!$A$1:$U$113</definedName>
    <definedName name="_xlnm.Print_Area" localSheetId="17">Fugitives!$B$3:$N$87</definedName>
    <definedName name="recy">#REF!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R">#REF!</definedName>
    <definedName name="S_MW">Factors!$D$21</definedName>
    <definedName name="scenario">Input!$C$21</definedName>
    <definedName name="scfperlbmol">Factors!$C$53</definedName>
    <definedName name="scfperm3">Factors!$C$44</definedName>
    <definedName name="shorttonpertonne">Factors!$C$41</definedName>
    <definedName name="SO2_S_Ratio">Factors!$C$31</definedName>
    <definedName name="solver_adj" localSheetId="20" hidden="1">EFs!$F$15</definedName>
    <definedName name="solver_cvg" localSheetId="20" hidden="1">0.0001</definedName>
    <definedName name="solver_drv" localSheetId="20" hidden="1">1</definedName>
    <definedName name="solver_eng" localSheetId="20" hidden="1">1</definedName>
    <definedName name="solver_est" localSheetId="20" hidden="1">1</definedName>
    <definedName name="solver_itr" localSheetId="20" hidden="1">2147483647</definedName>
    <definedName name="solver_mip" localSheetId="20" hidden="1">2147483647</definedName>
    <definedName name="solver_mni" localSheetId="20" hidden="1">30</definedName>
    <definedName name="solver_mrt" localSheetId="20" hidden="1">0.075</definedName>
    <definedName name="solver_msl" localSheetId="20" hidden="1">2</definedName>
    <definedName name="solver_neg" localSheetId="20" hidden="1">1</definedName>
    <definedName name="solver_nod" localSheetId="20" hidden="1">2147483647</definedName>
    <definedName name="solver_num" localSheetId="20" hidden="1">0</definedName>
    <definedName name="solver_nwt" localSheetId="20" hidden="1">1</definedName>
    <definedName name="solver_opt" localSheetId="20" hidden="1">EFs!$F$18</definedName>
    <definedName name="solver_pre" localSheetId="20" hidden="1">0.000001</definedName>
    <definedName name="solver_rbv" localSheetId="20" hidden="1">1</definedName>
    <definedName name="solver_rlx" localSheetId="20" hidden="1">2</definedName>
    <definedName name="solver_rsd" localSheetId="20" hidden="1">0</definedName>
    <definedName name="solver_scl" localSheetId="20" hidden="1">1</definedName>
    <definedName name="solver_sho" localSheetId="20" hidden="1">2</definedName>
    <definedName name="solver_ssz" localSheetId="20" hidden="1">100</definedName>
    <definedName name="solver_tim" localSheetId="20" hidden="1">2147483647</definedName>
    <definedName name="solver_tol" localSheetId="20" hidden="1">0.01</definedName>
    <definedName name="solver_typ" localSheetId="20" hidden="1">3</definedName>
    <definedName name="solver_val" localSheetId="20" hidden="1">58690</definedName>
    <definedName name="solver_ver" localSheetId="20" hidden="1">3</definedName>
    <definedName name="tolerance">#REF!</definedName>
    <definedName name="tonneperton">Factors!$C$40</definedName>
    <definedName name="TruckVMTmiles">'Construction Equipment'!$C$327</definedName>
    <definedName name="VOC_C_Ratio">Factors!$C$27</definedName>
    <definedName name="VOC_GWP">Factors!$C$11</definedName>
    <definedName name="VOC_MW">Factors!$D$11</definedName>
    <definedName name="Xperpass">#REF!</definedName>
  </definedNames>
  <calcPr calcId="191029" calcMode="manual" iterate="1" iterateDelta="1.0000000000000001E-5"/>
</workbook>
</file>

<file path=xl/calcChain.xml><?xml version="1.0" encoding="utf-8"?>
<calcChain xmlns="http://schemas.openxmlformats.org/spreadsheetml/2006/main">
  <c r="Q60" i="29" l="1"/>
  <c r="D8" i="2"/>
  <c r="D9" i="2"/>
  <c r="T60" i="29"/>
  <c r="U60" i="29" s="1"/>
  <c r="U61" i="29" s="1"/>
  <c r="U62" i="29" s="1"/>
  <c r="C30" i="2"/>
  <c r="B13" i="1"/>
  <c r="J13" i="1"/>
  <c r="M13" i="1" s="1"/>
  <c r="Y18" i="18"/>
  <c r="AJ8" i="18"/>
  <c r="C47" i="1"/>
  <c r="AN5" i="18" s="1"/>
  <c r="D47" i="1"/>
  <c r="I11" i="25"/>
  <c r="I12" i="25"/>
  <c r="I13" i="25"/>
  <c r="I14" i="25"/>
  <c r="I15" i="25"/>
  <c r="I16" i="25"/>
  <c r="D28" i="25"/>
  <c r="K16" i="25"/>
  <c r="E38" i="20"/>
  <c r="C29" i="19" s="1"/>
  <c r="D29" i="19" s="1"/>
  <c r="D71" i="19" s="1"/>
  <c r="E25" i="1"/>
  <c r="G30" i="47" s="1"/>
  <c r="K83" i="25"/>
  <c r="L84" i="25" s="1"/>
  <c r="K84" i="25" s="1"/>
  <c r="C25" i="1" s="1"/>
  <c r="C36" i="2"/>
  <c r="F111" i="6"/>
  <c r="E115" i="6"/>
  <c r="F115" i="6"/>
  <c r="F119" i="6"/>
  <c r="E125" i="6"/>
  <c r="F25" i="1"/>
  <c r="C18" i="31"/>
  <c r="D18" i="31"/>
  <c r="P8" i="29"/>
  <c r="P9" i="29"/>
  <c r="P10" i="29"/>
  <c r="P11" i="29"/>
  <c r="P12" i="29"/>
  <c r="P13" i="29"/>
  <c r="P14" i="29"/>
  <c r="P15" i="29"/>
  <c r="P16" i="29"/>
  <c r="R16" i="29"/>
  <c r="P17" i="29"/>
  <c r="T13" i="29"/>
  <c r="S17" i="29"/>
  <c r="R17" i="29"/>
  <c r="L66" i="31"/>
  <c r="N25" i="31" s="1"/>
  <c r="N45" i="31" s="1"/>
  <c r="E18" i="31"/>
  <c r="P51" i="29"/>
  <c r="P52" i="29"/>
  <c r="P53" i="29"/>
  <c r="P54" i="29"/>
  <c r="T53" i="29"/>
  <c r="U53" i="29" s="1"/>
  <c r="S54" i="29"/>
  <c r="P55" i="29"/>
  <c r="S55" i="29"/>
  <c r="L70" i="31"/>
  <c r="F18" i="31"/>
  <c r="P60" i="29"/>
  <c r="P61" i="29"/>
  <c r="S61" i="29"/>
  <c r="L74" i="31"/>
  <c r="L81" i="31"/>
  <c r="L85" i="31"/>
  <c r="L89" i="31"/>
  <c r="N35" i="31"/>
  <c r="C19" i="31"/>
  <c r="D19" i="31"/>
  <c r="L67" i="31"/>
  <c r="E19" i="31"/>
  <c r="L71" i="31"/>
  <c r="N26" i="31" s="1"/>
  <c r="N46" i="31" s="1"/>
  <c r="F19" i="31"/>
  <c r="L75" i="31"/>
  <c r="L82" i="31"/>
  <c r="L86" i="31"/>
  <c r="N36" i="31" s="1"/>
  <c r="N38" i="31" s="1"/>
  <c r="N39" i="31" s="1"/>
  <c r="N40" i="31" s="1"/>
  <c r="L90" i="31"/>
  <c r="C20" i="31"/>
  <c r="L68" i="31"/>
  <c r="N27" i="31" s="1"/>
  <c r="E20" i="31"/>
  <c r="L72" i="31"/>
  <c r="F20" i="31"/>
  <c r="L76" i="31"/>
  <c r="L83" i="31"/>
  <c r="N37" i="31" s="1"/>
  <c r="L87" i="31"/>
  <c r="L91" i="31"/>
  <c r="C111" i="29"/>
  <c r="G30" i="20"/>
  <c r="D60" i="31"/>
  <c r="C112" i="29"/>
  <c r="E60" i="31"/>
  <c r="C113" i="29"/>
  <c r="F60" i="31"/>
  <c r="C42" i="2"/>
  <c r="P13" i="1"/>
  <c r="K14" i="25"/>
  <c r="E30" i="20"/>
  <c r="D123" i="6" s="1"/>
  <c r="E123" i="6"/>
  <c r="K13" i="25"/>
  <c r="E27" i="20"/>
  <c r="D124" i="6" s="1"/>
  <c r="F124" i="6" s="1"/>
  <c r="G124" i="6" s="1"/>
  <c r="H124" i="6" s="1"/>
  <c r="C32" i="47"/>
  <c r="D27" i="47"/>
  <c r="E27" i="47"/>
  <c r="E124" i="6"/>
  <c r="K15" i="25"/>
  <c r="E34" i="20"/>
  <c r="K12" i="25"/>
  <c r="E24" i="20"/>
  <c r="D126" i="6" s="1"/>
  <c r="E126" i="6"/>
  <c r="K11" i="25"/>
  <c r="E21" i="20"/>
  <c r="D14" i="25"/>
  <c r="D16" i="25" s="1"/>
  <c r="D11" i="25"/>
  <c r="F11" i="25"/>
  <c r="AI7" i="18"/>
  <c r="AI8" i="18"/>
  <c r="AI9" i="18"/>
  <c r="AI10" i="18"/>
  <c r="AI11" i="18"/>
  <c r="AI12" i="18"/>
  <c r="Y14" i="18"/>
  <c r="AJ7" i="18"/>
  <c r="Y12" i="18"/>
  <c r="AJ9" i="18"/>
  <c r="Y11" i="18"/>
  <c r="AJ11" i="18"/>
  <c r="AJ12" i="18"/>
  <c r="Z14" i="18"/>
  <c r="AK7" i="18"/>
  <c r="Z18" i="18"/>
  <c r="AK8" i="18"/>
  <c r="Z12" i="18"/>
  <c r="AK9" i="18"/>
  <c r="Z11" i="18"/>
  <c r="AK11" i="18"/>
  <c r="AK12" i="18"/>
  <c r="C9" i="2"/>
  <c r="C10" i="2"/>
  <c r="C35" i="18"/>
  <c r="C36" i="18"/>
  <c r="E27" i="18"/>
  <c r="E36" i="18"/>
  <c r="C37" i="18"/>
  <c r="E28" i="18"/>
  <c r="E37" i="18"/>
  <c r="C46" i="18"/>
  <c r="D47" i="18"/>
  <c r="F27" i="18"/>
  <c r="F36" i="18"/>
  <c r="F28" i="18"/>
  <c r="F37" i="18"/>
  <c r="E47" i="18"/>
  <c r="G27" i="18"/>
  <c r="G36" i="18"/>
  <c r="G28" i="18"/>
  <c r="G37" i="18"/>
  <c r="F47" i="18"/>
  <c r="G47" i="18"/>
  <c r="C64" i="18"/>
  <c r="G64" i="18"/>
  <c r="G65" i="18"/>
  <c r="E9" i="42"/>
  <c r="D11" i="42"/>
  <c r="E11" i="42"/>
  <c r="C201" i="25"/>
  <c r="C93" i="18"/>
  <c r="C94" i="18"/>
  <c r="C95" i="18"/>
  <c r="C96" i="18"/>
  <c r="C97" i="18"/>
  <c r="C98" i="18"/>
  <c r="C99" i="18"/>
  <c r="D93" i="18"/>
  <c r="D94" i="18"/>
  <c r="D95" i="18"/>
  <c r="D96" i="18"/>
  <c r="D97" i="18"/>
  <c r="D98" i="18"/>
  <c r="D99" i="18"/>
  <c r="E93" i="18"/>
  <c r="E94" i="18"/>
  <c r="E95" i="18"/>
  <c r="E96" i="18"/>
  <c r="E97" i="18"/>
  <c r="E98" i="18"/>
  <c r="E99" i="18"/>
  <c r="D37" i="25"/>
  <c r="D9" i="6" s="1"/>
  <c r="D10" i="6" s="1"/>
  <c r="J19" i="6"/>
  <c r="D38" i="25"/>
  <c r="D11" i="6"/>
  <c r="D12" i="6" s="1"/>
  <c r="D12" i="2"/>
  <c r="C28" i="2"/>
  <c r="E16" i="16"/>
  <c r="D70" i="2"/>
  <c r="F64" i="6"/>
  <c r="C57" i="25"/>
  <c r="AG39" i="6" s="1"/>
  <c r="F47" i="1"/>
  <c r="F24" i="1"/>
  <c r="F68" i="6"/>
  <c r="O8" i="6"/>
  <c r="D42" i="25"/>
  <c r="O9" i="6"/>
  <c r="O10" i="6"/>
  <c r="F79" i="6"/>
  <c r="AP51" i="6"/>
  <c r="AP52" i="6"/>
  <c r="AI15" i="16"/>
  <c r="AI16" i="16"/>
  <c r="D79" i="2"/>
  <c r="F66" i="6"/>
  <c r="T24" i="1"/>
  <c r="U24" i="1"/>
  <c r="J84" i="25"/>
  <c r="C24" i="1"/>
  <c r="B24" i="1"/>
  <c r="E70" i="2"/>
  <c r="G64" i="6"/>
  <c r="E79" i="2"/>
  <c r="G66" i="6"/>
  <c r="F70" i="2"/>
  <c r="H64" i="6"/>
  <c r="F79" i="2"/>
  <c r="H66" i="6"/>
  <c r="G69" i="6"/>
  <c r="O11" i="6"/>
  <c r="G68" i="6"/>
  <c r="G79" i="6"/>
  <c r="G89" i="6"/>
  <c r="H69" i="6"/>
  <c r="H68" i="6"/>
  <c r="H79" i="6"/>
  <c r="H89" i="6"/>
  <c r="F69" i="6"/>
  <c r="I79" i="6"/>
  <c r="I89" i="6"/>
  <c r="F89" i="6"/>
  <c r="J42" i="25"/>
  <c r="B47" i="1"/>
  <c r="P47" i="1" s="1"/>
  <c r="E47" i="1"/>
  <c r="D57" i="25"/>
  <c r="E209" i="25"/>
  <c r="F16" i="16"/>
  <c r="D74" i="2"/>
  <c r="E74" i="2"/>
  <c r="F74" i="2"/>
  <c r="G74" i="2"/>
  <c r="G70" i="2"/>
  <c r="AJ16" i="16"/>
  <c r="AJ18" i="16"/>
  <c r="C22" i="19"/>
  <c r="C27" i="19"/>
  <c r="G8" i="41" s="1"/>
  <c r="G13" i="19"/>
  <c r="D44" i="25"/>
  <c r="D22" i="6"/>
  <c r="D19" i="6"/>
  <c r="D23" i="6"/>
  <c r="D24" i="6"/>
  <c r="F75" i="6" s="1"/>
  <c r="D138" i="6" s="1"/>
  <c r="D52" i="18"/>
  <c r="E52" i="18"/>
  <c r="F52" i="18"/>
  <c r="G52" i="18"/>
  <c r="G15" i="19"/>
  <c r="D9" i="42"/>
  <c r="T16" i="16"/>
  <c r="D63" i="2"/>
  <c r="F67" i="6"/>
  <c r="E63" i="2"/>
  <c r="G67" i="6"/>
  <c r="F63" i="2"/>
  <c r="H67" i="6"/>
  <c r="J139" i="6"/>
  <c r="D140" i="6"/>
  <c r="E140" i="6"/>
  <c r="F140" i="6"/>
  <c r="G140" i="6"/>
  <c r="E19" i="19"/>
  <c r="K66" i="31"/>
  <c r="K70" i="31"/>
  <c r="R61" i="29"/>
  <c r="K74" i="31"/>
  <c r="M25" i="31"/>
  <c r="M45" i="31" s="1"/>
  <c r="K81" i="31"/>
  <c r="M35" i="31" s="1"/>
  <c r="K85" i="31"/>
  <c r="K89" i="31"/>
  <c r="K67" i="31"/>
  <c r="M26" i="31" s="1"/>
  <c r="K71" i="31"/>
  <c r="K75" i="31"/>
  <c r="K82" i="31"/>
  <c r="K86" i="31"/>
  <c r="M36" i="31" s="1"/>
  <c r="K90" i="31"/>
  <c r="K68" i="31"/>
  <c r="M27" i="31" s="1"/>
  <c r="M47" i="31" s="1"/>
  <c r="K72" i="31"/>
  <c r="K76" i="31"/>
  <c r="K83" i="31"/>
  <c r="M37" i="31" s="1"/>
  <c r="K87" i="31"/>
  <c r="K91" i="31"/>
  <c r="L65" i="30"/>
  <c r="N24" i="30" s="1"/>
  <c r="N44" i="30" s="1"/>
  <c r="L69" i="30"/>
  <c r="L73" i="30"/>
  <c r="C17" i="30"/>
  <c r="D17" i="30"/>
  <c r="E17" i="30"/>
  <c r="F17" i="30"/>
  <c r="L80" i="30"/>
  <c r="L84" i="30"/>
  <c r="L88" i="30"/>
  <c r="N34" i="30" s="1"/>
  <c r="L66" i="30"/>
  <c r="N25" i="30" s="1"/>
  <c r="L70" i="30"/>
  <c r="L74" i="30"/>
  <c r="C18" i="30"/>
  <c r="D18" i="30"/>
  <c r="E18" i="30"/>
  <c r="F18" i="30"/>
  <c r="L81" i="30"/>
  <c r="L85" i="30"/>
  <c r="N35" i="30" s="1"/>
  <c r="L89" i="30"/>
  <c r="L67" i="30"/>
  <c r="N26" i="30" s="1"/>
  <c r="N46" i="30" s="1"/>
  <c r="L71" i="30"/>
  <c r="L75" i="30"/>
  <c r="C19" i="30"/>
  <c r="E19" i="30"/>
  <c r="F19" i="30"/>
  <c r="L82" i="30"/>
  <c r="N36" i="30" s="1"/>
  <c r="L86" i="30"/>
  <c r="L90" i="30"/>
  <c r="D59" i="30"/>
  <c r="E59" i="30"/>
  <c r="F59" i="30"/>
  <c r="K65" i="30"/>
  <c r="M24" i="30" s="1"/>
  <c r="K69" i="30"/>
  <c r="K73" i="30"/>
  <c r="K80" i="30"/>
  <c r="K84" i="30"/>
  <c r="M34" i="30" s="1"/>
  <c r="M37" i="30" s="1"/>
  <c r="M38" i="30" s="1"/>
  <c r="M39" i="30" s="1"/>
  <c r="K88" i="30"/>
  <c r="K66" i="30"/>
  <c r="M25" i="30" s="1"/>
  <c r="M45" i="30" s="1"/>
  <c r="K70" i="30"/>
  <c r="K74" i="30"/>
  <c r="K81" i="30"/>
  <c r="M35" i="30" s="1"/>
  <c r="K85" i="30"/>
  <c r="K89" i="30"/>
  <c r="K67" i="30"/>
  <c r="K71" i="30"/>
  <c r="K75" i="30"/>
  <c r="M26" i="30"/>
  <c r="M46" i="30" s="1"/>
  <c r="K82" i="30"/>
  <c r="K86" i="30"/>
  <c r="K90" i="30"/>
  <c r="M36" i="30"/>
  <c r="AG16" i="16"/>
  <c r="D75" i="2"/>
  <c r="I14" i="43"/>
  <c r="I15" i="43"/>
  <c r="E75" i="2"/>
  <c r="F14" i="43"/>
  <c r="F15" i="43"/>
  <c r="F75" i="2"/>
  <c r="G14" i="43"/>
  <c r="G15" i="43"/>
  <c r="C41" i="18"/>
  <c r="D42" i="18"/>
  <c r="E42" i="18"/>
  <c r="F42" i="18"/>
  <c r="G42" i="18"/>
  <c r="F8" i="19"/>
  <c r="E8" i="19"/>
  <c r="C71" i="28"/>
  <c r="S79" i="28"/>
  <c r="T79" i="28" s="1"/>
  <c r="S80" i="28"/>
  <c r="T80" i="28" s="1"/>
  <c r="S81" i="28"/>
  <c r="T81" i="28"/>
  <c r="S82" i="28"/>
  <c r="U82" i="28" s="1"/>
  <c r="S83" i="28"/>
  <c r="T83" i="28" s="1"/>
  <c r="S84" i="28"/>
  <c r="T84" i="28" s="1"/>
  <c r="S85" i="28"/>
  <c r="T85" i="28"/>
  <c r="S86" i="28"/>
  <c r="V86" i="28" s="1"/>
  <c r="S87" i="28"/>
  <c r="T87" i="28" s="1"/>
  <c r="S88" i="28"/>
  <c r="T88" i="28" s="1"/>
  <c r="S89" i="28"/>
  <c r="V89" i="28" s="1"/>
  <c r="T89" i="28"/>
  <c r="S90" i="28"/>
  <c r="U90" i="28" s="1"/>
  <c r="S91" i="28"/>
  <c r="T91" i="28" s="1"/>
  <c r="S92" i="28"/>
  <c r="T92" i="28" s="1"/>
  <c r="S93" i="28"/>
  <c r="T93" i="28"/>
  <c r="S95" i="28"/>
  <c r="V95" i="28" s="1"/>
  <c r="S96" i="28"/>
  <c r="T96" i="28" s="1"/>
  <c r="S97" i="28"/>
  <c r="T97" i="28" s="1"/>
  <c r="S98" i="28"/>
  <c r="V98" i="28" s="1"/>
  <c r="T98" i="28"/>
  <c r="S99" i="28"/>
  <c r="U99" i="28" s="1"/>
  <c r="S100" i="28"/>
  <c r="T100" i="28" s="1"/>
  <c r="S101" i="28"/>
  <c r="T101" i="28" s="1"/>
  <c r="S102" i="28"/>
  <c r="T102" i="28"/>
  <c r="D103" i="28"/>
  <c r="S103" i="28"/>
  <c r="T103" i="28" s="1"/>
  <c r="D104" i="28"/>
  <c r="S104" i="28"/>
  <c r="V104" i="28" s="1"/>
  <c r="U79" i="28"/>
  <c r="U81" i="28"/>
  <c r="U83" i="28"/>
  <c r="U85" i="28"/>
  <c r="U87" i="28"/>
  <c r="U89" i="28"/>
  <c r="U91" i="28"/>
  <c r="U93" i="28"/>
  <c r="U96" i="28"/>
  <c r="U98" i="28"/>
  <c r="U100" i="28"/>
  <c r="U102" i="28"/>
  <c r="V80" i="28"/>
  <c r="V81" i="28"/>
  <c r="V82" i="28"/>
  <c r="V83" i="28"/>
  <c r="V85" i="28"/>
  <c r="V88" i="28"/>
  <c r="V90" i="28"/>
  <c r="V91" i="28"/>
  <c r="V93" i="28"/>
  <c r="V97" i="28"/>
  <c r="V99" i="28"/>
  <c r="V100" i="28"/>
  <c r="V102" i="28"/>
  <c r="H323" i="28"/>
  <c r="D211" i="28"/>
  <c r="J211" i="28"/>
  <c r="K211" i="28"/>
  <c r="L211" i="28"/>
  <c r="M211" i="28"/>
  <c r="N211" i="28"/>
  <c r="B8" i="1"/>
  <c r="J8" i="1" s="1"/>
  <c r="O217" i="28" s="1"/>
  <c r="E103" i="18"/>
  <c r="C103" i="18"/>
  <c r="E101" i="18"/>
  <c r="C101" i="18"/>
  <c r="D102" i="18"/>
  <c r="E102" i="18"/>
  <c r="C102" i="18"/>
  <c r="D104" i="18"/>
  <c r="E104" i="18"/>
  <c r="C104" i="18"/>
  <c r="D105" i="18"/>
  <c r="E105" i="18"/>
  <c r="C105" i="18"/>
  <c r="C106" i="18"/>
  <c r="C107" i="18"/>
  <c r="C108" i="18"/>
  <c r="I323" i="28"/>
  <c r="D212" i="28"/>
  <c r="J212" i="28"/>
  <c r="K212" i="28"/>
  <c r="L212" i="28"/>
  <c r="M212" i="28"/>
  <c r="N212" i="28"/>
  <c r="F14" i="1"/>
  <c r="J14" i="1" s="1"/>
  <c r="B14" i="1"/>
  <c r="H324" i="28"/>
  <c r="D217" i="28"/>
  <c r="J217" i="28"/>
  <c r="K217" i="28"/>
  <c r="L217" i="28"/>
  <c r="M217" i="28"/>
  <c r="N217" i="28"/>
  <c r="I324" i="28"/>
  <c r="D218" i="28"/>
  <c r="J218" i="28"/>
  <c r="K218" i="28"/>
  <c r="L218" i="28"/>
  <c r="M218" i="28"/>
  <c r="N218" i="28"/>
  <c r="D106" i="18"/>
  <c r="D107" i="18"/>
  <c r="D108" i="18"/>
  <c r="E106" i="18"/>
  <c r="E107" i="18"/>
  <c r="E108" i="18"/>
  <c r="F51" i="28"/>
  <c r="S111" i="28"/>
  <c r="U111" i="28" s="1"/>
  <c r="T111" i="28"/>
  <c r="S112" i="28"/>
  <c r="T112" i="28"/>
  <c r="S113" i="28"/>
  <c r="U113" i="28" s="1"/>
  <c r="T113" i="28"/>
  <c r="S114" i="28"/>
  <c r="T114" i="28"/>
  <c r="S115" i="28"/>
  <c r="V115" i="28" s="1"/>
  <c r="T115" i="28"/>
  <c r="S116" i="28"/>
  <c r="T116" i="28"/>
  <c r="S117" i="28"/>
  <c r="V117" i="28" s="1"/>
  <c r="T117" i="28"/>
  <c r="S118" i="28"/>
  <c r="T118" i="28"/>
  <c r="S119" i="28"/>
  <c r="U119" i="28" s="1"/>
  <c r="T119" i="28"/>
  <c r="S120" i="28"/>
  <c r="T120" i="28"/>
  <c r="S121" i="28"/>
  <c r="U121" i="28" s="1"/>
  <c r="T121" i="28"/>
  <c r="S122" i="28"/>
  <c r="T122" i="28"/>
  <c r="S123" i="28"/>
  <c r="V123" i="28" s="1"/>
  <c r="T123" i="28"/>
  <c r="S124" i="28"/>
  <c r="T124" i="28"/>
  <c r="S125" i="28"/>
  <c r="V125" i="28" s="1"/>
  <c r="T125" i="28"/>
  <c r="S127" i="28"/>
  <c r="T127" i="28"/>
  <c r="S128" i="28"/>
  <c r="U128" i="28" s="1"/>
  <c r="T128" i="28"/>
  <c r="S129" i="28"/>
  <c r="T129" i="28"/>
  <c r="S130" i="28"/>
  <c r="U130" i="28" s="1"/>
  <c r="T130" i="28"/>
  <c r="S131" i="28"/>
  <c r="T131" i="28"/>
  <c r="S132" i="28"/>
  <c r="V132" i="28" s="1"/>
  <c r="T132" i="28"/>
  <c r="S133" i="28"/>
  <c r="T133" i="28"/>
  <c r="S134" i="28"/>
  <c r="V134" i="28" s="1"/>
  <c r="T134" i="28"/>
  <c r="S135" i="28"/>
  <c r="T135" i="28"/>
  <c r="S136" i="28"/>
  <c r="U136" i="28" s="1"/>
  <c r="T136" i="28"/>
  <c r="S138" i="28"/>
  <c r="T138" i="28"/>
  <c r="S139" i="28"/>
  <c r="U139" i="28" s="1"/>
  <c r="T139" i="28"/>
  <c r="S140" i="28"/>
  <c r="T140" i="28"/>
  <c r="S141" i="28"/>
  <c r="V141" i="28" s="1"/>
  <c r="T141" i="28"/>
  <c r="S142" i="28"/>
  <c r="T142" i="28"/>
  <c r="S143" i="28"/>
  <c r="V143" i="28" s="1"/>
  <c r="T143" i="28"/>
  <c r="S144" i="28"/>
  <c r="T144" i="28"/>
  <c r="S145" i="28"/>
  <c r="U145" i="28" s="1"/>
  <c r="T145" i="28"/>
  <c r="S146" i="28"/>
  <c r="T146" i="28"/>
  <c r="S147" i="28"/>
  <c r="U147" i="28" s="1"/>
  <c r="T147" i="28"/>
  <c r="S148" i="28"/>
  <c r="T148" i="28"/>
  <c r="S149" i="28"/>
  <c r="V149" i="28" s="1"/>
  <c r="T149" i="28"/>
  <c r="S150" i="28"/>
  <c r="T150" i="28"/>
  <c r="S151" i="28"/>
  <c r="V151" i="28" s="1"/>
  <c r="T151" i="28"/>
  <c r="S152" i="28"/>
  <c r="T152" i="28"/>
  <c r="S153" i="28"/>
  <c r="U153" i="28" s="1"/>
  <c r="T153" i="28"/>
  <c r="S154" i="28"/>
  <c r="T154" i="28"/>
  <c r="U112" i="28"/>
  <c r="U114" i="28"/>
  <c r="U115" i="28"/>
  <c r="U116" i="28"/>
  <c r="U117" i="28"/>
  <c r="U118" i="28"/>
  <c r="U120" i="28"/>
  <c r="U122" i="28"/>
  <c r="U123" i="28"/>
  <c r="U124" i="28"/>
  <c r="U125" i="28"/>
  <c r="U127" i="28"/>
  <c r="U129" i="28"/>
  <c r="U131" i="28"/>
  <c r="U132" i="28"/>
  <c r="U133" i="28"/>
  <c r="U134" i="28"/>
  <c r="U135" i="28"/>
  <c r="U138" i="28"/>
  <c r="U140" i="28"/>
  <c r="U141" i="28"/>
  <c r="U142" i="28"/>
  <c r="U143" i="28"/>
  <c r="U144" i="28"/>
  <c r="U146" i="28"/>
  <c r="U148" i="28"/>
  <c r="U149" i="28"/>
  <c r="U150" i="28"/>
  <c r="U151" i="28"/>
  <c r="U152" i="28"/>
  <c r="U154" i="28"/>
  <c r="V111" i="28"/>
  <c r="V112" i="28"/>
  <c r="V113" i="28"/>
  <c r="V114" i="28"/>
  <c r="V116" i="28"/>
  <c r="V118" i="28"/>
  <c r="V119" i="28"/>
  <c r="V120" i="28"/>
  <c r="V121" i="28"/>
  <c r="V122" i="28"/>
  <c r="V124" i="28"/>
  <c r="V127" i="28"/>
  <c r="V128" i="28"/>
  <c r="V129" i="28"/>
  <c r="V130" i="28"/>
  <c r="V131" i="28"/>
  <c r="V133" i="28"/>
  <c r="V135" i="28"/>
  <c r="V136" i="28"/>
  <c r="V138" i="28"/>
  <c r="V139" i="28"/>
  <c r="V140" i="28"/>
  <c r="V142" i="28"/>
  <c r="V144" i="28"/>
  <c r="V145" i="28"/>
  <c r="V146" i="28"/>
  <c r="V147" i="28"/>
  <c r="V148" i="28"/>
  <c r="V150" i="28"/>
  <c r="V152" i="28"/>
  <c r="V153" i="28"/>
  <c r="V154" i="28"/>
  <c r="H325" i="28"/>
  <c r="D225" i="28"/>
  <c r="J225" i="28"/>
  <c r="K225" i="28"/>
  <c r="L225" i="28"/>
  <c r="M225" i="28"/>
  <c r="N225" i="28"/>
  <c r="I325" i="28"/>
  <c r="D226" i="28"/>
  <c r="J226" i="28"/>
  <c r="K226" i="28"/>
  <c r="L226" i="28"/>
  <c r="M226" i="28"/>
  <c r="N226" i="28"/>
  <c r="H326" i="28"/>
  <c r="D231" i="28"/>
  <c r="J231" i="28"/>
  <c r="K231" i="28"/>
  <c r="L231" i="28"/>
  <c r="M231" i="28"/>
  <c r="N231" i="28"/>
  <c r="O231" i="28"/>
  <c r="I326" i="28"/>
  <c r="D232" i="28"/>
  <c r="J232" i="28"/>
  <c r="K232" i="28"/>
  <c r="L232" i="28"/>
  <c r="M232" i="28"/>
  <c r="N232" i="28"/>
  <c r="F56" i="28"/>
  <c r="S161" i="28"/>
  <c r="T161" i="28"/>
  <c r="S162" i="28"/>
  <c r="T162" i="28"/>
  <c r="S163" i="28"/>
  <c r="T163" i="28"/>
  <c r="S164" i="28"/>
  <c r="V164" i="28" s="1"/>
  <c r="T164" i="28"/>
  <c r="S165" i="28"/>
  <c r="U165" i="28" s="1"/>
  <c r="T165" i="28"/>
  <c r="S166" i="28"/>
  <c r="V166" i="28" s="1"/>
  <c r="T166" i="28"/>
  <c r="S167" i="28"/>
  <c r="T167" i="28"/>
  <c r="S168" i="28"/>
  <c r="T168" i="28"/>
  <c r="S169" i="28"/>
  <c r="T169" i="28"/>
  <c r="S170" i="28"/>
  <c r="U170" i="28" s="1"/>
  <c r="T170" i="28"/>
  <c r="S171" i="28"/>
  <c r="T171" i="28"/>
  <c r="S172" i="28"/>
  <c r="V172" i="28" s="1"/>
  <c r="T172" i="28"/>
  <c r="S173" i="28"/>
  <c r="U173" i="28" s="1"/>
  <c r="T173" i="28"/>
  <c r="S174" i="28"/>
  <c r="V174" i="28" s="1"/>
  <c r="T174" i="28"/>
  <c r="S175" i="28"/>
  <c r="T175" i="28"/>
  <c r="U161" i="28"/>
  <c r="U162" i="28"/>
  <c r="U163" i="28"/>
  <c r="U164" i="28"/>
  <c r="U166" i="28"/>
  <c r="U167" i="28"/>
  <c r="U168" i="28"/>
  <c r="U169" i="28"/>
  <c r="U171" i="28"/>
  <c r="U172" i="28"/>
  <c r="U174" i="28"/>
  <c r="U175" i="28"/>
  <c r="U176" i="28"/>
  <c r="D59" i="28" s="1"/>
  <c r="V161" i="28"/>
  <c r="V162" i="28"/>
  <c r="V163" i="28"/>
  <c r="V165" i="28"/>
  <c r="V167" i="28"/>
  <c r="V168" i="28"/>
  <c r="V169" i="28"/>
  <c r="V170" i="28"/>
  <c r="V171" i="28"/>
  <c r="V173" i="28"/>
  <c r="V175" i="28"/>
  <c r="H327" i="28"/>
  <c r="D239" i="28"/>
  <c r="J239" i="28"/>
  <c r="K239" i="28"/>
  <c r="L239" i="28"/>
  <c r="M239" i="28"/>
  <c r="N239" i="28"/>
  <c r="I327" i="28"/>
  <c r="D240" i="28"/>
  <c r="J240" i="28"/>
  <c r="K240" i="28"/>
  <c r="L240" i="28"/>
  <c r="M240" i="28"/>
  <c r="N240" i="28"/>
  <c r="H328" i="28"/>
  <c r="D245" i="28"/>
  <c r="J245" i="28"/>
  <c r="K245" i="28"/>
  <c r="L245" i="28"/>
  <c r="M245" i="28"/>
  <c r="N245" i="28"/>
  <c r="I328" i="28"/>
  <c r="D246" i="28"/>
  <c r="J246" i="28"/>
  <c r="K246" i="28"/>
  <c r="L246" i="28"/>
  <c r="M246" i="28"/>
  <c r="N246" i="28"/>
  <c r="F61" i="28"/>
  <c r="S182" i="28"/>
  <c r="T182" i="28"/>
  <c r="S183" i="28"/>
  <c r="T183" i="28"/>
  <c r="S184" i="28"/>
  <c r="U184" i="28" s="1"/>
  <c r="T184" i="28"/>
  <c r="S185" i="28"/>
  <c r="T185" i="28"/>
  <c r="S186" i="28"/>
  <c r="T186" i="28"/>
  <c r="S187" i="28"/>
  <c r="V187" i="28" s="1"/>
  <c r="T187" i="28"/>
  <c r="S188" i="28"/>
  <c r="U188" i="28" s="1"/>
  <c r="T188" i="28"/>
  <c r="S189" i="28"/>
  <c r="T189" i="28"/>
  <c r="S190" i="28"/>
  <c r="T190" i="28"/>
  <c r="S191" i="28"/>
  <c r="T191" i="28"/>
  <c r="S192" i="28"/>
  <c r="U192" i="28" s="1"/>
  <c r="T192" i="28"/>
  <c r="S193" i="28"/>
  <c r="T193" i="28"/>
  <c r="S194" i="28"/>
  <c r="T194" i="28"/>
  <c r="S195" i="28"/>
  <c r="V195" i="28" s="1"/>
  <c r="T195" i="28"/>
  <c r="S196" i="28"/>
  <c r="U196" i="28" s="1"/>
  <c r="T196" i="28"/>
  <c r="U182" i="28"/>
  <c r="U183" i="28"/>
  <c r="U197" i="28" s="1"/>
  <c r="D64" i="28" s="1"/>
  <c r="U185" i="28"/>
  <c r="U186" i="28"/>
  <c r="U187" i="28"/>
  <c r="U189" i="28"/>
  <c r="U190" i="28"/>
  <c r="U191" i="28"/>
  <c r="U193" i="28"/>
  <c r="U194" i="28"/>
  <c r="U195" i="28"/>
  <c r="V182" i="28"/>
  <c r="V183" i="28"/>
  <c r="V185" i="28"/>
  <c r="V186" i="28"/>
  <c r="V188" i="28"/>
  <c r="V189" i="28"/>
  <c r="V190" i="28"/>
  <c r="V191" i="28"/>
  <c r="V193" i="28"/>
  <c r="V194" i="28"/>
  <c r="V196" i="28"/>
  <c r="H329" i="28"/>
  <c r="D253" i="28"/>
  <c r="J253" i="28"/>
  <c r="K253" i="28"/>
  <c r="L253" i="28"/>
  <c r="M253" i="28"/>
  <c r="N253" i="28"/>
  <c r="I329" i="28"/>
  <c r="D254" i="28"/>
  <c r="J254" i="28"/>
  <c r="K254" i="28"/>
  <c r="L254" i="28"/>
  <c r="M254" i="28"/>
  <c r="N254" i="28"/>
  <c r="H330" i="28"/>
  <c r="D259" i="28"/>
  <c r="J259" i="28"/>
  <c r="K259" i="28"/>
  <c r="L259" i="28"/>
  <c r="M259" i="28"/>
  <c r="N259" i="28"/>
  <c r="O259" i="28"/>
  <c r="I330" i="28"/>
  <c r="D260" i="28"/>
  <c r="J260" i="28"/>
  <c r="K260" i="28"/>
  <c r="L260" i="28"/>
  <c r="M260" i="28"/>
  <c r="N260" i="28"/>
  <c r="F66" i="28"/>
  <c r="L79" i="28"/>
  <c r="O79" i="28"/>
  <c r="L80" i="28"/>
  <c r="O80" i="28"/>
  <c r="L81" i="28"/>
  <c r="O81" i="28"/>
  <c r="L82" i="28"/>
  <c r="O82" i="28"/>
  <c r="L83" i="28"/>
  <c r="O83" i="28"/>
  <c r="L84" i="28"/>
  <c r="O84" i="28"/>
  <c r="L85" i="28"/>
  <c r="O85" i="28"/>
  <c r="L86" i="28"/>
  <c r="O86" i="28"/>
  <c r="L87" i="28"/>
  <c r="O87" i="28"/>
  <c r="L88" i="28"/>
  <c r="O88" i="28"/>
  <c r="L89" i="28"/>
  <c r="O89" i="28"/>
  <c r="L90" i="28"/>
  <c r="O90" i="28"/>
  <c r="L91" i="28"/>
  <c r="O91" i="28"/>
  <c r="L92" i="28"/>
  <c r="O92" i="28"/>
  <c r="L93" i="28"/>
  <c r="O93" i="28"/>
  <c r="L95" i="28"/>
  <c r="O95" i="28"/>
  <c r="L96" i="28"/>
  <c r="O96" i="28"/>
  <c r="L97" i="28"/>
  <c r="O97" i="28"/>
  <c r="L98" i="28"/>
  <c r="O98" i="28"/>
  <c r="L99" i="28"/>
  <c r="O99" i="28"/>
  <c r="L100" i="28"/>
  <c r="O100" i="28"/>
  <c r="L101" i="28"/>
  <c r="O101" i="28"/>
  <c r="L102" i="28"/>
  <c r="O102" i="28"/>
  <c r="K103" i="28"/>
  <c r="J103" i="28"/>
  <c r="I103" i="28"/>
  <c r="L103" i="28"/>
  <c r="O103" i="28"/>
  <c r="K104" i="28"/>
  <c r="J104" i="28"/>
  <c r="I104" i="28"/>
  <c r="L104" i="28"/>
  <c r="O104" i="28"/>
  <c r="O105" i="28"/>
  <c r="C27" i="28"/>
  <c r="P79" i="28"/>
  <c r="P80" i="28"/>
  <c r="P81" i="28"/>
  <c r="P82" i="28"/>
  <c r="P83" i="28"/>
  <c r="P84" i="28"/>
  <c r="P85" i="28"/>
  <c r="P86" i="28"/>
  <c r="P87" i="28"/>
  <c r="P88" i="28"/>
  <c r="P89" i="28"/>
  <c r="P90" i="28"/>
  <c r="P91" i="28"/>
  <c r="P92" i="28"/>
  <c r="P93" i="28"/>
  <c r="P95" i="28"/>
  <c r="P96" i="28"/>
  <c r="P97" i="28"/>
  <c r="P98" i="28"/>
  <c r="P99" i="28"/>
  <c r="P100" i="28"/>
  <c r="P101" i="28"/>
  <c r="P102" i="28"/>
  <c r="P103" i="28"/>
  <c r="P104" i="28"/>
  <c r="P105" i="28"/>
  <c r="D27" i="28"/>
  <c r="Q79" i="28"/>
  <c r="Q80" i="28"/>
  <c r="Q81" i="28"/>
  <c r="Q82" i="28"/>
  <c r="Q83" i="28"/>
  <c r="Q84" i="28"/>
  <c r="Q85" i="28"/>
  <c r="Q86" i="28"/>
  <c r="Q87" i="28"/>
  <c r="Q88" i="28"/>
  <c r="Q89" i="28"/>
  <c r="Q90" i="28"/>
  <c r="Q91" i="28"/>
  <c r="Q92" i="28"/>
  <c r="Q93" i="28"/>
  <c r="Q95" i="28"/>
  <c r="Q96" i="28"/>
  <c r="Q97" i="28"/>
  <c r="Q98" i="28"/>
  <c r="Q99" i="28"/>
  <c r="Q100" i="28"/>
  <c r="Q101" i="28"/>
  <c r="Q102" i="28"/>
  <c r="Q103" i="28"/>
  <c r="Q104" i="28"/>
  <c r="Q105" i="28"/>
  <c r="E27" i="28"/>
  <c r="F27" i="28"/>
  <c r="K213" i="28"/>
  <c r="K219" i="28"/>
  <c r="K220" i="28"/>
  <c r="C28" i="28"/>
  <c r="L213" i="28"/>
  <c r="L219" i="28"/>
  <c r="L220" i="28"/>
  <c r="D28" i="28"/>
  <c r="M213" i="28"/>
  <c r="M219" i="28"/>
  <c r="M220" i="28"/>
  <c r="E28" i="28"/>
  <c r="F28" i="28"/>
  <c r="F29" i="28"/>
  <c r="F30" i="28"/>
  <c r="L111" i="28"/>
  <c r="O111" i="28"/>
  <c r="L112" i="28"/>
  <c r="O112" i="28"/>
  <c r="L113" i="28"/>
  <c r="O113" i="28"/>
  <c r="L114" i="28"/>
  <c r="O114" i="28"/>
  <c r="L115" i="28"/>
  <c r="O115" i="28"/>
  <c r="L116" i="28"/>
  <c r="O116" i="28"/>
  <c r="L117" i="28"/>
  <c r="O117" i="28"/>
  <c r="L118" i="28"/>
  <c r="O118" i="28"/>
  <c r="L119" i="28"/>
  <c r="O119" i="28"/>
  <c r="L120" i="28"/>
  <c r="O120" i="28"/>
  <c r="L121" i="28"/>
  <c r="O121" i="28"/>
  <c r="L122" i="28"/>
  <c r="O122" i="28"/>
  <c r="L123" i="28"/>
  <c r="O123" i="28"/>
  <c r="L124" i="28"/>
  <c r="O124" i="28"/>
  <c r="L125" i="28"/>
  <c r="O125" i="28"/>
  <c r="L127" i="28"/>
  <c r="O127" i="28"/>
  <c r="L128" i="28"/>
  <c r="O128" i="28"/>
  <c r="L129" i="28"/>
  <c r="O129" i="28"/>
  <c r="L130" i="28"/>
  <c r="O130" i="28"/>
  <c r="L131" i="28"/>
  <c r="O131" i="28"/>
  <c r="L132" i="28"/>
  <c r="O132" i="28"/>
  <c r="L133" i="28"/>
  <c r="O133" i="28"/>
  <c r="L134" i="28"/>
  <c r="O134" i="28"/>
  <c r="K135" i="28"/>
  <c r="J135" i="28"/>
  <c r="I135" i="28"/>
  <c r="L135" i="28"/>
  <c r="O135" i="28"/>
  <c r="K136" i="28"/>
  <c r="J136" i="28"/>
  <c r="I136" i="28"/>
  <c r="L136" i="28"/>
  <c r="O136" i="28"/>
  <c r="L138" i="28"/>
  <c r="O138" i="28"/>
  <c r="L139" i="28"/>
  <c r="O139" i="28"/>
  <c r="L140" i="28"/>
  <c r="O140" i="28"/>
  <c r="L141" i="28"/>
  <c r="O141" i="28"/>
  <c r="L142" i="28"/>
  <c r="O142" i="28"/>
  <c r="L143" i="28"/>
  <c r="O143" i="28"/>
  <c r="L144" i="28"/>
  <c r="O144" i="28"/>
  <c r="L145" i="28"/>
  <c r="O145" i="28"/>
  <c r="L146" i="28"/>
  <c r="O146" i="28"/>
  <c r="L147" i="28"/>
  <c r="O147" i="28"/>
  <c r="L148" i="28"/>
  <c r="O148" i="28"/>
  <c r="L149" i="28"/>
  <c r="O149" i="28"/>
  <c r="L150" i="28"/>
  <c r="O150" i="28"/>
  <c r="L151" i="28"/>
  <c r="O151" i="28"/>
  <c r="L152" i="28"/>
  <c r="O152" i="28"/>
  <c r="L153" i="28"/>
  <c r="O153" i="28"/>
  <c r="L154" i="28"/>
  <c r="O154" i="28"/>
  <c r="O155" i="28"/>
  <c r="C32" i="28"/>
  <c r="P111" i="28"/>
  <c r="P112" i="28"/>
  <c r="P113" i="28"/>
  <c r="P114" i="28"/>
  <c r="P115" i="28"/>
  <c r="P116" i="28"/>
  <c r="P117" i="28"/>
  <c r="P118" i="28"/>
  <c r="P119" i="28"/>
  <c r="P120" i="28"/>
  <c r="P121" i="28"/>
  <c r="P122" i="28"/>
  <c r="P123" i="28"/>
  <c r="P124" i="28"/>
  <c r="P125" i="28"/>
  <c r="P127" i="28"/>
  <c r="P128" i="28"/>
  <c r="P129" i="28"/>
  <c r="P130" i="28"/>
  <c r="P131" i="28"/>
  <c r="P132" i="28"/>
  <c r="P133" i="28"/>
  <c r="P134" i="28"/>
  <c r="P135" i="28"/>
  <c r="P136" i="28"/>
  <c r="P138" i="28"/>
  <c r="P139" i="28"/>
  <c r="P140" i="28"/>
  <c r="P141" i="28"/>
  <c r="P142" i="28"/>
  <c r="P143" i="28"/>
  <c r="P144" i="28"/>
  <c r="P145" i="28"/>
  <c r="P146" i="28"/>
  <c r="P147" i="28"/>
  <c r="P148" i="28"/>
  <c r="P149" i="28"/>
  <c r="P150" i="28"/>
  <c r="P151" i="28"/>
  <c r="P152" i="28"/>
  <c r="P153" i="28"/>
  <c r="P154" i="28"/>
  <c r="P155" i="28"/>
  <c r="D32" i="28"/>
  <c r="Q111" i="28"/>
  <c r="Q112" i="28"/>
  <c r="Q113" i="28"/>
  <c r="Q114" i="28"/>
  <c r="Q115" i="28"/>
  <c r="Q116" i="28"/>
  <c r="Q117" i="28"/>
  <c r="Q118" i="28"/>
  <c r="Q119" i="28"/>
  <c r="Q120" i="28"/>
  <c r="Q121" i="28"/>
  <c r="Q122" i="28"/>
  <c r="Q123" i="28"/>
  <c r="Q124" i="28"/>
  <c r="Q125" i="28"/>
  <c r="Q127" i="28"/>
  <c r="Q128" i="28"/>
  <c r="Q129" i="28"/>
  <c r="Q130" i="28"/>
  <c r="Q131" i="28"/>
  <c r="Q132" i="28"/>
  <c r="Q133" i="28"/>
  <c r="Q134" i="28"/>
  <c r="Q135" i="28"/>
  <c r="Q136" i="28"/>
  <c r="Q138" i="28"/>
  <c r="Q139" i="28"/>
  <c r="Q140" i="28"/>
  <c r="Q141" i="28"/>
  <c r="Q142" i="28"/>
  <c r="Q143" i="28"/>
  <c r="Q144" i="28"/>
  <c r="Q145" i="28"/>
  <c r="Q146" i="28"/>
  <c r="Q147" i="28"/>
  <c r="Q148" i="28"/>
  <c r="Q149" i="28"/>
  <c r="Q150" i="28"/>
  <c r="Q151" i="28"/>
  <c r="Q152" i="28"/>
  <c r="Q153" i="28"/>
  <c r="Q154" i="28"/>
  <c r="Q155" i="28"/>
  <c r="E32" i="28"/>
  <c r="F32" i="28"/>
  <c r="K227" i="28"/>
  <c r="K233" i="28"/>
  <c r="K234" i="28"/>
  <c r="C33" i="28"/>
  <c r="L227" i="28"/>
  <c r="L233" i="28"/>
  <c r="L234" i="28"/>
  <c r="D33" i="28"/>
  <c r="M227" i="28"/>
  <c r="M233" i="28"/>
  <c r="M234" i="28"/>
  <c r="E33" i="28"/>
  <c r="F33" i="28"/>
  <c r="F34" i="28"/>
  <c r="F35" i="28"/>
  <c r="L175" i="28"/>
  <c r="O175" i="28"/>
  <c r="C37" i="28"/>
  <c r="P175" i="28"/>
  <c r="D37" i="28"/>
  <c r="Q175" i="28"/>
  <c r="E37" i="28"/>
  <c r="F37" i="28"/>
  <c r="K241" i="28"/>
  <c r="K247" i="28"/>
  <c r="K248" i="28"/>
  <c r="C38" i="28"/>
  <c r="L241" i="28"/>
  <c r="L247" i="28"/>
  <c r="L248" i="28"/>
  <c r="D38" i="28"/>
  <c r="M241" i="28"/>
  <c r="M247" i="28"/>
  <c r="M248" i="28"/>
  <c r="E38" i="28"/>
  <c r="F38" i="28"/>
  <c r="F39" i="28"/>
  <c r="F40" i="28"/>
  <c r="L182" i="28"/>
  <c r="O182" i="28"/>
  <c r="L183" i="28"/>
  <c r="O183" i="28"/>
  <c r="L184" i="28"/>
  <c r="O184" i="28"/>
  <c r="L185" i="28"/>
  <c r="O185" i="28"/>
  <c r="L186" i="28"/>
  <c r="O186" i="28"/>
  <c r="L187" i="28"/>
  <c r="O187" i="28"/>
  <c r="L188" i="28"/>
  <c r="O188" i="28"/>
  <c r="L189" i="28"/>
  <c r="O189" i="28"/>
  <c r="L190" i="28"/>
  <c r="O190" i="28"/>
  <c r="L191" i="28"/>
  <c r="O191" i="28"/>
  <c r="L192" i="28"/>
  <c r="O192" i="28"/>
  <c r="L193" i="28"/>
  <c r="O193" i="28"/>
  <c r="L194" i="28"/>
  <c r="O194" i="28"/>
  <c r="L195" i="28"/>
  <c r="O195" i="28"/>
  <c r="L196" i="28"/>
  <c r="O196" i="28"/>
  <c r="O197" i="28"/>
  <c r="C42" i="28"/>
  <c r="P197" i="28"/>
  <c r="D42" i="28"/>
  <c r="Q197" i="28"/>
  <c r="E42" i="28"/>
  <c r="F42" i="28"/>
  <c r="K255" i="28"/>
  <c r="K261" i="28"/>
  <c r="K262" i="28"/>
  <c r="C43" i="28"/>
  <c r="L255" i="28"/>
  <c r="L261" i="28"/>
  <c r="L262" i="28"/>
  <c r="D43" i="28"/>
  <c r="M255" i="28"/>
  <c r="M261" i="28"/>
  <c r="M262" i="28"/>
  <c r="E43" i="28"/>
  <c r="F43" i="28"/>
  <c r="F44" i="28"/>
  <c r="F45" i="28"/>
  <c r="F46" i="28"/>
  <c r="F6" i="19"/>
  <c r="E6" i="19"/>
  <c r="C27" i="22"/>
  <c r="C28" i="22"/>
  <c r="C29" i="22"/>
  <c r="C30" i="22"/>
  <c r="C31" i="22"/>
  <c r="C32" i="22"/>
  <c r="C33" i="22"/>
  <c r="C34" i="22"/>
  <c r="D27" i="22"/>
  <c r="D28" i="22"/>
  <c r="D29" i="22"/>
  <c r="D30" i="22"/>
  <c r="D31" i="22"/>
  <c r="D32" i="22"/>
  <c r="D33" i="22"/>
  <c r="D34" i="22"/>
  <c r="E27" i="22"/>
  <c r="E28" i="22"/>
  <c r="E29" i="22"/>
  <c r="E30" i="22"/>
  <c r="E31" i="22"/>
  <c r="E32" i="22"/>
  <c r="E33" i="22"/>
  <c r="E34" i="22"/>
  <c r="F34" i="22"/>
  <c r="F9" i="19"/>
  <c r="E9" i="19"/>
  <c r="G38" i="20"/>
  <c r="H40" i="20"/>
  <c r="H32" i="20"/>
  <c r="G34" i="20"/>
  <c r="H36" i="20"/>
  <c r="I11" i="48"/>
  <c r="B48" i="1"/>
  <c r="P48" i="1" s="1"/>
  <c r="I13" i="48" s="1"/>
  <c r="L49" i="48"/>
  <c r="L48" i="48"/>
  <c r="N13" i="1"/>
  <c r="L50" i="48"/>
  <c r="D16" i="16"/>
  <c r="D71" i="2"/>
  <c r="C86" i="18"/>
  <c r="C84" i="18"/>
  <c r="C85" i="18"/>
  <c r="C87" i="18"/>
  <c r="C89" i="18"/>
  <c r="C90" i="18"/>
  <c r="E71" i="2"/>
  <c r="D84" i="18"/>
  <c r="D85" i="18"/>
  <c r="D86" i="18"/>
  <c r="D87" i="18"/>
  <c r="D89" i="18"/>
  <c r="D90" i="18"/>
  <c r="F71" i="2"/>
  <c r="E84" i="18"/>
  <c r="E85" i="18"/>
  <c r="E86" i="18"/>
  <c r="E87" i="18"/>
  <c r="E89" i="18"/>
  <c r="E90" i="18"/>
  <c r="AC16" i="16"/>
  <c r="D64" i="2"/>
  <c r="E64" i="2"/>
  <c r="F64" i="2"/>
  <c r="I16" i="43"/>
  <c r="F16" i="43"/>
  <c r="G16" i="43"/>
  <c r="D31" i="25"/>
  <c r="H22" i="20"/>
  <c r="H28" i="20"/>
  <c r="AL16" i="16"/>
  <c r="D73" i="2"/>
  <c r="E73" i="2"/>
  <c r="G73" i="2"/>
  <c r="G75" i="2"/>
  <c r="F18" i="16"/>
  <c r="J47" i="1"/>
  <c r="E20" i="16"/>
  <c r="G16" i="16"/>
  <c r="G18" i="16"/>
  <c r="H16" i="16"/>
  <c r="H18" i="16"/>
  <c r="I16" i="16"/>
  <c r="I18" i="16"/>
  <c r="J16" i="16"/>
  <c r="J18" i="16"/>
  <c r="K16" i="16"/>
  <c r="K18" i="16"/>
  <c r="L16" i="16"/>
  <c r="L18" i="16"/>
  <c r="M16" i="16"/>
  <c r="M18" i="16"/>
  <c r="N16" i="16"/>
  <c r="N18" i="16"/>
  <c r="O16" i="16"/>
  <c r="O18" i="16"/>
  <c r="Q16" i="16"/>
  <c r="Q18" i="16"/>
  <c r="R16" i="16"/>
  <c r="R18" i="16"/>
  <c r="S16" i="16"/>
  <c r="S18" i="16"/>
  <c r="T18" i="16"/>
  <c r="U16" i="16"/>
  <c r="U18" i="16"/>
  <c r="V16" i="16"/>
  <c r="V18" i="16"/>
  <c r="I69" i="6"/>
  <c r="I68" i="6"/>
  <c r="S18" i="29"/>
  <c r="AU27" i="18"/>
  <c r="AV27" i="18"/>
  <c r="AW27" i="18"/>
  <c r="J36" i="49"/>
  <c r="I36" i="49"/>
  <c r="J43" i="49"/>
  <c r="J44" i="49"/>
  <c r="I44" i="49"/>
  <c r="I43" i="49"/>
  <c r="J39" i="49"/>
  <c r="J38" i="49"/>
  <c r="I39" i="49"/>
  <c r="I38" i="49"/>
  <c r="J37" i="49"/>
  <c r="J45" i="49"/>
  <c r="I37" i="49"/>
  <c r="I45" i="49"/>
  <c r="H45" i="49"/>
  <c r="G45" i="49"/>
  <c r="L140" i="25"/>
  <c r="M141" i="25"/>
  <c r="M142" i="25"/>
  <c r="M144" i="25"/>
  <c r="M145" i="25"/>
  <c r="Z146" i="25"/>
  <c r="AB146" i="25"/>
  <c r="AA146" i="25"/>
  <c r="L108" i="18"/>
  <c r="K108" i="18"/>
  <c r="J108" i="18"/>
  <c r="L99" i="18"/>
  <c r="K99" i="18"/>
  <c r="J99" i="18"/>
  <c r="L91" i="18"/>
  <c r="K91" i="18"/>
  <c r="J91" i="18"/>
  <c r="N147" i="25"/>
  <c r="N144" i="25"/>
  <c r="N8" i="49"/>
  <c r="N9" i="49"/>
  <c r="N10" i="49"/>
  <c r="N11" i="49"/>
  <c r="N12" i="49"/>
  <c r="N13" i="49"/>
  <c r="N14" i="49"/>
  <c r="N7" i="49"/>
  <c r="M146" i="25"/>
  <c r="N15" i="49"/>
  <c r="M147" i="25"/>
  <c r="L147" i="25"/>
  <c r="I118" i="25"/>
  <c r="I120" i="25"/>
  <c r="I121" i="25"/>
  <c r="I122" i="25"/>
  <c r="I123" i="25"/>
  <c r="I124" i="25"/>
  <c r="I125" i="25"/>
  <c r="I126" i="25"/>
  <c r="I132" i="25"/>
  <c r="J133" i="25"/>
  <c r="K133" i="25"/>
  <c r="J118" i="25"/>
  <c r="K118" i="25"/>
  <c r="J119" i="25"/>
  <c r="J120" i="25"/>
  <c r="K120" i="25"/>
  <c r="J121" i="25"/>
  <c r="K121" i="25"/>
  <c r="J122" i="25"/>
  <c r="K122" i="25"/>
  <c r="J123" i="25"/>
  <c r="K123" i="25"/>
  <c r="J124" i="25"/>
  <c r="K124" i="25"/>
  <c r="J125" i="25"/>
  <c r="K125" i="25"/>
  <c r="J126" i="25"/>
  <c r="K126" i="25"/>
  <c r="J132" i="25"/>
  <c r="K132" i="25"/>
  <c r="J117" i="25"/>
  <c r="K117" i="25"/>
  <c r="I117" i="25"/>
  <c r="AA21" i="18"/>
  <c r="AB21" i="18"/>
  <c r="X146" i="25"/>
  <c r="W146" i="25"/>
  <c r="V146" i="25"/>
  <c r="X21" i="18"/>
  <c r="W21" i="18"/>
  <c r="V21" i="18"/>
  <c r="U10" i="18"/>
  <c r="U21" i="18"/>
  <c r="Z21" i="18"/>
  <c r="AI13" i="18"/>
  <c r="AJ13" i="18"/>
  <c r="AK13" i="18"/>
  <c r="Y21" i="18"/>
  <c r="T52" i="29"/>
  <c r="U52" i="29"/>
  <c r="T51" i="29"/>
  <c r="K13" i="1"/>
  <c r="O50" i="30"/>
  <c r="T18" i="29"/>
  <c r="B26" i="1"/>
  <c r="J26" i="1" s="1"/>
  <c r="M26" i="1" s="1"/>
  <c r="U18" i="29" s="1"/>
  <c r="R18" i="29"/>
  <c r="P18" i="29"/>
  <c r="T9" i="29"/>
  <c r="T10" i="29"/>
  <c r="T11" i="29"/>
  <c r="T12" i="29"/>
  <c r="T14" i="29"/>
  <c r="T15" i="29"/>
  <c r="T16" i="29"/>
  <c r="T8" i="29"/>
  <c r="H39" i="20"/>
  <c r="H35" i="20"/>
  <c r="H31" i="20"/>
  <c r="C14" i="48"/>
  <c r="C25" i="47"/>
  <c r="C22" i="47"/>
  <c r="C21" i="47"/>
  <c r="C20" i="47"/>
  <c r="C12" i="47"/>
  <c r="C16" i="47"/>
  <c r="C27" i="47"/>
  <c r="I5" i="47"/>
  <c r="C7" i="47"/>
  <c r="AB148" i="25"/>
  <c r="AS26" i="18"/>
  <c r="AS27" i="18"/>
  <c r="AT26" i="18"/>
  <c r="AT27" i="18"/>
  <c r="Y146" i="25"/>
  <c r="N146" i="25"/>
  <c r="L146" i="25"/>
  <c r="N148" i="25"/>
  <c r="H174" i="25"/>
  <c r="H175" i="25"/>
  <c r="H176" i="25"/>
  <c r="H177" i="25"/>
  <c r="I177" i="25"/>
  <c r="H178" i="25"/>
  <c r="H179" i="25"/>
  <c r="H173" i="25"/>
  <c r="H172" i="25"/>
  <c r="I173" i="25"/>
  <c r="I179" i="25"/>
  <c r="I175" i="25"/>
  <c r="D12" i="25"/>
  <c r="D13" i="25"/>
  <c r="F13" i="25" s="1"/>
  <c r="D15" i="25"/>
  <c r="K38" i="20"/>
  <c r="A18" i="20"/>
  <c r="C130" i="20" s="1"/>
  <c r="B78" i="19"/>
  <c r="B79" i="19"/>
  <c r="B80" i="19"/>
  <c r="B81" i="19"/>
  <c r="B82" i="19"/>
  <c r="C68" i="19"/>
  <c r="D68" i="19"/>
  <c r="B72" i="19"/>
  <c r="B65" i="19"/>
  <c r="B66" i="19"/>
  <c r="B67" i="19"/>
  <c r="B68" i="19"/>
  <c r="B69" i="19"/>
  <c r="B70" i="19"/>
  <c r="B71" i="19"/>
  <c r="B64" i="19"/>
  <c r="P140" i="25"/>
  <c r="Q140" i="25"/>
  <c r="Q141" i="25"/>
  <c r="Q146" i="25"/>
  <c r="P141" i="25"/>
  <c r="O141" i="25"/>
  <c r="O140" i="25"/>
  <c r="O146" i="25"/>
  <c r="P146" i="25"/>
  <c r="I141" i="6"/>
  <c r="I137" i="6"/>
  <c r="I135" i="6"/>
  <c r="I133" i="6"/>
  <c r="D165" i="25"/>
  <c r="D134" i="25"/>
  <c r="E134" i="25"/>
  <c r="F134" i="25"/>
  <c r="G134" i="25"/>
  <c r="H134" i="25"/>
  <c r="C134" i="25"/>
  <c r="I134" i="25"/>
  <c r="K92" i="25"/>
  <c r="I92" i="25"/>
  <c r="J92" i="25"/>
  <c r="E85" i="25"/>
  <c r="F85" i="25"/>
  <c r="G85" i="25"/>
  <c r="H85" i="25"/>
  <c r="C85" i="25"/>
  <c r="F80" i="2"/>
  <c r="F18" i="22"/>
  <c r="F19" i="22"/>
  <c r="F20" i="22"/>
  <c r="F21" i="22"/>
  <c r="F22" i="22"/>
  <c r="F23" i="22"/>
  <c r="F24" i="22"/>
  <c r="G135" i="18"/>
  <c r="G161" i="25"/>
  <c r="G162" i="25"/>
  <c r="G163" i="25"/>
  <c r="G164" i="25"/>
  <c r="B63" i="19"/>
  <c r="B62" i="19"/>
  <c r="B61" i="19"/>
  <c r="B76" i="19"/>
  <c r="B74" i="19"/>
  <c r="D114" i="20"/>
  <c r="D115" i="20"/>
  <c r="C115" i="20"/>
  <c r="C114" i="20"/>
  <c r="D90" i="20"/>
  <c r="D91" i="20"/>
  <c r="C91" i="20"/>
  <c r="C90" i="20"/>
  <c r="B35" i="25"/>
  <c r="I100" i="6"/>
  <c r="I101" i="6"/>
  <c r="D90" i="6"/>
  <c r="C90" i="6"/>
  <c r="C89" i="6"/>
  <c r="B58" i="19"/>
  <c r="D39" i="25"/>
  <c r="J9" i="6"/>
  <c r="M16" i="25"/>
  <c r="M15" i="25"/>
  <c r="M14" i="25"/>
  <c r="M13" i="25"/>
  <c r="M12" i="25"/>
  <c r="M11" i="25"/>
  <c r="J10" i="6"/>
  <c r="J11" i="6" s="1"/>
  <c r="I10" i="25"/>
  <c r="D15" i="43"/>
  <c r="E15" i="43"/>
  <c r="C15" i="43"/>
  <c r="F84" i="18"/>
  <c r="D216" i="25"/>
  <c r="E216" i="25"/>
  <c r="C216" i="25"/>
  <c r="E207" i="25"/>
  <c r="D207" i="25"/>
  <c r="C207" i="25"/>
  <c r="F85" i="18"/>
  <c r="F86" i="18"/>
  <c r="F87" i="18"/>
  <c r="F89" i="18"/>
  <c r="F90" i="18"/>
  <c r="F94" i="18"/>
  <c r="F95" i="18"/>
  <c r="F96" i="18"/>
  <c r="F97" i="18"/>
  <c r="F98" i="18"/>
  <c r="F93" i="18"/>
  <c r="F108" i="18"/>
  <c r="H57" i="25"/>
  <c r="F81" i="2"/>
  <c r="E80" i="2"/>
  <c r="AF15" i="16"/>
  <c r="F99" i="18"/>
  <c r="D80" i="2"/>
  <c r="J16" i="25"/>
  <c r="J15" i="25"/>
  <c r="J14" i="25"/>
  <c r="J13" i="25"/>
  <c r="J12" i="25"/>
  <c r="J11" i="25"/>
  <c r="AU32" i="6"/>
  <c r="F65" i="6"/>
  <c r="D14" i="6"/>
  <c r="C72" i="18"/>
  <c r="C73" i="18"/>
  <c r="C75" i="18"/>
  <c r="C76" i="18"/>
  <c r="C78" i="18"/>
  <c r="C79" i="18"/>
  <c r="C71" i="18"/>
  <c r="C57" i="18"/>
  <c r="G24" i="25"/>
  <c r="B36" i="18"/>
  <c r="F29" i="18"/>
  <c r="G29" i="18"/>
  <c r="F30" i="18"/>
  <c r="G30" i="18"/>
  <c r="F31" i="18"/>
  <c r="G31" i="18"/>
  <c r="F32" i="18"/>
  <c r="G32" i="18"/>
  <c r="F33" i="18"/>
  <c r="G33" i="18"/>
  <c r="F34" i="18"/>
  <c r="G34" i="18"/>
  <c r="E30" i="18"/>
  <c r="E31" i="18"/>
  <c r="E32" i="18"/>
  <c r="E33" i="18"/>
  <c r="E34" i="18"/>
  <c r="G132" i="18"/>
  <c r="C42" i="18"/>
  <c r="C52" i="18"/>
  <c r="C47" i="18"/>
  <c r="H28" i="18"/>
  <c r="H34" i="18"/>
  <c r="H32" i="18"/>
  <c r="H30" i="18"/>
  <c r="H33" i="18"/>
  <c r="H31" i="18"/>
  <c r="I34" i="18"/>
  <c r="J34" i="18"/>
  <c r="I32" i="18"/>
  <c r="J32" i="18"/>
  <c r="D89" i="6"/>
  <c r="C80" i="20"/>
  <c r="C76" i="20"/>
  <c r="C75" i="20"/>
  <c r="C77" i="20"/>
  <c r="C78" i="20"/>
  <c r="C79" i="20"/>
  <c r="C81" i="20"/>
  <c r="D74" i="20"/>
  <c r="E74" i="20"/>
  <c r="C74" i="20"/>
  <c r="H119" i="6"/>
  <c r="G119" i="6"/>
  <c r="H115" i="6"/>
  <c r="H37" i="18"/>
  <c r="G115" i="6"/>
  <c r="H111" i="6"/>
  <c r="G111" i="6"/>
  <c r="O2" i="39"/>
  <c r="I6" i="39"/>
  <c r="K26" i="39"/>
  <c r="I20" i="39"/>
  <c r="N23" i="39"/>
  <c r="I5" i="39"/>
  <c r="M5" i="39"/>
  <c r="K5" i="39"/>
  <c r="N29" i="39"/>
  <c r="L29" i="39"/>
  <c r="J29" i="39"/>
  <c r="N28" i="39"/>
  <c r="L28" i="39"/>
  <c r="J28" i="39"/>
  <c r="N27" i="39"/>
  <c r="L27" i="39"/>
  <c r="J27" i="39"/>
  <c r="N26" i="39"/>
  <c r="L26" i="39"/>
  <c r="J26" i="39"/>
  <c r="N25" i="39"/>
  <c r="L25" i="39"/>
  <c r="J25" i="39"/>
  <c r="N24" i="39"/>
  <c r="L24" i="39"/>
  <c r="J24" i="39"/>
  <c r="L23" i="39"/>
  <c r="J23" i="39"/>
  <c r="N22" i="39"/>
  <c r="L22" i="39"/>
  <c r="J22" i="39"/>
  <c r="N21" i="39"/>
  <c r="L21" i="39"/>
  <c r="J21" i="39"/>
  <c r="N20" i="39"/>
  <c r="L20" i="39"/>
  <c r="J20" i="39"/>
  <c r="N19" i="39"/>
  <c r="L19" i="39"/>
  <c r="J19" i="39"/>
  <c r="N18" i="39"/>
  <c r="L18" i="39"/>
  <c r="J18" i="39"/>
  <c r="N17" i="39"/>
  <c r="L17" i="39"/>
  <c r="J17" i="39"/>
  <c r="N16" i="39"/>
  <c r="L16" i="39"/>
  <c r="J16" i="39"/>
  <c r="N15" i="39"/>
  <c r="L15" i="39"/>
  <c r="J15" i="39"/>
  <c r="N14" i="39"/>
  <c r="L14" i="39"/>
  <c r="J14" i="39"/>
  <c r="N13" i="39"/>
  <c r="L13" i="39"/>
  <c r="J13" i="39"/>
  <c r="N12" i="39"/>
  <c r="L12" i="39"/>
  <c r="J12" i="39"/>
  <c r="N11" i="39"/>
  <c r="L11" i="39"/>
  <c r="J11" i="39"/>
  <c r="N10" i="39"/>
  <c r="L10" i="39"/>
  <c r="J10" i="39"/>
  <c r="N9" i="39"/>
  <c r="L9" i="39"/>
  <c r="J9" i="39"/>
  <c r="N8" i="39"/>
  <c r="L8" i="39"/>
  <c r="J8" i="39"/>
  <c r="N7" i="39"/>
  <c r="L7" i="39"/>
  <c r="J7" i="39"/>
  <c r="N6" i="39"/>
  <c r="L6" i="39"/>
  <c r="J6" i="39"/>
  <c r="N5" i="39"/>
  <c r="L5" i="39"/>
  <c r="J5" i="39"/>
  <c r="M29" i="39"/>
  <c r="K29" i="39"/>
  <c r="I29" i="39"/>
  <c r="M28" i="39"/>
  <c r="K28" i="39"/>
  <c r="I28" i="39"/>
  <c r="M27" i="39"/>
  <c r="K27" i="39"/>
  <c r="I27" i="39"/>
  <c r="M26" i="39"/>
  <c r="I26" i="39"/>
  <c r="M25" i="39"/>
  <c r="K25" i="39"/>
  <c r="I25" i="39"/>
  <c r="M24" i="39"/>
  <c r="K24" i="39"/>
  <c r="I24" i="39"/>
  <c r="M23" i="39"/>
  <c r="K23" i="39"/>
  <c r="I23" i="39"/>
  <c r="M22" i="39"/>
  <c r="K22" i="39"/>
  <c r="I22" i="39"/>
  <c r="M21" i="39"/>
  <c r="K21" i="39"/>
  <c r="I21" i="39"/>
  <c r="M20" i="39"/>
  <c r="K20" i="39"/>
  <c r="M19" i="39"/>
  <c r="K19" i="39"/>
  <c r="I19" i="39"/>
  <c r="M18" i="39"/>
  <c r="K18" i="39"/>
  <c r="I18" i="39"/>
  <c r="M17" i="39"/>
  <c r="K17" i="39"/>
  <c r="I17" i="39"/>
  <c r="M16" i="39"/>
  <c r="K16" i="39"/>
  <c r="I16" i="39"/>
  <c r="M15" i="39"/>
  <c r="K15" i="39"/>
  <c r="I15" i="39"/>
  <c r="M14" i="39"/>
  <c r="K14" i="39"/>
  <c r="I14" i="39"/>
  <c r="M13" i="39"/>
  <c r="K13" i="39"/>
  <c r="I13" i="39"/>
  <c r="M12" i="39"/>
  <c r="K12" i="39"/>
  <c r="I12" i="39"/>
  <c r="M11" i="39"/>
  <c r="K11" i="39"/>
  <c r="I11" i="39"/>
  <c r="M10" i="39"/>
  <c r="K10" i="39"/>
  <c r="I10" i="39"/>
  <c r="M9" i="39"/>
  <c r="K9" i="39"/>
  <c r="E7" i="9"/>
  <c r="I9" i="39"/>
  <c r="M8" i="39"/>
  <c r="K8" i="39"/>
  <c r="I8" i="39"/>
  <c r="M7" i="39"/>
  <c r="K7" i="39"/>
  <c r="I7" i="39"/>
  <c r="M6" i="39"/>
  <c r="K6" i="39"/>
  <c r="E8" i="9"/>
  <c r="F6" i="9"/>
  <c r="F8" i="9"/>
  <c r="E6" i="9"/>
  <c r="F9" i="9"/>
  <c r="S2" i="1"/>
  <c r="L105" i="29"/>
  <c r="K105" i="29"/>
  <c r="J105" i="29"/>
  <c r="I105" i="29"/>
  <c r="H105" i="29"/>
  <c r="G105" i="29"/>
  <c r="F105" i="29"/>
  <c r="E105" i="29"/>
  <c r="D105" i="29"/>
  <c r="C105" i="29"/>
  <c r="J61" i="29"/>
  <c r="I61" i="29"/>
  <c r="G61" i="29"/>
  <c r="F61" i="29"/>
  <c r="E61" i="29"/>
  <c r="D61" i="29"/>
  <c r="D60" i="29"/>
  <c r="D75" i="30"/>
  <c r="K55" i="29"/>
  <c r="J55" i="29"/>
  <c r="I55" i="29"/>
  <c r="G55" i="29"/>
  <c r="E55" i="29"/>
  <c r="D55" i="29"/>
  <c r="H54" i="29"/>
  <c r="G54" i="29"/>
  <c r="E54" i="29"/>
  <c r="D54" i="29"/>
  <c r="D53" i="29"/>
  <c r="D52" i="29"/>
  <c r="D51" i="29"/>
  <c r="D17" i="29"/>
  <c r="D16" i="29"/>
  <c r="H15" i="29"/>
  <c r="H55" i="29"/>
  <c r="F15" i="29"/>
  <c r="F55" i="29"/>
  <c r="D15" i="29"/>
  <c r="K14" i="29"/>
  <c r="K54" i="29"/>
  <c r="J14" i="29"/>
  <c r="J54" i="29"/>
  <c r="I14" i="29"/>
  <c r="I54" i="29"/>
  <c r="F14" i="29"/>
  <c r="F54" i="29"/>
  <c r="D14" i="29"/>
  <c r="D13" i="29"/>
  <c r="D12" i="29"/>
  <c r="D11" i="29"/>
  <c r="D10" i="29"/>
  <c r="D9" i="29"/>
  <c r="D8" i="29"/>
  <c r="C65" i="30"/>
  <c r="D83" i="31"/>
  <c r="F71" i="30"/>
  <c r="H72" i="31"/>
  <c r="J65" i="30"/>
  <c r="D57" i="30"/>
  <c r="H28" i="30" s="1"/>
  <c r="H29" i="30" s="1"/>
  <c r="H65" i="30"/>
  <c r="J66" i="30"/>
  <c r="D67" i="30"/>
  <c r="J67" i="30"/>
  <c r="F69" i="30"/>
  <c r="H70" i="30"/>
  <c r="J71" i="30"/>
  <c r="D73" i="30"/>
  <c r="J74" i="30"/>
  <c r="H75" i="30"/>
  <c r="J80" i="30"/>
  <c r="J81" i="30"/>
  <c r="J82" i="30"/>
  <c r="L36" i="30" s="1"/>
  <c r="J84" i="30"/>
  <c r="J86" i="30"/>
  <c r="D65" i="30"/>
  <c r="F66" i="30"/>
  <c r="H67" i="30"/>
  <c r="J69" i="30"/>
  <c r="D70" i="30"/>
  <c r="J70" i="30"/>
  <c r="L25" i="30" s="1"/>
  <c r="H73" i="30"/>
  <c r="F74" i="30"/>
  <c r="F57" i="30"/>
  <c r="I28" i="30" s="1"/>
  <c r="I29" i="30" s="1"/>
  <c r="E58" i="30"/>
  <c r="F58" i="30"/>
  <c r="E59" i="31"/>
  <c r="D58" i="31"/>
  <c r="E58" i="31"/>
  <c r="G29" i="31" s="1"/>
  <c r="G30" i="31" s="1"/>
  <c r="D59" i="31"/>
  <c r="F58" i="31"/>
  <c r="I81" i="30"/>
  <c r="G81" i="30"/>
  <c r="E81" i="30"/>
  <c r="C81" i="30"/>
  <c r="I66" i="30"/>
  <c r="G66" i="30"/>
  <c r="E66" i="30"/>
  <c r="C66" i="30"/>
  <c r="H81" i="30"/>
  <c r="D81" i="30"/>
  <c r="H83" i="31"/>
  <c r="F83" i="31"/>
  <c r="F82" i="31"/>
  <c r="H81" i="31"/>
  <c r="F81" i="31"/>
  <c r="D81" i="31"/>
  <c r="H68" i="31"/>
  <c r="F68" i="31"/>
  <c r="D68" i="31"/>
  <c r="F67" i="31"/>
  <c r="G83" i="31"/>
  <c r="C83" i="31"/>
  <c r="G81" i="31"/>
  <c r="C81" i="31"/>
  <c r="I68" i="31"/>
  <c r="E68" i="31"/>
  <c r="I66" i="31"/>
  <c r="G66" i="31"/>
  <c r="E66" i="31"/>
  <c r="C66" i="31"/>
  <c r="E83" i="31"/>
  <c r="I81" i="31"/>
  <c r="G68" i="31"/>
  <c r="H66" i="31"/>
  <c r="D66" i="31"/>
  <c r="I82" i="30"/>
  <c r="G82" i="30"/>
  <c r="E82" i="30"/>
  <c r="C82" i="30"/>
  <c r="I80" i="30"/>
  <c r="G80" i="30"/>
  <c r="E80" i="30"/>
  <c r="C80" i="30"/>
  <c r="I67" i="30"/>
  <c r="G67" i="30"/>
  <c r="E67" i="30"/>
  <c r="C67" i="30"/>
  <c r="I65" i="30"/>
  <c r="G65" i="30"/>
  <c r="E65" i="30"/>
  <c r="I83" i="31"/>
  <c r="C82" i="31"/>
  <c r="E81" i="31"/>
  <c r="C68" i="31"/>
  <c r="E67" i="31"/>
  <c r="F66" i="31"/>
  <c r="H82" i="30"/>
  <c r="F82" i="30"/>
  <c r="D82" i="30"/>
  <c r="F81" i="30"/>
  <c r="H80" i="30"/>
  <c r="F80" i="30"/>
  <c r="H87" i="31"/>
  <c r="F87" i="31"/>
  <c r="D87" i="31"/>
  <c r="H86" i="31"/>
  <c r="F86" i="31"/>
  <c r="D86" i="31"/>
  <c r="H85" i="31"/>
  <c r="F85" i="31"/>
  <c r="D85" i="31"/>
  <c r="F72" i="31"/>
  <c r="D72" i="31"/>
  <c r="H71" i="31"/>
  <c r="F71" i="31"/>
  <c r="D71" i="31"/>
  <c r="H70" i="31"/>
  <c r="F70" i="31"/>
  <c r="D70" i="31"/>
  <c r="I87" i="31"/>
  <c r="E87" i="31"/>
  <c r="G86" i="31"/>
  <c r="C86" i="31"/>
  <c r="I85" i="31"/>
  <c r="E85" i="31"/>
  <c r="G72" i="31"/>
  <c r="C72" i="31"/>
  <c r="I71" i="31"/>
  <c r="E71" i="31"/>
  <c r="G70" i="31"/>
  <c r="C70" i="31"/>
  <c r="I86" i="30"/>
  <c r="G86" i="30"/>
  <c r="E86" i="30"/>
  <c r="C86" i="30"/>
  <c r="I85" i="30"/>
  <c r="G85" i="30"/>
  <c r="E85" i="30"/>
  <c r="C85" i="30"/>
  <c r="I84" i="30"/>
  <c r="G84" i="30"/>
  <c r="G87" i="31"/>
  <c r="I86" i="31"/>
  <c r="C85" i="31"/>
  <c r="I72" i="31"/>
  <c r="C71" i="31"/>
  <c r="E70" i="31"/>
  <c r="H86" i="30"/>
  <c r="D86" i="30"/>
  <c r="F85" i="30"/>
  <c r="H84" i="30"/>
  <c r="E84" i="30"/>
  <c r="C84" i="30"/>
  <c r="I71" i="30"/>
  <c r="G71" i="30"/>
  <c r="E71" i="30"/>
  <c r="C71" i="30"/>
  <c r="I70" i="30"/>
  <c r="G70" i="30"/>
  <c r="E70" i="30"/>
  <c r="C70" i="30"/>
  <c r="I69" i="30"/>
  <c r="G69" i="30"/>
  <c r="E69" i="30"/>
  <c r="C69" i="30"/>
  <c r="C87" i="31"/>
  <c r="E86" i="31"/>
  <c r="G85" i="31"/>
  <c r="E72" i="31"/>
  <c r="G71" i="31"/>
  <c r="I70" i="31"/>
  <c r="F86" i="30"/>
  <c r="H85" i="30"/>
  <c r="D85" i="30"/>
  <c r="F84" i="30"/>
  <c r="D84" i="30"/>
  <c r="H91" i="31"/>
  <c r="F91" i="31"/>
  <c r="D91" i="31"/>
  <c r="H90" i="31"/>
  <c r="F90" i="31"/>
  <c r="D90" i="31"/>
  <c r="H89" i="31"/>
  <c r="F89" i="31"/>
  <c r="D89" i="31"/>
  <c r="H76" i="31"/>
  <c r="F76" i="31"/>
  <c r="D76" i="31"/>
  <c r="H75" i="31"/>
  <c r="F75" i="31"/>
  <c r="D75" i="31"/>
  <c r="H74" i="31"/>
  <c r="F74" i="31"/>
  <c r="D74" i="31"/>
  <c r="G91" i="31"/>
  <c r="C91" i="31"/>
  <c r="I90" i="31"/>
  <c r="E90" i="31"/>
  <c r="G89" i="31"/>
  <c r="C89" i="31"/>
  <c r="I76" i="31"/>
  <c r="E76" i="31"/>
  <c r="G75" i="31"/>
  <c r="C75" i="31"/>
  <c r="I74" i="31"/>
  <c r="E74" i="31"/>
  <c r="I90" i="30"/>
  <c r="G90" i="30"/>
  <c r="E90" i="30"/>
  <c r="C90" i="30"/>
  <c r="I89" i="30"/>
  <c r="G89" i="30"/>
  <c r="E89" i="30"/>
  <c r="C89" i="30"/>
  <c r="I88" i="30"/>
  <c r="G88" i="30"/>
  <c r="E88" i="30"/>
  <c r="C88" i="30"/>
  <c r="I91" i="31"/>
  <c r="C90" i="31"/>
  <c r="E89" i="31"/>
  <c r="C76" i="31"/>
  <c r="E75" i="31"/>
  <c r="G74" i="31"/>
  <c r="F90" i="30"/>
  <c r="H89" i="30"/>
  <c r="D89" i="30"/>
  <c r="F88" i="30"/>
  <c r="I75" i="30"/>
  <c r="G75" i="30"/>
  <c r="E75" i="30"/>
  <c r="C75" i="30"/>
  <c r="I74" i="30"/>
  <c r="G74" i="30"/>
  <c r="E74" i="30"/>
  <c r="C74" i="30"/>
  <c r="I73" i="30"/>
  <c r="G73" i="30"/>
  <c r="E73" i="30"/>
  <c r="C73" i="30"/>
  <c r="E91" i="31"/>
  <c r="G90" i="31"/>
  <c r="I89" i="31"/>
  <c r="G76" i="31"/>
  <c r="I75" i="31"/>
  <c r="C74" i="31"/>
  <c r="H90" i="30"/>
  <c r="D90" i="30"/>
  <c r="F89" i="30"/>
  <c r="H88" i="30"/>
  <c r="D88" i="30"/>
  <c r="J90" i="30"/>
  <c r="J88" i="30"/>
  <c r="J89" i="30"/>
  <c r="F65" i="30"/>
  <c r="D66" i="30"/>
  <c r="H66" i="30"/>
  <c r="F67" i="30"/>
  <c r="D69" i="30"/>
  <c r="H69" i="30"/>
  <c r="F70" i="30"/>
  <c r="D71" i="30"/>
  <c r="H71" i="30"/>
  <c r="F73" i="30"/>
  <c r="J73" i="30"/>
  <c r="D74" i="30"/>
  <c r="H74" i="30"/>
  <c r="F75" i="30"/>
  <c r="J75" i="30"/>
  <c r="D80" i="30"/>
  <c r="E57" i="30"/>
  <c r="D58" i="30"/>
  <c r="J85" i="30"/>
  <c r="H82" i="31"/>
  <c r="D82" i="31"/>
  <c r="H67" i="31"/>
  <c r="D67" i="31"/>
  <c r="I82" i="31"/>
  <c r="E82" i="31"/>
  <c r="G67" i="31"/>
  <c r="C67" i="31"/>
  <c r="I67" i="31"/>
  <c r="G82" i="31"/>
  <c r="F59" i="31"/>
  <c r="N10" i="1"/>
  <c r="G58" i="31"/>
  <c r="G60" i="31"/>
  <c r="D24" i="30"/>
  <c r="Q49" i="31"/>
  <c r="Q50" i="31" s="1"/>
  <c r="R49" i="31"/>
  <c r="R50" i="31" s="1"/>
  <c r="F25" i="30"/>
  <c r="L24" i="30"/>
  <c r="L44" i="30" s="1"/>
  <c r="L34" i="30"/>
  <c r="G26" i="31"/>
  <c r="H26" i="31"/>
  <c r="D34" i="30"/>
  <c r="I36" i="31"/>
  <c r="H36" i="31"/>
  <c r="H26" i="30"/>
  <c r="F24" i="30"/>
  <c r="F25" i="31"/>
  <c r="C27" i="31"/>
  <c r="C36" i="31"/>
  <c r="H25" i="31"/>
  <c r="I35" i="31"/>
  <c r="C25" i="31"/>
  <c r="G25" i="31"/>
  <c r="E27" i="31"/>
  <c r="C35" i="31"/>
  <c r="C37" i="31"/>
  <c r="F26" i="31"/>
  <c r="F27" i="31"/>
  <c r="D35" i="31"/>
  <c r="H35" i="31"/>
  <c r="D37" i="31"/>
  <c r="H37" i="31"/>
  <c r="G36" i="31"/>
  <c r="I26" i="31"/>
  <c r="C26" i="31"/>
  <c r="E36" i="31"/>
  <c r="D26" i="31"/>
  <c r="D36" i="31"/>
  <c r="L26" i="30"/>
  <c r="D26" i="30"/>
  <c r="H24" i="30"/>
  <c r="E26" i="31"/>
  <c r="E35" i="31"/>
  <c r="I37" i="31"/>
  <c r="D25" i="31"/>
  <c r="G27" i="31"/>
  <c r="E37" i="31"/>
  <c r="E25" i="31"/>
  <c r="I25" i="31"/>
  <c r="I27" i="31"/>
  <c r="G35" i="31"/>
  <c r="G37" i="31"/>
  <c r="D27" i="31"/>
  <c r="H27" i="31"/>
  <c r="F35" i="31"/>
  <c r="F36" i="31"/>
  <c r="F37" i="31"/>
  <c r="H25" i="30"/>
  <c r="F35" i="30"/>
  <c r="D35" i="30"/>
  <c r="C25" i="30"/>
  <c r="G25" i="30"/>
  <c r="C35" i="30"/>
  <c r="G35" i="30"/>
  <c r="D25" i="30"/>
  <c r="C24" i="30"/>
  <c r="H35" i="30"/>
  <c r="E25" i="30"/>
  <c r="I25" i="30"/>
  <c r="E35" i="30"/>
  <c r="I35" i="30"/>
  <c r="F26" i="30"/>
  <c r="H34" i="30"/>
  <c r="D36" i="30"/>
  <c r="H36" i="30"/>
  <c r="G24" i="30"/>
  <c r="C26" i="30"/>
  <c r="G26" i="30"/>
  <c r="C34" i="30"/>
  <c r="G34" i="30"/>
  <c r="C36" i="30"/>
  <c r="G36" i="30"/>
  <c r="F34" i="30"/>
  <c r="F36" i="30"/>
  <c r="E24" i="30"/>
  <c r="I24" i="30"/>
  <c r="E26" i="30"/>
  <c r="I26" i="30"/>
  <c r="E34" i="30"/>
  <c r="I34" i="30"/>
  <c r="E36" i="30"/>
  <c r="I36" i="30"/>
  <c r="D44" i="30"/>
  <c r="M38" i="31"/>
  <c r="M39" i="31" s="1"/>
  <c r="M40" i="31" s="1"/>
  <c r="C45" i="30"/>
  <c r="N37" i="30"/>
  <c r="N38" i="30"/>
  <c r="N39" i="30" s="1"/>
  <c r="D45" i="31"/>
  <c r="H46" i="30"/>
  <c r="Q46" i="30"/>
  <c r="D27" i="30"/>
  <c r="D47" i="31"/>
  <c r="I46" i="31"/>
  <c r="R46" i="31"/>
  <c r="E45" i="30"/>
  <c r="G44" i="30"/>
  <c r="L46" i="30"/>
  <c r="E45" i="31"/>
  <c r="D46" i="31"/>
  <c r="H44" i="30"/>
  <c r="Q44" i="30"/>
  <c r="F45" i="30"/>
  <c r="G28" i="31"/>
  <c r="H45" i="30"/>
  <c r="Q45" i="30"/>
  <c r="F46" i="31"/>
  <c r="E46" i="31"/>
  <c r="D46" i="30"/>
  <c r="F37" i="30"/>
  <c r="F38" i="30"/>
  <c r="F39" i="30" s="1"/>
  <c r="I44" i="30"/>
  <c r="R44" i="30"/>
  <c r="F46" i="30"/>
  <c r="G37" i="30"/>
  <c r="G38" i="30"/>
  <c r="G39" i="30" s="1"/>
  <c r="D45" i="30"/>
  <c r="I45" i="30"/>
  <c r="R45" i="30"/>
  <c r="H37" i="30"/>
  <c r="H38" i="30"/>
  <c r="H39" i="30"/>
  <c r="C44" i="30"/>
  <c r="C37" i="30"/>
  <c r="C38" i="30"/>
  <c r="C39" i="30"/>
  <c r="E44" i="30"/>
  <c r="E37" i="30"/>
  <c r="E38" i="30"/>
  <c r="E39" i="30"/>
  <c r="C27" i="30"/>
  <c r="F27" i="30"/>
  <c r="F28" i="30"/>
  <c r="F29" i="30" s="1"/>
  <c r="M27" i="30"/>
  <c r="M28" i="30" s="1"/>
  <c r="M29" i="30" s="1"/>
  <c r="I37" i="30"/>
  <c r="I38" i="30"/>
  <c r="I39" i="30" s="1"/>
  <c r="H27" i="30"/>
  <c r="D37" i="30"/>
  <c r="D38" i="30"/>
  <c r="D39" i="30"/>
  <c r="G45" i="30"/>
  <c r="H38" i="31"/>
  <c r="H39" i="31"/>
  <c r="H40" i="31" s="1"/>
  <c r="I38" i="31"/>
  <c r="I39" i="31"/>
  <c r="I40" i="31"/>
  <c r="H28" i="31"/>
  <c r="C46" i="31"/>
  <c r="H47" i="31"/>
  <c r="Q47" i="31"/>
  <c r="I47" i="31"/>
  <c r="R47" i="31"/>
  <c r="G46" i="31"/>
  <c r="C45" i="31"/>
  <c r="F45" i="31"/>
  <c r="G38" i="31"/>
  <c r="G39" i="31"/>
  <c r="G40" i="31"/>
  <c r="E38" i="31"/>
  <c r="E39" i="31"/>
  <c r="E40" i="31"/>
  <c r="H45" i="31"/>
  <c r="Q45" i="31"/>
  <c r="F47" i="31"/>
  <c r="C38" i="31"/>
  <c r="C39" i="31"/>
  <c r="C40" i="31" s="1"/>
  <c r="G45" i="31"/>
  <c r="I45" i="31"/>
  <c r="R45" i="31"/>
  <c r="H46" i="31"/>
  <c r="Q46" i="31"/>
  <c r="F28" i="31"/>
  <c r="D38" i="31"/>
  <c r="C47" i="31"/>
  <c r="C28" i="31"/>
  <c r="G46" i="30"/>
  <c r="E47" i="31"/>
  <c r="E46" i="30"/>
  <c r="E28" i="31"/>
  <c r="E29" i="31"/>
  <c r="E30" i="31" s="1"/>
  <c r="I28" i="31"/>
  <c r="G27" i="30"/>
  <c r="F44" i="30"/>
  <c r="G47" i="31"/>
  <c r="C46" i="30"/>
  <c r="I46" i="30"/>
  <c r="R46" i="30"/>
  <c r="E27" i="30"/>
  <c r="I27" i="30"/>
  <c r="F38" i="31"/>
  <c r="F39" i="31"/>
  <c r="F40" i="31"/>
  <c r="D28" i="31"/>
  <c r="D47" i="30"/>
  <c r="D48" i="30"/>
  <c r="D49" i="30" s="1"/>
  <c r="D39" i="31"/>
  <c r="D40" i="31"/>
  <c r="D48" i="31"/>
  <c r="E48" i="31"/>
  <c r="E49" i="31"/>
  <c r="E50" i="31"/>
  <c r="H47" i="30"/>
  <c r="H48" i="30"/>
  <c r="H49" i="30" s="1"/>
  <c r="F47" i="30"/>
  <c r="F48" i="30"/>
  <c r="F49" i="30"/>
  <c r="R48" i="30"/>
  <c r="R49" i="30"/>
  <c r="Q48" i="30"/>
  <c r="Q49" i="30" s="1"/>
  <c r="I47" i="30"/>
  <c r="I48" i="30"/>
  <c r="I49" i="30" s="1"/>
  <c r="C47" i="30"/>
  <c r="C48" i="30"/>
  <c r="C49" i="30"/>
  <c r="E47" i="30"/>
  <c r="E48" i="30"/>
  <c r="E49" i="30" s="1"/>
  <c r="G47" i="30"/>
  <c r="G48" i="30"/>
  <c r="G49" i="30"/>
  <c r="I48" i="31"/>
  <c r="I49" i="31"/>
  <c r="I50" i="31"/>
  <c r="C48" i="31"/>
  <c r="C49" i="31"/>
  <c r="C50" i="31"/>
  <c r="F48" i="31"/>
  <c r="F49" i="31"/>
  <c r="F50" i="31" s="1"/>
  <c r="G48" i="31"/>
  <c r="G49" i="31"/>
  <c r="G50" i="31" s="1"/>
  <c r="AK8" i="16" s="1"/>
  <c r="H48" i="31"/>
  <c r="D49" i="31"/>
  <c r="D50" i="31"/>
  <c r="H49" i="31"/>
  <c r="H50" i="31" s="1"/>
  <c r="I320" i="28"/>
  <c r="G320" i="28"/>
  <c r="F21" i="28"/>
  <c r="F16" i="28"/>
  <c r="F11" i="28"/>
  <c r="F6" i="28"/>
  <c r="P162" i="28"/>
  <c r="P163" i="28"/>
  <c r="P164" i="28"/>
  <c r="P165" i="28"/>
  <c r="P166" i="28"/>
  <c r="P167" i="28"/>
  <c r="P168" i="28"/>
  <c r="P169" i="28"/>
  <c r="P170" i="28"/>
  <c r="P171" i="28"/>
  <c r="P172" i="28"/>
  <c r="P173" i="28"/>
  <c r="P174" i="28"/>
  <c r="P161" i="28"/>
  <c r="Q162" i="28"/>
  <c r="Q163" i="28"/>
  <c r="Q164" i="28"/>
  <c r="Q165" i="28"/>
  <c r="Q166" i="28"/>
  <c r="Q167" i="28"/>
  <c r="Q168" i="28"/>
  <c r="Q169" i="28"/>
  <c r="Q170" i="28"/>
  <c r="Q171" i="28"/>
  <c r="Q172" i="28"/>
  <c r="Q173" i="28"/>
  <c r="Q174" i="28"/>
  <c r="Q161" i="28"/>
  <c r="I331" i="28"/>
  <c r="H331" i="28"/>
  <c r="D78" i="27"/>
  <c r="V17" i="27"/>
  <c r="V16" i="27"/>
  <c r="V15" i="27"/>
  <c r="V14" i="27"/>
  <c r="V13" i="27"/>
  <c r="V12" i="27"/>
  <c r="V11" i="27"/>
  <c r="V10" i="27"/>
  <c r="V9" i="27"/>
  <c r="V8" i="27"/>
  <c r="V7" i="27"/>
  <c r="K15" i="26"/>
  <c r="J15" i="26"/>
  <c r="I15" i="26"/>
  <c r="H15" i="26"/>
  <c r="G15" i="26"/>
  <c r="F15" i="26"/>
  <c r="D77" i="27"/>
  <c r="E15" i="26"/>
  <c r="D15" i="26"/>
  <c r="C15" i="26"/>
  <c r="K14" i="26"/>
  <c r="J14" i="26"/>
  <c r="I14" i="26"/>
  <c r="H14" i="26"/>
  <c r="G14" i="26"/>
  <c r="F14" i="26"/>
  <c r="D76" i="27"/>
  <c r="E14" i="26"/>
  <c r="D14" i="26"/>
  <c r="C14" i="26"/>
  <c r="K13" i="26"/>
  <c r="J13" i="26"/>
  <c r="I13" i="26"/>
  <c r="H13" i="26"/>
  <c r="G13" i="26"/>
  <c r="F13" i="26"/>
  <c r="D75" i="27"/>
  <c r="E13" i="26"/>
  <c r="D13" i="26"/>
  <c r="C13" i="26"/>
  <c r="K12" i="26"/>
  <c r="J12" i="26"/>
  <c r="I12" i="26"/>
  <c r="H12" i="26"/>
  <c r="G12" i="26"/>
  <c r="F12" i="26"/>
  <c r="D74" i="27"/>
  <c r="E12" i="26"/>
  <c r="D12" i="26"/>
  <c r="C12" i="26"/>
  <c r="K11" i="26"/>
  <c r="J11" i="26"/>
  <c r="I11" i="26"/>
  <c r="H11" i="26"/>
  <c r="G11" i="26"/>
  <c r="F11" i="26"/>
  <c r="D73" i="27"/>
  <c r="E11" i="26"/>
  <c r="D11" i="26"/>
  <c r="C11" i="26"/>
  <c r="S105" i="28"/>
  <c r="S197" i="28"/>
  <c r="S176" i="28"/>
  <c r="S155" i="28"/>
  <c r="E45" i="28"/>
  <c r="E40" i="28"/>
  <c r="Q176" i="28"/>
  <c r="P176" i="28"/>
  <c r="L42" i="27"/>
  <c r="J42" i="27"/>
  <c r="H42" i="27"/>
  <c r="F42" i="27"/>
  <c r="D42" i="27"/>
  <c r="L41" i="27"/>
  <c r="J41" i="27"/>
  <c r="H41" i="27"/>
  <c r="F41" i="27"/>
  <c r="D41" i="27"/>
  <c r="L40" i="27"/>
  <c r="J40" i="27"/>
  <c r="H40" i="27"/>
  <c r="F40" i="27"/>
  <c r="D40" i="27"/>
  <c r="L39" i="27"/>
  <c r="J39" i="27"/>
  <c r="H39" i="27"/>
  <c r="F39" i="27"/>
  <c r="D39" i="27"/>
  <c r="L38" i="27"/>
  <c r="J38" i="27"/>
  <c r="H38" i="27"/>
  <c r="F38" i="27"/>
  <c r="D38" i="27"/>
  <c r="L37" i="27"/>
  <c r="J37" i="27"/>
  <c r="H37" i="27"/>
  <c r="F37" i="27"/>
  <c r="D37" i="27"/>
  <c r="L36" i="27"/>
  <c r="J36" i="27"/>
  <c r="H36" i="27"/>
  <c r="F36" i="27"/>
  <c r="D36" i="27"/>
  <c r="L35" i="27"/>
  <c r="J35" i="27"/>
  <c r="H35" i="27"/>
  <c r="F35" i="27"/>
  <c r="K42" i="27"/>
  <c r="I42" i="27"/>
  <c r="G42" i="27"/>
  <c r="E42" i="27"/>
  <c r="K41" i="27"/>
  <c r="I41" i="27"/>
  <c r="G41" i="27"/>
  <c r="E41" i="27"/>
  <c r="K40" i="27"/>
  <c r="I40" i="27"/>
  <c r="G40" i="27"/>
  <c r="E40" i="27"/>
  <c r="K39" i="27"/>
  <c r="I39" i="27"/>
  <c r="G39" i="27"/>
  <c r="E39" i="27"/>
  <c r="G35" i="27"/>
  <c r="K35" i="27"/>
  <c r="E36" i="27"/>
  <c r="I36" i="27"/>
  <c r="G37" i="27"/>
  <c r="K37" i="27"/>
  <c r="E38" i="27"/>
  <c r="I38" i="27"/>
  <c r="E35" i="27"/>
  <c r="I35" i="27"/>
  <c r="G36" i="27"/>
  <c r="K36" i="27"/>
  <c r="E37" i="27"/>
  <c r="I37" i="27"/>
  <c r="G38" i="27"/>
  <c r="K38" i="27"/>
  <c r="O41" i="18"/>
  <c r="Q41" i="18"/>
  <c r="R41" i="18"/>
  <c r="O67" i="1"/>
  <c r="O66" i="1"/>
  <c r="O64" i="1"/>
  <c r="O63" i="1"/>
  <c r="O62" i="1"/>
  <c r="O61" i="1"/>
  <c r="O59" i="1"/>
  <c r="O58" i="1"/>
  <c r="O57" i="1"/>
  <c r="O54" i="1"/>
  <c r="N54" i="1"/>
  <c r="O53" i="1"/>
  <c r="N53" i="1"/>
  <c r="O51" i="1"/>
  <c r="N51" i="1"/>
  <c r="O50" i="1"/>
  <c r="N50" i="1"/>
  <c r="O48" i="1"/>
  <c r="N48" i="1"/>
  <c r="M45" i="1"/>
  <c r="M44" i="1"/>
  <c r="O43" i="1"/>
  <c r="N43" i="1"/>
  <c r="O42" i="1"/>
  <c r="N42" i="1"/>
  <c r="O41" i="1"/>
  <c r="N41" i="1"/>
  <c r="O40" i="1"/>
  <c r="N40" i="1"/>
  <c r="O39" i="1"/>
  <c r="N39" i="1"/>
  <c r="O38" i="1"/>
  <c r="N38" i="1"/>
  <c r="O37" i="1"/>
  <c r="N37" i="1"/>
  <c r="O36" i="1"/>
  <c r="N36" i="1"/>
  <c r="M36" i="1"/>
  <c r="O35" i="1"/>
  <c r="N35" i="1"/>
  <c r="O34" i="1"/>
  <c r="N34" i="1"/>
  <c r="O33" i="1"/>
  <c r="N33" i="1"/>
  <c r="O32" i="1"/>
  <c r="N32" i="1"/>
  <c r="O31" i="1"/>
  <c r="N31" i="1"/>
  <c r="O30" i="1"/>
  <c r="N30" i="1"/>
  <c r="O29" i="1"/>
  <c r="M29" i="1"/>
  <c r="M28" i="1"/>
  <c r="O27" i="1"/>
  <c r="N27" i="1"/>
  <c r="O26" i="1"/>
  <c r="N26" i="1"/>
  <c r="O23" i="1"/>
  <c r="N23" i="1"/>
  <c r="O22" i="1"/>
  <c r="N22" i="1"/>
  <c r="O21" i="1"/>
  <c r="N21" i="1"/>
  <c r="O20" i="1"/>
  <c r="N20" i="1"/>
  <c r="O19" i="1"/>
  <c r="N19" i="1"/>
  <c r="O18" i="1"/>
  <c r="N18" i="1"/>
  <c r="O17" i="1"/>
  <c r="N17" i="1"/>
  <c r="O16" i="1"/>
  <c r="N16" i="1"/>
  <c r="O15" i="1"/>
  <c r="N15" i="1"/>
  <c r="O14" i="1"/>
  <c r="N14" i="1"/>
  <c r="D25" i="6" s="1"/>
  <c r="AG28" i="6" s="1"/>
  <c r="AG29" i="6" s="1"/>
  <c r="O13" i="1"/>
  <c r="O12" i="1"/>
  <c r="N12" i="1"/>
  <c r="O10" i="1"/>
  <c r="O9" i="1"/>
  <c r="N9" i="1"/>
  <c r="O8" i="1"/>
  <c r="N8" i="1"/>
  <c r="O7" i="1"/>
  <c r="N7" i="1"/>
  <c r="C37" i="2"/>
  <c r="D137" i="6"/>
  <c r="F137" i="6"/>
  <c r="N39" i="18"/>
  <c r="D40" i="28"/>
  <c r="D30" i="28"/>
  <c r="D45" i="28"/>
  <c r="E35" i="28"/>
  <c r="M39" i="18"/>
  <c r="S39" i="18"/>
  <c r="Q39" i="18"/>
  <c r="O39" i="18"/>
  <c r="K61" i="27"/>
  <c r="K49" i="27"/>
  <c r="K43" i="27"/>
  <c r="K54" i="27"/>
  <c r="I60" i="27"/>
  <c r="I48" i="27"/>
  <c r="K59" i="27"/>
  <c r="K47" i="27"/>
  <c r="I58" i="27"/>
  <c r="I46" i="27"/>
  <c r="I61" i="27"/>
  <c r="I49" i="27"/>
  <c r="I43" i="27"/>
  <c r="I54" i="27"/>
  <c r="K60" i="27"/>
  <c r="K48" i="27"/>
  <c r="I59" i="27"/>
  <c r="I47" i="27"/>
  <c r="K58" i="27"/>
  <c r="K46" i="27"/>
  <c r="E62" i="27"/>
  <c r="E50" i="27"/>
  <c r="I62" i="27"/>
  <c r="I50" i="27"/>
  <c r="E63" i="27"/>
  <c r="E51" i="27"/>
  <c r="I63" i="27"/>
  <c r="I51" i="27"/>
  <c r="E64" i="27"/>
  <c r="E52" i="27"/>
  <c r="I64" i="27"/>
  <c r="I52" i="27"/>
  <c r="E65" i="27"/>
  <c r="E53" i="27"/>
  <c r="I65" i="27"/>
  <c r="I53" i="27"/>
  <c r="H58" i="27"/>
  <c r="H46" i="27"/>
  <c r="L58" i="27"/>
  <c r="L46" i="27"/>
  <c r="F59" i="27"/>
  <c r="F47" i="27"/>
  <c r="J59" i="27"/>
  <c r="J47" i="27"/>
  <c r="D60" i="27"/>
  <c r="D48" i="27"/>
  <c r="M37" i="27"/>
  <c r="M48" i="27"/>
  <c r="H60" i="27"/>
  <c r="H48" i="27"/>
  <c r="L60" i="27"/>
  <c r="L48" i="27"/>
  <c r="F61" i="27"/>
  <c r="F43" i="27"/>
  <c r="F54" i="27"/>
  <c r="F49" i="27"/>
  <c r="J61" i="27"/>
  <c r="J43" i="27"/>
  <c r="J54" i="27"/>
  <c r="J49" i="27"/>
  <c r="D62" i="27"/>
  <c r="D50" i="27"/>
  <c r="M39" i="27"/>
  <c r="M50" i="27"/>
  <c r="H62" i="27"/>
  <c r="H50" i="27"/>
  <c r="L62" i="27"/>
  <c r="L50" i="27"/>
  <c r="F63" i="27"/>
  <c r="F51" i="27"/>
  <c r="J63" i="27"/>
  <c r="J51" i="27"/>
  <c r="D64" i="27"/>
  <c r="D52" i="27"/>
  <c r="M41" i="27"/>
  <c r="M52" i="27"/>
  <c r="H64" i="27"/>
  <c r="H52" i="27"/>
  <c r="L64" i="27"/>
  <c r="L52" i="27"/>
  <c r="F65" i="27"/>
  <c r="F53" i="27"/>
  <c r="J65" i="27"/>
  <c r="J53" i="27"/>
  <c r="T39" i="18"/>
  <c r="R39" i="18"/>
  <c r="P39" i="18"/>
  <c r="G61" i="27"/>
  <c r="G49" i="27"/>
  <c r="G43" i="27"/>
  <c r="G54" i="27"/>
  <c r="E60" i="27"/>
  <c r="E48" i="27"/>
  <c r="G59" i="27"/>
  <c r="G47" i="27"/>
  <c r="E58" i="27"/>
  <c r="E46" i="27"/>
  <c r="E61" i="27"/>
  <c r="E66" i="27"/>
  <c r="E49" i="27"/>
  <c r="E43" i="27"/>
  <c r="E54" i="27"/>
  <c r="G60" i="27"/>
  <c r="G48" i="27"/>
  <c r="E59" i="27"/>
  <c r="E47" i="27"/>
  <c r="G58" i="27"/>
  <c r="G46" i="27"/>
  <c r="G62" i="27"/>
  <c r="G50" i="27"/>
  <c r="K62" i="27"/>
  <c r="K50" i="27"/>
  <c r="G63" i="27"/>
  <c r="G51" i="27"/>
  <c r="K63" i="27"/>
  <c r="K51" i="27"/>
  <c r="G64" i="27"/>
  <c r="G52" i="27"/>
  <c r="K64" i="27"/>
  <c r="K52" i="27"/>
  <c r="G65" i="27"/>
  <c r="G53" i="27"/>
  <c r="K65" i="27"/>
  <c r="K53" i="27"/>
  <c r="F46" i="27"/>
  <c r="F58" i="27"/>
  <c r="J46" i="27"/>
  <c r="J58" i="27"/>
  <c r="D47" i="27"/>
  <c r="D59" i="27"/>
  <c r="M36" i="27"/>
  <c r="M47" i="27"/>
  <c r="H47" i="27"/>
  <c r="H59" i="27"/>
  <c r="L47" i="27"/>
  <c r="L59" i="27"/>
  <c r="F48" i="27"/>
  <c r="F60" i="27"/>
  <c r="J48" i="27"/>
  <c r="J60" i="27"/>
  <c r="D49" i="27"/>
  <c r="D43" i="27"/>
  <c r="D61" i="27"/>
  <c r="M38" i="27"/>
  <c r="M49" i="27"/>
  <c r="H49" i="27"/>
  <c r="H43" i="27"/>
  <c r="H54" i="27"/>
  <c r="H61" i="27"/>
  <c r="L49" i="27"/>
  <c r="L43" i="27"/>
  <c r="L54" i="27"/>
  <c r="L61" i="27"/>
  <c r="F50" i="27"/>
  <c r="F62" i="27"/>
  <c r="J50" i="27"/>
  <c r="J62" i="27"/>
  <c r="D51" i="27"/>
  <c r="D63" i="27"/>
  <c r="M40" i="27"/>
  <c r="M51" i="27"/>
  <c r="H51" i="27"/>
  <c r="H63" i="27"/>
  <c r="L51" i="27"/>
  <c r="L63" i="27"/>
  <c r="F52" i="27"/>
  <c r="F64" i="27"/>
  <c r="J52" i="27"/>
  <c r="J64" i="27"/>
  <c r="D53" i="27"/>
  <c r="D65" i="27"/>
  <c r="M42" i="27"/>
  <c r="M53" i="27"/>
  <c r="H53" i="27"/>
  <c r="H65" i="27"/>
  <c r="L53" i="27"/>
  <c r="L65" i="27"/>
  <c r="M11" i="18"/>
  <c r="N11" i="18"/>
  <c r="O11" i="18"/>
  <c r="P9" i="18"/>
  <c r="N10" i="18"/>
  <c r="O10" i="18"/>
  <c r="M10" i="18"/>
  <c r="P8" i="18"/>
  <c r="P7" i="18"/>
  <c r="F57" i="18"/>
  <c r="E57" i="18"/>
  <c r="E30" i="28"/>
  <c r="D35" i="28"/>
  <c r="D46" i="28"/>
  <c r="M65" i="27"/>
  <c r="M59" i="27"/>
  <c r="E46" i="28"/>
  <c r="M62" i="27"/>
  <c r="K66" i="27"/>
  <c r="H66" i="27"/>
  <c r="M61" i="27"/>
  <c r="D66" i="27"/>
  <c r="F66" i="27"/>
  <c r="M63" i="27"/>
  <c r="L66" i="27"/>
  <c r="D54" i="27"/>
  <c r="M43" i="27"/>
  <c r="M54" i="27"/>
  <c r="G66" i="27"/>
  <c r="M64" i="27"/>
  <c r="J66" i="27"/>
  <c r="M60" i="27"/>
  <c r="I66" i="27"/>
  <c r="P11" i="18"/>
  <c r="P10" i="18"/>
  <c r="J8" i="6"/>
  <c r="D8" i="6"/>
  <c r="D32" i="25"/>
  <c r="D29" i="25"/>
  <c r="D30" i="25"/>
  <c r="I46" i="18"/>
  <c r="E65" i="2"/>
  <c r="F65" i="2"/>
  <c r="E66" i="2"/>
  <c r="F66" i="2"/>
  <c r="E68" i="2"/>
  <c r="F68" i="2"/>
  <c r="E69" i="2"/>
  <c r="F69" i="2"/>
  <c r="E76" i="2"/>
  <c r="F76" i="2"/>
  <c r="E77" i="2"/>
  <c r="F77" i="2"/>
  <c r="E78" i="2"/>
  <c r="F78" i="2"/>
  <c r="E81" i="2"/>
  <c r="E82" i="2"/>
  <c r="F82" i="2"/>
  <c r="D21" i="6"/>
  <c r="F12" i="25"/>
  <c r="F15" i="25"/>
  <c r="M66" i="27"/>
  <c r="E12" i="25"/>
  <c r="E15" i="25"/>
  <c r="G15" i="25" s="1"/>
  <c r="E11" i="25"/>
  <c r="E58" i="18"/>
  <c r="F58" i="18"/>
  <c r="E64" i="18"/>
  <c r="E65" i="18"/>
  <c r="F64" i="18"/>
  <c r="F65" i="18"/>
  <c r="E135" i="18"/>
  <c r="D135" i="18"/>
  <c r="C138" i="6"/>
  <c r="C137" i="6"/>
  <c r="D75" i="20"/>
  <c r="G65" i="6"/>
  <c r="H65" i="6"/>
  <c r="I65" i="6"/>
  <c r="P41" i="18"/>
  <c r="T21" i="1"/>
  <c r="T25" i="1"/>
  <c r="U25" i="1"/>
  <c r="O47" i="1"/>
  <c r="N47" i="1"/>
  <c r="I119" i="6"/>
  <c r="J119" i="6"/>
  <c r="I115" i="6"/>
  <c r="J115" i="6" s="1"/>
  <c r="I111" i="6"/>
  <c r="J111" i="6" s="1"/>
  <c r="B4" i="6"/>
  <c r="D79" i="20"/>
  <c r="J124" i="6"/>
  <c r="J2" i="1"/>
  <c r="K2" i="1"/>
  <c r="L2" i="1"/>
  <c r="M2" i="1"/>
  <c r="N2" i="1"/>
  <c r="O2" i="1"/>
  <c r="P2" i="1"/>
  <c r="R2" i="1"/>
  <c r="T2" i="1"/>
  <c r="U2" i="1"/>
  <c r="J5" i="1"/>
  <c r="K5" i="1"/>
  <c r="L5" i="1"/>
  <c r="N5" i="1"/>
  <c r="P5" i="1"/>
  <c r="B7" i="1"/>
  <c r="I7" i="1"/>
  <c r="R7" i="1"/>
  <c r="Q7" i="1"/>
  <c r="T7" i="1"/>
  <c r="U7" i="1"/>
  <c r="I8" i="1"/>
  <c r="R8" i="1"/>
  <c r="P8" i="1"/>
  <c r="Q8" i="1"/>
  <c r="T8" i="1"/>
  <c r="U8" i="1"/>
  <c r="B9" i="1"/>
  <c r="I9" i="1"/>
  <c r="F9" i="1"/>
  <c r="P9" i="1"/>
  <c r="Q9" i="1"/>
  <c r="R9" i="1"/>
  <c r="T9" i="1"/>
  <c r="U9" i="1"/>
  <c r="B10" i="1"/>
  <c r="I10" i="1"/>
  <c r="R10" i="1"/>
  <c r="Q10" i="1"/>
  <c r="T10" i="1"/>
  <c r="U10" i="1"/>
  <c r="C11" i="1"/>
  <c r="N11" i="1" s="1"/>
  <c r="R11" i="1" s="1"/>
  <c r="D11" i="1"/>
  <c r="Q11" i="1" s="1"/>
  <c r="E11" i="1"/>
  <c r="T11" i="1"/>
  <c r="U11" i="1" s="1"/>
  <c r="F11" i="1"/>
  <c r="J11" i="1" s="1"/>
  <c r="B12" i="1"/>
  <c r="I12" i="1"/>
  <c r="R12" i="1"/>
  <c r="Q12" i="1"/>
  <c r="T12" i="1"/>
  <c r="U12" i="1"/>
  <c r="R13" i="1"/>
  <c r="Q13" i="1"/>
  <c r="S13" i="1" s="1"/>
  <c r="T13" i="1"/>
  <c r="U13" i="1"/>
  <c r="P14" i="1"/>
  <c r="S14" i="1" s="1"/>
  <c r="R14" i="1"/>
  <c r="Q14" i="1"/>
  <c r="T14" i="1"/>
  <c r="U14" i="1" s="1"/>
  <c r="B15" i="1"/>
  <c r="I15" i="1" s="1"/>
  <c r="R15" i="1"/>
  <c r="Q15" i="1"/>
  <c r="T15" i="1"/>
  <c r="U15" i="1" s="1"/>
  <c r="B16" i="1"/>
  <c r="I16" i="1" s="1"/>
  <c r="R16" i="1"/>
  <c r="Q16" i="1"/>
  <c r="T16" i="1"/>
  <c r="U16" i="1"/>
  <c r="B17" i="1"/>
  <c r="I17" i="1" s="1"/>
  <c r="R17" i="1"/>
  <c r="Q17" i="1"/>
  <c r="T17" i="1"/>
  <c r="U17" i="1"/>
  <c r="B18" i="1"/>
  <c r="I18" i="1"/>
  <c r="R18" i="1"/>
  <c r="Q18" i="1"/>
  <c r="T18" i="1"/>
  <c r="U18" i="1"/>
  <c r="B19" i="1"/>
  <c r="I19" i="1"/>
  <c r="R19" i="1"/>
  <c r="Q19" i="1"/>
  <c r="S19" i="1" s="1"/>
  <c r="T19" i="1"/>
  <c r="U19" i="1"/>
  <c r="B20" i="1"/>
  <c r="P20" i="1"/>
  <c r="G20" i="1"/>
  <c r="H20" i="1"/>
  <c r="Q20" i="1"/>
  <c r="R20" i="1"/>
  <c r="T20" i="1"/>
  <c r="U20" i="1"/>
  <c r="B21" i="1"/>
  <c r="P21" i="1"/>
  <c r="S21" i="1" s="1"/>
  <c r="R21" i="1"/>
  <c r="Q21" i="1"/>
  <c r="U21" i="1"/>
  <c r="B22" i="1"/>
  <c r="P22" i="1" s="1"/>
  <c r="S22" i="1" s="1"/>
  <c r="R22" i="1"/>
  <c r="Q22" i="1"/>
  <c r="T22" i="1"/>
  <c r="U22" i="1" s="1"/>
  <c r="B23" i="1"/>
  <c r="I23" i="1"/>
  <c r="R23" i="1"/>
  <c r="Q23" i="1"/>
  <c r="T23" i="1"/>
  <c r="U23" i="1" s="1"/>
  <c r="I26" i="1"/>
  <c r="R26" i="1"/>
  <c r="P26" i="1"/>
  <c r="Q26" i="1"/>
  <c r="T26" i="1"/>
  <c r="U26" i="1"/>
  <c r="B27" i="1"/>
  <c r="I27" i="1"/>
  <c r="R27" i="1"/>
  <c r="Q27" i="1"/>
  <c r="T27" i="1"/>
  <c r="U27" i="1"/>
  <c r="C28" i="1"/>
  <c r="T28" i="1"/>
  <c r="U28" i="1" s="1"/>
  <c r="Q29" i="1"/>
  <c r="T29" i="1"/>
  <c r="U29" i="1"/>
  <c r="B30" i="1"/>
  <c r="I30" i="1"/>
  <c r="K30" i="1"/>
  <c r="R30" i="1"/>
  <c r="Q30" i="1"/>
  <c r="T30" i="1"/>
  <c r="U30" i="1"/>
  <c r="B31" i="1"/>
  <c r="I32" i="1" s="1"/>
  <c r="Q31" i="1"/>
  <c r="T31" i="1"/>
  <c r="U31" i="1" s="1"/>
  <c r="B32" i="1"/>
  <c r="R32" i="1"/>
  <c r="Q32" i="1"/>
  <c r="T32" i="1"/>
  <c r="U32" i="1"/>
  <c r="B33" i="1"/>
  <c r="R33" i="1"/>
  <c r="Q33" i="1"/>
  <c r="T33" i="1"/>
  <c r="U33" i="1"/>
  <c r="B34" i="1"/>
  <c r="I35" i="1" s="1"/>
  <c r="R34" i="1"/>
  <c r="Q34" i="1"/>
  <c r="T34" i="1"/>
  <c r="U34" i="1" s="1"/>
  <c r="B35" i="1"/>
  <c r="R35" i="1"/>
  <c r="Q35" i="1"/>
  <c r="T35" i="1"/>
  <c r="U35" i="1"/>
  <c r="B36" i="1"/>
  <c r="P36" i="1"/>
  <c r="S36" i="1" s="1"/>
  <c r="L36" i="1"/>
  <c r="R36" i="1"/>
  <c r="Q36" i="1"/>
  <c r="T36" i="1"/>
  <c r="U36" i="1" s="1"/>
  <c r="B37" i="1"/>
  <c r="P37" i="1" s="1"/>
  <c r="R37" i="1"/>
  <c r="Q37" i="1"/>
  <c r="T37" i="1"/>
  <c r="U37" i="1"/>
  <c r="B38" i="1"/>
  <c r="P38" i="1" s="1"/>
  <c r="R38" i="1"/>
  <c r="Q38" i="1"/>
  <c r="T38" i="1"/>
  <c r="U38" i="1" s="1"/>
  <c r="B39" i="1"/>
  <c r="I40" i="1" s="1"/>
  <c r="P39" i="1"/>
  <c r="R39" i="1"/>
  <c r="Q39" i="1"/>
  <c r="T39" i="1"/>
  <c r="U39" i="1" s="1"/>
  <c r="B40" i="1"/>
  <c r="R40" i="1"/>
  <c r="Q40" i="1"/>
  <c r="T40" i="1"/>
  <c r="U40" i="1"/>
  <c r="B41" i="1"/>
  <c r="P41" i="1"/>
  <c r="R41" i="1"/>
  <c r="Q41" i="1"/>
  <c r="T41" i="1"/>
  <c r="U41" i="1"/>
  <c r="B42" i="1"/>
  <c r="I43" i="1"/>
  <c r="R42" i="1"/>
  <c r="Q42" i="1"/>
  <c r="T42" i="1"/>
  <c r="U42" i="1"/>
  <c r="B43" i="1"/>
  <c r="P43" i="1"/>
  <c r="R43" i="1"/>
  <c r="Q43" i="1"/>
  <c r="T43" i="1"/>
  <c r="U43" i="1"/>
  <c r="B44" i="1"/>
  <c r="U44" i="1"/>
  <c r="B45" i="1"/>
  <c r="U45" i="1"/>
  <c r="H47" i="1"/>
  <c r="R47" i="1"/>
  <c r="Q47" i="1"/>
  <c r="T47" i="1"/>
  <c r="R48" i="1"/>
  <c r="Q48" i="1"/>
  <c r="T48" i="1"/>
  <c r="T49" i="1"/>
  <c r="B50" i="1"/>
  <c r="P50" i="1"/>
  <c r="S50" i="1" s="1"/>
  <c r="R50" i="1"/>
  <c r="Q50" i="1"/>
  <c r="T50" i="1"/>
  <c r="B51" i="1"/>
  <c r="P51" i="1"/>
  <c r="Q51" i="1"/>
  <c r="S51" i="1" s="1"/>
  <c r="T51" i="1"/>
  <c r="B53" i="1"/>
  <c r="P53" i="1" s="1"/>
  <c r="S53" i="1" s="1"/>
  <c r="H53" i="1"/>
  <c r="R53" i="1"/>
  <c r="Q53" i="1"/>
  <c r="T53" i="1"/>
  <c r="B54" i="1"/>
  <c r="H54" i="1"/>
  <c r="R54" i="1"/>
  <c r="Q54" i="1"/>
  <c r="T54" i="1"/>
  <c r="B57" i="1"/>
  <c r="R57" i="1" s="1"/>
  <c r="Q57" i="1"/>
  <c r="B58" i="1"/>
  <c r="N58" i="1" s="1"/>
  <c r="Q58" i="1"/>
  <c r="B59" i="1"/>
  <c r="Q59" i="1"/>
  <c r="B61" i="1"/>
  <c r="Q61" i="1"/>
  <c r="B62" i="1"/>
  <c r="J62" i="1" s="1"/>
  <c r="M62" i="1" s="1"/>
  <c r="Q62" i="1"/>
  <c r="B63" i="1"/>
  <c r="J63" i="1" s="1"/>
  <c r="Q63" i="1"/>
  <c r="B64" i="1"/>
  <c r="Q64" i="1"/>
  <c r="B66" i="1"/>
  <c r="Q66" i="1"/>
  <c r="B67" i="1"/>
  <c r="J67" i="1" s="1"/>
  <c r="Q67" i="1"/>
  <c r="C29" i="2"/>
  <c r="D10" i="2"/>
  <c r="D13" i="2"/>
  <c r="C50" i="2"/>
  <c r="C52" i="2"/>
  <c r="J2" i="20"/>
  <c r="J3" i="20"/>
  <c r="F3" i="20"/>
  <c r="J4" i="20"/>
  <c r="G4" i="20" s="1"/>
  <c r="G13" i="20" s="1"/>
  <c r="J5" i="20"/>
  <c r="J6" i="20"/>
  <c r="J7" i="20"/>
  <c r="J8" i="20"/>
  <c r="P19" i="1"/>
  <c r="I13" i="1"/>
  <c r="I39" i="1"/>
  <c r="P10" i="1"/>
  <c r="S10" i="1" s="1"/>
  <c r="P7" i="1"/>
  <c r="S7" i="1" s="1"/>
  <c r="I42" i="1"/>
  <c r="S37" i="1"/>
  <c r="P27" i="1"/>
  <c r="S27" i="1"/>
  <c r="I14" i="1"/>
  <c r="W135" i="28"/>
  <c r="X135" i="28" s="1"/>
  <c r="W163" i="28"/>
  <c r="W118" i="28"/>
  <c r="W139" i="28"/>
  <c r="W195" i="28"/>
  <c r="W117" i="28"/>
  <c r="W186" i="28"/>
  <c r="W167" i="28"/>
  <c r="W114" i="28"/>
  <c r="W127" i="28"/>
  <c r="W151" i="28"/>
  <c r="W83" i="28"/>
  <c r="W183" i="28"/>
  <c r="W164" i="28"/>
  <c r="W125" i="28"/>
  <c r="W172" i="28"/>
  <c r="W121" i="28"/>
  <c r="W142" i="28"/>
  <c r="W169" i="28"/>
  <c r="W129" i="28"/>
  <c r="W149" i="28"/>
  <c r="W89" i="28"/>
  <c r="W189" i="28"/>
  <c r="W170" i="28"/>
  <c r="W123" i="28"/>
  <c r="W144" i="28"/>
  <c r="W93" i="28"/>
  <c r="W146" i="28"/>
  <c r="W188" i="28"/>
  <c r="W165" i="28"/>
  <c r="W116" i="28"/>
  <c r="W124" i="28"/>
  <c r="W155" i="28" s="1"/>
  <c r="W145" i="28"/>
  <c r="W85" i="28"/>
  <c r="W193" i="28"/>
  <c r="W174" i="28"/>
  <c r="W132" i="28"/>
  <c r="W148" i="28"/>
  <c r="W98" i="28"/>
  <c r="P30" i="1"/>
  <c r="S30" i="1"/>
  <c r="W190" i="28"/>
  <c r="W171" i="28"/>
  <c r="W131" i="28"/>
  <c r="X131" i="28" s="1"/>
  <c r="W147" i="28"/>
  <c r="W187" i="28"/>
  <c r="W168" i="28"/>
  <c r="W136" i="28"/>
  <c r="W91" i="28"/>
  <c r="W194" i="28"/>
  <c r="W175" i="28"/>
  <c r="W122" i="28"/>
  <c r="W143" i="28"/>
  <c r="W111" i="28"/>
  <c r="W191" i="28"/>
  <c r="W161" i="28"/>
  <c r="W138" i="28"/>
  <c r="W113" i="28"/>
  <c r="W130" i="28"/>
  <c r="W150" i="28"/>
  <c r="W182" i="28"/>
  <c r="W134" i="28"/>
  <c r="W112" i="28"/>
  <c r="W141" i="28"/>
  <c r="W81" i="28"/>
  <c r="W162" i="28"/>
  <c r="W115" i="28"/>
  <c r="W128" i="28"/>
  <c r="W152" i="28"/>
  <c r="W102" i="28"/>
  <c r="W154" i="28"/>
  <c r="W100" i="28"/>
  <c r="W196" i="28"/>
  <c r="W173" i="28"/>
  <c r="W120" i="28"/>
  <c r="W133" i="28"/>
  <c r="W153" i="28"/>
  <c r="W185" i="28"/>
  <c r="W166" i="28"/>
  <c r="W119" i="28"/>
  <c r="W140" i="28"/>
  <c r="S38" i="1"/>
  <c r="S20" i="1"/>
  <c r="S8" i="1"/>
  <c r="S48" i="1"/>
  <c r="P31" i="1"/>
  <c r="S31" i="1"/>
  <c r="S41" i="1"/>
  <c r="S39" i="1"/>
  <c r="S26" i="1"/>
  <c r="S9" i="1"/>
  <c r="N62" i="1"/>
  <c r="N59" i="1"/>
  <c r="N57" i="1"/>
  <c r="B28" i="1"/>
  <c r="I28" i="1"/>
  <c r="N28" i="1"/>
  <c r="R28" i="1"/>
  <c r="B11" i="1"/>
  <c r="P11" i="1"/>
  <c r="S11" i="1" s="1"/>
  <c r="O11" i="1"/>
  <c r="L12" i="25"/>
  <c r="L11" i="25"/>
  <c r="L14" i="25"/>
  <c r="L13" i="25"/>
  <c r="L15" i="25"/>
  <c r="G11" i="25"/>
  <c r="G12" i="25"/>
  <c r="D24" i="1"/>
  <c r="AG30" i="6"/>
  <c r="F2" i="20"/>
  <c r="F12" i="20" s="1"/>
  <c r="J64" i="1"/>
  <c r="I20" i="1"/>
  <c r="G3" i="20"/>
  <c r="F30" i="22"/>
  <c r="I37" i="1"/>
  <c r="I44" i="1"/>
  <c r="C40" i="2"/>
  <c r="I48" i="1"/>
  <c r="P12" i="1"/>
  <c r="S12" i="1" s="1"/>
  <c r="P18" i="1"/>
  <c r="S18" i="1" s="1"/>
  <c r="P16" i="1"/>
  <c r="S16" i="1" s="1"/>
  <c r="P15" i="1"/>
  <c r="S15" i="1" s="1"/>
  <c r="P23" i="1"/>
  <c r="S23" i="1" s="1"/>
  <c r="I36" i="1"/>
  <c r="P35" i="1"/>
  <c r="S35" i="1"/>
  <c r="F9" i="20"/>
  <c r="F7" i="20"/>
  <c r="G7" i="20"/>
  <c r="F6" i="20"/>
  <c r="F15" i="20"/>
  <c r="G9" i="20"/>
  <c r="G6" i="20"/>
  <c r="G15" i="20"/>
  <c r="F8" i="20"/>
  <c r="G8" i="20"/>
  <c r="I34" i="1"/>
  <c r="P33" i="1"/>
  <c r="S33" i="1" s="1"/>
  <c r="W16" i="16"/>
  <c r="D66" i="2"/>
  <c r="G66" i="2"/>
  <c r="P42" i="1"/>
  <c r="S42" i="1"/>
  <c r="I11" i="1"/>
  <c r="I22" i="1"/>
  <c r="P57" i="1"/>
  <c r="S57" i="1" s="1"/>
  <c r="D28" i="1"/>
  <c r="Q28" i="1" s="1"/>
  <c r="S28" i="1" s="1"/>
  <c r="I47" i="1"/>
  <c r="I21" i="1"/>
  <c r="G2" i="20"/>
  <c r="G12" i="20"/>
  <c r="J22" i="1"/>
  <c r="M22" i="1"/>
  <c r="K41" i="1"/>
  <c r="J12" i="1"/>
  <c r="M12" i="1" s="1"/>
  <c r="J9" i="1"/>
  <c r="M9" i="1" s="1"/>
  <c r="J20" i="1"/>
  <c r="M20" i="1"/>
  <c r="S47" i="1"/>
  <c r="J57" i="1"/>
  <c r="M57" i="1" s="1"/>
  <c r="K37" i="1"/>
  <c r="J18" i="43"/>
  <c r="I18" i="43"/>
  <c r="J30" i="1"/>
  <c r="L30" i="1" s="1"/>
  <c r="M14" i="1"/>
  <c r="J50" i="1"/>
  <c r="M50" i="1" s="1"/>
  <c r="D68" i="2"/>
  <c r="G68" i="2"/>
  <c r="H6" i="20"/>
  <c r="H15" i="20"/>
  <c r="P28" i="1"/>
  <c r="J40" i="1"/>
  <c r="M40" i="1" s="1"/>
  <c r="AH16" i="16"/>
  <c r="D77" i="2"/>
  <c r="G77" i="2"/>
  <c r="AF16" i="16"/>
  <c r="Y16" i="16"/>
  <c r="K38" i="1"/>
  <c r="X16" i="16"/>
  <c r="J51" i="1"/>
  <c r="M51" i="1" s="1"/>
  <c r="J23" i="1"/>
  <c r="M23" i="1" s="1"/>
  <c r="K11" i="1"/>
  <c r="AK11" i="16"/>
  <c r="F29" i="2"/>
  <c r="O26" i="30"/>
  <c r="P26" i="30"/>
  <c r="O24" i="30"/>
  <c r="P24" i="30" s="1"/>
  <c r="O25" i="30"/>
  <c r="P25" i="30" s="1"/>
  <c r="O34" i="30"/>
  <c r="P34" i="30" s="1"/>
  <c r="O36" i="30"/>
  <c r="P36" i="30"/>
  <c r="E132" i="18"/>
  <c r="AK12" i="16"/>
  <c r="W176" i="28"/>
  <c r="D14" i="28"/>
  <c r="D19" i="28"/>
  <c r="Z16" i="16"/>
  <c r="D82" i="2"/>
  <c r="G82" i="2"/>
  <c r="K28" i="1"/>
  <c r="L28" i="1" s="1"/>
  <c r="M11" i="1"/>
  <c r="J38" i="1"/>
  <c r="M38" i="1"/>
  <c r="J17" i="1"/>
  <c r="M17" i="1" s="1"/>
  <c r="M47" i="1"/>
  <c r="K12" i="1"/>
  <c r="K39" i="1"/>
  <c r="J21" i="1"/>
  <c r="M21" i="1"/>
  <c r="K8" i="1"/>
  <c r="J59" i="1"/>
  <c r="M59" i="1" s="1"/>
  <c r="M8" i="1"/>
  <c r="J35" i="1"/>
  <c r="M35" i="1" s="1"/>
  <c r="K9" i="1"/>
  <c r="K27" i="1"/>
  <c r="J27" i="1"/>
  <c r="M27" i="1" s="1"/>
  <c r="K43" i="1"/>
  <c r="K53" i="1"/>
  <c r="D69" i="2"/>
  <c r="G69" i="2"/>
  <c r="H7" i="20"/>
  <c r="K45" i="1"/>
  <c r="K10" i="1"/>
  <c r="J34" i="1"/>
  <c r="M34" i="1"/>
  <c r="J10" i="1"/>
  <c r="M10" i="1" s="1"/>
  <c r="J41" i="1"/>
  <c r="M41" i="1"/>
  <c r="F27" i="2"/>
  <c r="G71" i="2"/>
  <c r="H8" i="20"/>
  <c r="J31" i="1"/>
  <c r="M31" i="1" s="1"/>
  <c r="K18" i="1"/>
  <c r="H16" i="43"/>
  <c r="J16" i="43"/>
  <c r="K42" i="1"/>
  <c r="AB16" i="16"/>
  <c r="J48" i="1"/>
  <c r="M48" i="1" s="1"/>
  <c r="J33" i="1"/>
  <c r="M33" i="1"/>
  <c r="AA16" i="16"/>
  <c r="K19" i="1"/>
  <c r="L19" i="1" s="1"/>
  <c r="K14" i="1"/>
  <c r="L14" i="1" s="1"/>
  <c r="J43" i="1"/>
  <c r="M43" i="1" s="1"/>
  <c r="K17" i="1"/>
  <c r="K7" i="1"/>
  <c r="K47" i="1"/>
  <c r="J32" i="1"/>
  <c r="M32" i="1" s="1"/>
  <c r="J7" i="1"/>
  <c r="M7" i="1" s="1"/>
  <c r="K23" i="1"/>
  <c r="L23" i="1" s="1"/>
  <c r="AD16" i="16"/>
  <c r="J54" i="1"/>
  <c r="M54" i="1" s="1"/>
  <c r="K26" i="1"/>
  <c r="J15" i="1"/>
  <c r="M15" i="1" s="1"/>
  <c r="J39" i="1"/>
  <c r="M39" i="1"/>
  <c r="J42" i="1"/>
  <c r="M42" i="1" s="1"/>
  <c r="K16" i="1"/>
  <c r="K40" i="1"/>
  <c r="J16" i="1"/>
  <c r="M16" i="1" s="1"/>
  <c r="J19" i="1"/>
  <c r="M19" i="1"/>
  <c r="D65" i="2"/>
  <c r="J18" i="1"/>
  <c r="M18" i="1" s="1"/>
  <c r="AK9" i="16"/>
  <c r="P8" i="16"/>
  <c r="P10" i="16"/>
  <c r="P6" i="16"/>
  <c r="P7" i="16"/>
  <c r="P12" i="16"/>
  <c r="AK6" i="16"/>
  <c r="G40" i="2"/>
  <c r="F28" i="2"/>
  <c r="P11" i="16"/>
  <c r="P9" i="16"/>
  <c r="AK10" i="16"/>
  <c r="AK7" i="16"/>
  <c r="P5" i="16"/>
  <c r="O46" i="30"/>
  <c r="P46" i="30" s="1"/>
  <c r="O44" i="30"/>
  <c r="F28" i="22"/>
  <c r="H12" i="20"/>
  <c r="R103" i="28"/>
  <c r="R183" i="28"/>
  <c r="X183" i="28"/>
  <c r="R185" i="28"/>
  <c r="X185" i="28"/>
  <c r="R187" i="28"/>
  <c r="X187" i="28"/>
  <c r="R189" i="28"/>
  <c r="X189" i="28"/>
  <c r="R191" i="28"/>
  <c r="X191" i="28"/>
  <c r="R193" i="28"/>
  <c r="X193" i="28"/>
  <c r="R195" i="28"/>
  <c r="X195" i="28"/>
  <c r="L163" i="28"/>
  <c r="O163" i="28"/>
  <c r="R163" i="28"/>
  <c r="X163" i="28"/>
  <c r="L165" i="28"/>
  <c r="O165" i="28"/>
  <c r="R165" i="28"/>
  <c r="X165" i="28"/>
  <c r="L167" i="28"/>
  <c r="O167" i="28"/>
  <c r="R167" i="28"/>
  <c r="X167" i="28"/>
  <c r="L169" i="28"/>
  <c r="O169" i="28"/>
  <c r="R169" i="28"/>
  <c r="X169" i="28"/>
  <c r="L171" i="28"/>
  <c r="O171" i="28"/>
  <c r="R171" i="28"/>
  <c r="X171" i="28"/>
  <c r="L173" i="28"/>
  <c r="O173" i="28"/>
  <c r="R173" i="28"/>
  <c r="X173" i="28"/>
  <c r="R112" i="28"/>
  <c r="X112" i="28"/>
  <c r="R114" i="28"/>
  <c r="X114" i="28"/>
  <c r="R116" i="28"/>
  <c r="X116" i="28"/>
  <c r="R118" i="28"/>
  <c r="X118" i="28"/>
  <c r="R120" i="28"/>
  <c r="X120" i="28"/>
  <c r="R122" i="28"/>
  <c r="X122" i="28"/>
  <c r="R124" i="28"/>
  <c r="X124" i="28"/>
  <c r="R127" i="28"/>
  <c r="X127" i="28"/>
  <c r="R129" i="28"/>
  <c r="X129" i="28"/>
  <c r="R131" i="28"/>
  <c r="R133" i="28"/>
  <c r="X133" i="28"/>
  <c r="R138" i="28"/>
  <c r="X138" i="28"/>
  <c r="R140" i="28"/>
  <c r="X140" i="28"/>
  <c r="R104" i="28"/>
  <c r="R184" i="28"/>
  <c r="R186" i="28"/>
  <c r="X186" i="28"/>
  <c r="R188" i="28"/>
  <c r="X188" i="28"/>
  <c r="R190" i="28"/>
  <c r="X190" i="28"/>
  <c r="R192" i="28"/>
  <c r="R194" i="28"/>
  <c r="X194" i="28"/>
  <c r="R196" i="28"/>
  <c r="X196" i="28"/>
  <c r="L162" i="28"/>
  <c r="O162" i="28"/>
  <c r="R162" i="28"/>
  <c r="X162" i="28"/>
  <c r="L164" i="28"/>
  <c r="O164" i="28"/>
  <c r="R164" i="28"/>
  <c r="X164" i="28"/>
  <c r="L166" i="28"/>
  <c r="O166" i="28"/>
  <c r="R166" i="28"/>
  <c r="X166" i="28"/>
  <c r="L168" i="28"/>
  <c r="O168" i="28"/>
  <c r="R168" i="28"/>
  <c r="X168" i="28"/>
  <c r="L170" i="28"/>
  <c r="O170" i="28"/>
  <c r="R170" i="28"/>
  <c r="X170" i="28"/>
  <c r="L172" i="28"/>
  <c r="O172" i="28"/>
  <c r="R172" i="28"/>
  <c r="X172" i="28"/>
  <c r="L174" i="28"/>
  <c r="O174" i="28"/>
  <c r="R174" i="28"/>
  <c r="X174" i="28"/>
  <c r="L161" i="28"/>
  <c r="O161" i="28"/>
  <c r="R113" i="28"/>
  <c r="X113" i="28"/>
  <c r="R115" i="28"/>
  <c r="X115" i="28"/>
  <c r="R117" i="28"/>
  <c r="X117" i="28"/>
  <c r="R119" i="28"/>
  <c r="X119" i="28"/>
  <c r="R121" i="28"/>
  <c r="X121" i="28"/>
  <c r="R123" i="28"/>
  <c r="X123" i="28"/>
  <c r="R125" i="28"/>
  <c r="X125" i="28"/>
  <c r="R128" i="28"/>
  <c r="X128" i="28"/>
  <c r="R130" i="28"/>
  <c r="X130" i="28"/>
  <c r="R132" i="28"/>
  <c r="X132" i="28"/>
  <c r="R134" i="28"/>
  <c r="X134" i="28"/>
  <c r="R136" i="28"/>
  <c r="X136" i="28"/>
  <c r="R139" i="28"/>
  <c r="X139" i="28"/>
  <c r="R141" i="28"/>
  <c r="X141" i="28"/>
  <c r="R143" i="28"/>
  <c r="X143" i="28"/>
  <c r="R145" i="28"/>
  <c r="X145" i="28"/>
  <c r="R147" i="28"/>
  <c r="X147" i="28"/>
  <c r="R149" i="28"/>
  <c r="X149" i="28"/>
  <c r="R151" i="28"/>
  <c r="X151" i="28"/>
  <c r="R153" i="28"/>
  <c r="X153" i="28"/>
  <c r="R152" i="28"/>
  <c r="X152" i="28"/>
  <c r="R142" i="28"/>
  <c r="X142" i="28"/>
  <c r="R144" i="28"/>
  <c r="X144" i="28"/>
  <c r="R146" i="28"/>
  <c r="X146" i="28"/>
  <c r="R148" i="28"/>
  <c r="X148" i="28"/>
  <c r="R150" i="28"/>
  <c r="X150" i="28"/>
  <c r="R154" i="28"/>
  <c r="X154" i="28"/>
  <c r="R91" i="28"/>
  <c r="X91" i="28"/>
  <c r="R97" i="28"/>
  <c r="R99" i="28"/>
  <c r="R101" i="28"/>
  <c r="R80" i="28"/>
  <c r="R82" i="28"/>
  <c r="R84" i="28"/>
  <c r="R86" i="28"/>
  <c r="R88" i="28"/>
  <c r="R90" i="28"/>
  <c r="R93" i="28"/>
  <c r="X93" i="28"/>
  <c r="R96" i="28"/>
  <c r="R98" i="28"/>
  <c r="X98" i="28"/>
  <c r="R100" i="28"/>
  <c r="X100" i="28"/>
  <c r="R102" i="28"/>
  <c r="X102" i="28"/>
  <c r="R95" i="28"/>
  <c r="R81" i="28"/>
  <c r="X81" i="28"/>
  <c r="R83" i="28"/>
  <c r="X83" i="28"/>
  <c r="R85" i="28"/>
  <c r="X85" i="28"/>
  <c r="R87" i="28"/>
  <c r="R89" i="28"/>
  <c r="X89" i="28"/>
  <c r="R92" i="28"/>
  <c r="N24" i="1"/>
  <c r="M41" i="18"/>
  <c r="L20" i="1"/>
  <c r="Q24" i="1"/>
  <c r="H14" i="43"/>
  <c r="D76" i="2"/>
  <c r="AE16" i="16"/>
  <c r="J10" i="20"/>
  <c r="G10" i="20" s="1"/>
  <c r="K59" i="1"/>
  <c r="L59" i="1"/>
  <c r="L13" i="1"/>
  <c r="L26" i="1"/>
  <c r="L32" i="1"/>
  <c r="L22" i="1"/>
  <c r="L62" i="1"/>
  <c r="O50" i="31"/>
  <c r="L12" i="1"/>
  <c r="K57" i="1"/>
  <c r="L41" i="1"/>
  <c r="L21" i="1"/>
  <c r="L43" i="1"/>
  <c r="D81" i="2"/>
  <c r="G81" i="2"/>
  <c r="H9" i="20"/>
  <c r="J14" i="43"/>
  <c r="J15" i="43"/>
  <c r="H15" i="43"/>
  <c r="E6" i="20"/>
  <c r="P24" i="1"/>
  <c r="S24" i="1" s="1"/>
  <c r="L10" i="1"/>
  <c r="E2" i="20"/>
  <c r="H2" i="20"/>
  <c r="G64" i="2"/>
  <c r="L40" i="1"/>
  <c r="D78" i="2"/>
  <c r="G78" i="2"/>
  <c r="E7" i="20"/>
  <c r="L42" i="1"/>
  <c r="L16" i="1"/>
  <c r="E18" i="16"/>
  <c r="L47" i="1"/>
  <c r="G65" i="2"/>
  <c r="L17" i="1"/>
  <c r="F31" i="22"/>
  <c r="D132" i="18"/>
  <c r="L33" i="1"/>
  <c r="L34" i="1"/>
  <c r="L7" i="1"/>
  <c r="L35" i="1"/>
  <c r="E3" i="20"/>
  <c r="L38" i="1"/>
  <c r="G76" i="2"/>
  <c r="AK5" i="16"/>
  <c r="L39" i="1"/>
  <c r="F32" i="22"/>
  <c r="F29" i="22"/>
  <c r="L27" i="1"/>
  <c r="L11" i="1"/>
  <c r="E10" i="20"/>
  <c r="H10" i="20" s="1"/>
  <c r="L8" i="1"/>
  <c r="L18" i="1"/>
  <c r="R24" i="1"/>
  <c r="R175" i="28"/>
  <c r="X175" i="28"/>
  <c r="N219" i="28"/>
  <c r="N233" i="28"/>
  <c r="N247" i="28"/>
  <c r="N261" i="28"/>
  <c r="R135" i="28"/>
  <c r="R161" i="28"/>
  <c r="O176" i="28"/>
  <c r="R182" i="28"/>
  <c r="R111" i="28"/>
  <c r="R79" i="28"/>
  <c r="O24" i="1"/>
  <c r="N41" i="18"/>
  <c r="K24" i="1"/>
  <c r="J24" i="1"/>
  <c r="M24" i="1" s="1"/>
  <c r="I24" i="1"/>
  <c r="S41" i="18"/>
  <c r="G63" i="2"/>
  <c r="E8" i="20"/>
  <c r="E9" i="20"/>
  <c r="F10" i="20"/>
  <c r="F33" i="22"/>
  <c r="F27" i="22"/>
  <c r="G79" i="2"/>
  <c r="N241" i="28"/>
  <c r="N248" i="28"/>
  <c r="N227" i="28"/>
  <c r="N234" i="28"/>
  <c r="N213" i="28"/>
  <c r="N220" i="28"/>
  <c r="N255" i="28"/>
  <c r="N262" i="28"/>
  <c r="R105" i="28"/>
  <c r="R155" i="28"/>
  <c r="X111" i="28"/>
  <c r="R197" i="28"/>
  <c r="X182" i="28"/>
  <c r="R176" i="28"/>
  <c r="X161" i="28"/>
  <c r="X176" i="28"/>
  <c r="T41" i="18"/>
  <c r="L24" i="1"/>
  <c r="I67" i="6"/>
  <c r="I64" i="6"/>
  <c r="H140" i="6"/>
  <c r="I66" i="6"/>
  <c r="C40" i="28"/>
  <c r="C45" i="28"/>
  <c r="C35" i="28"/>
  <c r="C30" i="28"/>
  <c r="C46" i="28"/>
  <c r="E9" i="9"/>
  <c r="E10" i="9"/>
  <c r="E11" i="9"/>
  <c r="Z52" i="6"/>
  <c r="X52" i="6"/>
  <c r="F19" i="19"/>
  <c r="W43" i="6"/>
  <c r="M10" i="25"/>
  <c r="D80" i="20"/>
  <c r="H15" i="25"/>
  <c r="H14" i="25"/>
  <c r="H13" i="25"/>
  <c r="H12" i="25"/>
  <c r="H11" i="25"/>
  <c r="K10" i="25"/>
  <c r="J10" i="25"/>
  <c r="L10" i="25"/>
  <c r="L16" i="25"/>
  <c r="H16" i="25"/>
  <c r="H10" i="25"/>
  <c r="C132" i="18"/>
  <c r="F132" i="18"/>
  <c r="Z43" i="6"/>
  <c r="E165" i="25"/>
  <c r="G165" i="25"/>
  <c r="F165" i="25"/>
  <c r="E16" i="20"/>
  <c r="E29" i="18"/>
  <c r="H27" i="18"/>
  <c r="I28" i="18"/>
  <c r="J28" i="18"/>
  <c r="H29" i="18"/>
  <c r="I30" i="18"/>
  <c r="J30" i="18"/>
  <c r="D57" i="18"/>
  <c r="D58" i="18"/>
  <c r="D64" i="18"/>
  <c r="D65" i="18"/>
  <c r="H36" i="18"/>
  <c r="C135" i="18"/>
  <c r="F135" i="18"/>
  <c r="G57" i="18"/>
  <c r="G58" i="18"/>
  <c r="D35" i="27"/>
  <c r="D58" i="27"/>
  <c r="M58" i="27"/>
  <c r="N58" i="27"/>
  <c r="N19" i="6" s="1"/>
  <c r="G77" i="6" s="1"/>
  <c r="E137" i="6" s="1"/>
  <c r="H137" i="6" s="1"/>
  <c r="M35" i="27"/>
  <c r="M46" i="27"/>
  <c r="D46" i="27"/>
  <c r="C44" i="20" l="1"/>
  <c r="A107" i="20"/>
  <c r="D78" i="20"/>
  <c r="C25" i="19"/>
  <c r="E16" i="25"/>
  <c r="G16" i="25" s="1"/>
  <c r="F16" i="25"/>
  <c r="D77" i="20"/>
  <c r="D125" i="6"/>
  <c r="D127" i="6" s="1"/>
  <c r="F98" i="6" s="1"/>
  <c r="E14" i="25"/>
  <c r="G14" i="25" s="1"/>
  <c r="C14" i="25"/>
  <c r="C69" i="19"/>
  <c r="D6" i="43"/>
  <c r="F14" i="25"/>
  <c r="D10" i="25"/>
  <c r="C16" i="25" s="1"/>
  <c r="E13" i="25"/>
  <c r="G13" i="25" s="1"/>
  <c r="M67" i="1"/>
  <c r="K67" i="1"/>
  <c r="L67" i="1" s="1"/>
  <c r="R62" i="1"/>
  <c r="P67" i="1"/>
  <c r="S67" i="1" s="1"/>
  <c r="N67" i="1"/>
  <c r="R67" i="1"/>
  <c r="P62" i="1"/>
  <c r="S62" i="1" s="1"/>
  <c r="X155" i="28"/>
  <c r="M63" i="1"/>
  <c r="L63" i="1"/>
  <c r="H3" i="20"/>
  <c r="L57" i="1"/>
  <c r="E4" i="20"/>
  <c r="J58" i="1"/>
  <c r="K15" i="1"/>
  <c r="O28" i="1"/>
  <c r="I53" i="1"/>
  <c r="P66" i="1"/>
  <c r="S66" i="1" s="1"/>
  <c r="R66" i="1"/>
  <c r="P61" i="1"/>
  <c r="S61" i="1" s="1"/>
  <c r="R61" i="1"/>
  <c r="N61" i="1"/>
  <c r="J61" i="1"/>
  <c r="J66" i="1"/>
  <c r="M30" i="1"/>
  <c r="N63" i="1"/>
  <c r="L9" i="1"/>
  <c r="F4" i="20"/>
  <c r="F13" i="20" s="1"/>
  <c r="H13" i="20" s="1"/>
  <c r="N66" i="1"/>
  <c r="R64" i="1"/>
  <c r="N64" i="1"/>
  <c r="P64" i="1"/>
  <c r="S64" i="1" s="1"/>
  <c r="P59" i="1"/>
  <c r="S59" i="1" s="1"/>
  <c r="R59" i="1"/>
  <c r="S43" i="1"/>
  <c r="L15" i="1"/>
  <c r="P54" i="1"/>
  <c r="S54" i="1" s="1"/>
  <c r="K54" i="1"/>
  <c r="L54" i="1" s="1"/>
  <c r="I33" i="1"/>
  <c r="P32" i="1"/>
  <c r="S32" i="1" s="1"/>
  <c r="R217" i="28"/>
  <c r="P217" i="28"/>
  <c r="Q217" i="28"/>
  <c r="M64" i="1"/>
  <c r="L64" i="1"/>
  <c r="R63" i="1"/>
  <c r="P63" i="1"/>
  <c r="S63" i="1" s="1"/>
  <c r="P58" i="1"/>
  <c r="S58" i="1" s="1"/>
  <c r="R58" i="1"/>
  <c r="P40" i="1"/>
  <c r="S40" i="1" s="1"/>
  <c r="I41" i="1"/>
  <c r="J53" i="1"/>
  <c r="I54" i="1"/>
  <c r="J37" i="1"/>
  <c r="M46" i="31"/>
  <c r="M48" i="31" s="1"/>
  <c r="M49" i="31" s="1"/>
  <c r="M28" i="31"/>
  <c r="M29" i="31" s="1"/>
  <c r="M30" i="31" s="1"/>
  <c r="C17" i="18"/>
  <c r="C58" i="25"/>
  <c r="C59" i="25" s="1"/>
  <c r="E28" i="30"/>
  <c r="E29" i="30" s="1"/>
  <c r="G28" i="30"/>
  <c r="G29" i="30" s="1"/>
  <c r="D28" i="30"/>
  <c r="D29" i="30" s="1"/>
  <c r="G59" i="31"/>
  <c r="U13" i="29"/>
  <c r="U51" i="29"/>
  <c r="D29" i="31"/>
  <c r="D30" i="31" s="1"/>
  <c r="F29" i="31"/>
  <c r="F30" i="31" s="1"/>
  <c r="T176" i="28"/>
  <c r="P231" i="28"/>
  <c r="Q231" i="28"/>
  <c r="R231" i="28"/>
  <c r="N45" i="30"/>
  <c r="N47" i="30" s="1"/>
  <c r="N48" i="30" s="1"/>
  <c r="N49" i="30" s="1"/>
  <c r="P13" i="16" s="1"/>
  <c r="E67" i="2" s="1"/>
  <c r="F5" i="20" s="1"/>
  <c r="F14" i="20" s="1"/>
  <c r="H14" i="20" s="1"/>
  <c r="F21" i="47"/>
  <c r="H30" i="20"/>
  <c r="H34" i="20"/>
  <c r="F34" i="20" s="1"/>
  <c r="F35" i="20" s="1"/>
  <c r="F36" i="20" s="1"/>
  <c r="O12" i="6"/>
  <c r="H38" i="20"/>
  <c r="F38" i="20" s="1"/>
  <c r="B25" i="1"/>
  <c r="H21" i="20"/>
  <c r="F21" i="20" s="1"/>
  <c r="F22" i="20" s="1"/>
  <c r="H24" i="20"/>
  <c r="H25" i="20" s="1"/>
  <c r="N25" i="1"/>
  <c r="R25" i="1" s="1"/>
  <c r="H27" i="20"/>
  <c r="D25" i="1"/>
  <c r="I38" i="1"/>
  <c r="P17" i="1"/>
  <c r="S17" i="1" s="1"/>
  <c r="N28" i="31"/>
  <c r="N29" i="31" s="1"/>
  <c r="N30" i="31" s="1"/>
  <c r="N47" i="31"/>
  <c r="N48" i="31" s="1"/>
  <c r="N49" i="31" s="1"/>
  <c r="I29" i="31"/>
  <c r="I30" i="31" s="1"/>
  <c r="L35" i="30"/>
  <c r="O35" i="30" s="1"/>
  <c r="P35" i="30" s="1"/>
  <c r="C28" i="30"/>
  <c r="C29" i="30" s="1"/>
  <c r="P259" i="28"/>
  <c r="Q259" i="28"/>
  <c r="R259" i="28"/>
  <c r="O260" i="28"/>
  <c r="O212" i="28"/>
  <c r="O226" i="28"/>
  <c r="O246" i="28"/>
  <c r="O218" i="28"/>
  <c r="O232" i="28"/>
  <c r="O254" i="28"/>
  <c r="O225" i="28"/>
  <c r="O245" i="28"/>
  <c r="O253" i="28"/>
  <c r="O211" i="28"/>
  <c r="O239" i="28"/>
  <c r="M44" i="30"/>
  <c r="M47" i="30" s="1"/>
  <c r="M48" i="30" s="1"/>
  <c r="M49" i="30" s="1"/>
  <c r="P14" i="16" s="1"/>
  <c r="F67" i="2" s="1"/>
  <c r="G5" i="20" s="1"/>
  <c r="G14" i="20" s="1"/>
  <c r="U55" i="29"/>
  <c r="U54" i="29"/>
  <c r="P34" i="1"/>
  <c r="S34" i="1" s="1"/>
  <c r="C29" i="31"/>
  <c r="C30" i="31" s="1"/>
  <c r="L27" i="30"/>
  <c r="O240" i="28"/>
  <c r="T155" i="28"/>
  <c r="H29" i="31"/>
  <c r="H30" i="31" s="1"/>
  <c r="N27" i="30"/>
  <c r="N28" i="30" s="1"/>
  <c r="N29" i="30" s="1"/>
  <c r="T197" i="28"/>
  <c r="V155" i="28"/>
  <c r="U155" i="28"/>
  <c r="AL8" i="18"/>
  <c r="I141" i="25" s="1"/>
  <c r="D141" i="25" s="1"/>
  <c r="AM12" i="18"/>
  <c r="J145" i="25" s="1"/>
  <c r="E145" i="25" s="1"/>
  <c r="E10" i="18" s="1"/>
  <c r="AM8" i="18"/>
  <c r="J141" i="25" s="1"/>
  <c r="E141" i="25" s="1"/>
  <c r="AM9" i="18"/>
  <c r="J142" i="25" s="1"/>
  <c r="E142" i="25" s="1"/>
  <c r="AL10" i="18"/>
  <c r="I143" i="25" s="1"/>
  <c r="D143" i="25" s="1"/>
  <c r="AN12" i="18"/>
  <c r="K145" i="25" s="1"/>
  <c r="F145" i="25" s="1"/>
  <c r="F10" i="18" s="1"/>
  <c r="AL7" i="18"/>
  <c r="AM7" i="18"/>
  <c r="AM11" i="18"/>
  <c r="J144" i="25" s="1"/>
  <c r="E144" i="25" s="1"/>
  <c r="E9" i="18" s="1"/>
  <c r="AN9" i="18"/>
  <c r="K142" i="25" s="1"/>
  <c r="F142" i="25" s="1"/>
  <c r="AL12" i="18"/>
  <c r="I145" i="25" s="1"/>
  <c r="D145" i="25" s="1"/>
  <c r="AL9" i="18"/>
  <c r="I142" i="25" s="1"/>
  <c r="D142" i="25" s="1"/>
  <c r="AM10" i="18"/>
  <c r="J143" i="25" s="1"/>
  <c r="E143" i="25" s="1"/>
  <c r="AN8" i="18"/>
  <c r="K141" i="25" s="1"/>
  <c r="F141" i="25" s="1"/>
  <c r="AN11" i="18"/>
  <c r="K144" i="25" s="1"/>
  <c r="F144" i="25" s="1"/>
  <c r="F9" i="18" s="1"/>
  <c r="AL11" i="18"/>
  <c r="I144" i="25" s="1"/>
  <c r="D144" i="25" s="1"/>
  <c r="AN7" i="18"/>
  <c r="AN10" i="18"/>
  <c r="K143" i="25" s="1"/>
  <c r="F143" i="25" s="1"/>
  <c r="V176" i="28"/>
  <c r="U97" i="28"/>
  <c r="W97" i="28" s="1"/>
  <c r="X97" i="28" s="1"/>
  <c r="U88" i="28"/>
  <c r="W88" i="28" s="1"/>
  <c r="X88" i="28" s="1"/>
  <c r="U80" i="28"/>
  <c r="T99" i="28"/>
  <c r="W99" i="28" s="1"/>
  <c r="X99" i="28" s="1"/>
  <c r="T95" i="28"/>
  <c r="T90" i="28"/>
  <c r="W90" i="28" s="1"/>
  <c r="X90" i="28" s="1"/>
  <c r="T86" i="28"/>
  <c r="T82" i="28"/>
  <c r="W82" i="28" s="1"/>
  <c r="X82" i="28" s="1"/>
  <c r="V192" i="28"/>
  <c r="W192" i="28" s="1"/>
  <c r="X192" i="28" s="1"/>
  <c r="V184" i="28"/>
  <c r="W184" i="28" s="1"/>
  <c r="V101" i="28"/>
  <c r="V92" i="28"/>
  <c r="V84" i="28"/>
  <c r="U104" i="28"/>
  <c r="U103" i="28"/>
  <c r="U95" i="28"/>
  <c r="U86" i="28"/>
  <c r="G75" i="6"/>
  <c r="U101" i="28"/>
  <c r="W101" i="28" s="1"/>
  <c r="X101" i="28" s="1"/>
  <c r="U92" i="28"/>
  <c r="W92" i="28" s="1"/>
  <c r="X92" i="28" s="1"/>
  <c r="U84" i="28"/>
  <c r="W84" i="28" s="1"/>
  <c r="X84" i="28" s="1"/>
  <c r="T104" i="28"/>
  <c r="W104" i="28" s="1"/>
  <c r="X104" i="28" s="1"/>
  <c r="V96" i="28"/>
  <c r="W96" i="28" s="1"/>
  <c r="X96" i="28" s="1"/>
  <c r="V87" i="28"/>
  <c r="W87" i="28" s="1"/>
  <c r="X87" i="28" s="1"/>
  <c r="V79" i="28"/>
  <c r="P19" i="16"/>
  <c r="H75" i="6"/>
  <c r="F138" i="6" s="1"/>
  <c r="V103" i="28"/>
  <c r="AG40" i="6"/>
  <c r="AG41" i="6"/>
  <c r="W40" i="6"/>
  <c r="W41" i="6" s="1"/>
  <c r="L116" i="25"/>
  <c r="F123" i="6"/>
  <c r="G123" i="6" s="1"/>
  <c r="J123" i="6"/>
  <c r="G137" i="6"/>
  <c r="I77" i="6"/>
  <c r="AI50" i="6"/>
  <c r="F126" i="6"/>
  <c r="G126" i="6" s="1"/>
  <c r="J126" i="6"/>
  <c r="H72" i="6"/>
  <c r="I72" i="6"/>
  <c r="D13" i="6"/>
  <c r="F72" i="6"/>
  <c r="G72" i="6"/>
  <c r="G9" i="41"/>
  <c r="C71" i="19"/>
  <c r="C23" i="19"/>
  <c r="E41" i="20"/>
  <c r="C46" i="19"/>
  <c r="E25" i="20"/>
  <c r="F24" i="20"/>
  <c r="D76" i="20"/>
  <c r="E15" i="19"/>
  <c r="F15" i="19" s="1"/>
  <c r="G4" i="41"/>
  <c r="C64" i="19"/>
  <c r="D22" i="19"/>
  <c r="D64" i="19" s="1"/>
  <c r="E75" i="20"/>
  <c r="E47" i="20"/>
  <c r="C15" i="18"/>
  <c r="V40" i="6"/>
  <c r="V41" i="6" s="1"/>
  <c r="E57" i="25"/>
  <c r="D4" i="42"/>
  <c r="D6" i="42" s="1"/>
  <c r="F39" i="20"/>
  <c r="F30" i="20"/>
  <c r="B85" i="20"/>
  <c r="D15" i="18"/>
  <c r="F27" i="20"/>
  <c r="C73" i="20"/>
  <c r="C24" i="19"/>
  <c r="D27" i="19" l="1"/>
  <c r="D69" i="19" s="1"/>
  <c r="C13" i="25"/>
  <c r="E127" i="6"/>
  <c r="D105" i="6" s="1"/>
  <c r="E79" i="20"/>
  <c r="F96" i="6"/>
  <c r="C67" i="19"/>
  <c r="D25" i="19"/>
  <c r="D67" i="19" s="1"/>
  <c r="G7" i="41"/>
  <c r="E10" i="25"/>
  <c r="G10" i="25" s="1"/>
  <c r="C12" i="25"/>
  <c r="C11" i="25"/>
  <c r="C10" i="25" s="1"/>
  <c r="F10" i="25"/>
  <c r="C15" i="25"/>
  <c r="F125" i="6"/>
  <c r="G125" i="6" s="1"/>
  <c r="H125" i="6" s="1"/>
  <c r="I83" i="6" s="1"/>
  <c r="J125" i="6"/>
  <c r="N50" i="31"/>
  <c r="N51" i="31"/>
  <c r="M50" i="31"/>
  <c r="AK14" i="16" s="1"/>
  <c r="F72" i="2" s="1"/>
  <c r="M51" i="31"/>
  <c r="K21" i="20"/>
  <c r="M21" i="20" s="1"/>
  <c r="O21" i="20" s="1"/>
  <c r="E8" i="18"/>
  <c r="E155" i="25"/>
  <c r="D155" i="25"/>
  <c r="G155" i="25" s="1"/>
  <c r="D8" i="18"/>
  <c r="G143" i="25"/>
  <c r="C64" i="28"/>
  <c r="C19" i="28"/>
  <c r="Q211" i="28"/>
  <c r="P211" i="28"/>
  <c r="R211" i="28"/>
  <c r="O213" i="28"/>
  <c r="P226" i="28"/>
  <c r="S226" i="28" s="1"/>
  <c r="T226" i="28" s="1"/>
  <c r="Q226" i="28"/>
  <c r="R226" i="28"/>
  <c r="L45" i="30"/>
  <c r="W103" i="28"/>
  <c r="X103" i="28" s="1"/>
  <c r="E59" i="28"/>
  <c r="E14" i="28"/>
  <c r="D7" i="18"/>
  <c r="G7" i="18" s="1"/>
  <c r="K38" i="49" s="1"/>
  <c r="D154" i="25"/>
  <c r="G154" i="25" s="1"/>
  <c r="G142" i="25"/>
  <c r="E154" i="25"/>
  <c r="E7" i="18"/>
  <c r="V197" i="28"/>
  <c r="P253" i="28"/>
  <c r="Q253" i="28"/>
  <c r="R253" i="28"/>
  <c r="R255" i="28" s="1"/>
  <c r="O255" i="28"/>
  <c r="R212" i="28"/>
  <c r="P212" i="28"/>
  <c r="Q212" i="28"/>
  <c r="E152" i="25"/>
  <c r="E6" i="18"/>
  <c r="U17" i="29"/>
  <c r="V18" i="29"/>
  <c r="W86" i="28"/>
  <c r="X86" i="28" s="1"/>
  <c r="L37" i="30"/>
  <c r="D4" i="6"/>
  <c r="AU48" i="6" s="1"/>
  <c r="AU46" i="6" s="1"/>
  <c r="F41" i="20"/>
  <c r="E81" i="20" s="1"/>
  <c r="P16" i="16"/>
  <c r="F8" i="18"/>
  <c r="F155" i="25"/>
  <c r="F154" i="25"/>
  <c r="F7" i="18"/>
  <c r="P225" i="28"/>
  <c r="Q225" i="28"/>
  <c r="R225" i="28"/>
  <c r="R227" i="28" s="1"/>
  <c r="R234" i="28" s="1"/>
  <c r="O227" i="28"/>
  <c r="O234" i="28" s="1"/>
  <c r="P25" i="1"/>
  <c r="G31" i="47"/>
  <c r="G32" i="47" s="1"/>
  <c r="K25" i="1"/>
  <c r="J25" i="1"/>
  <c r="I25" i="1"/>
  <c r="R233" i="28"/>
  <c r="L37" i="1"/>
  <c r="M37" i="1"/>
  <c r="L66" i="1"/>
  <c r="M66" i="1"/>
  <c r="D10" i="18"/>
  <c r="G10" i="18" s="1"/>
  <c r="G145" i="25"/>
  <c r="P245" i="28"/>
  <c r="Q245" i="28"/>
  <c r="R245" i="28"/>
  <c r="O247" i="28"/>
  <c r="V105" i="28"/>
  <c r="W79" i="28"/>
  <c r="W95" i="28"/>
  <c r="X95" i="28" s="1"/>
  <c r="K140" i="25"/>
  <c r="AN13" i="18"/>
  <c r="D152" i="25"/>
  <c r="G152" i="25" s="1"/>
  <c r="D6" i="18"/>
  <c r="G141" i="25"/>
  <c r="C54" i="28"/>
  <c r="C9" i="28"/>
  <c r="P254" i="28"/>
  <c r="S254" i="28" s="1"/>
  <c r="T254" i="28" s="1"/>
  <c r="Q254" i="28"/>
  <c r="R254" i="28"/>
  <c r="Q261" i="28"/>
  <c r="G67" i="20"/>
  <c r="G102" i="20" s="1"/>
  <c r="E80" i="20"/>
  <c r="M61" i="1"/>
  <c r="L61" i="1"/>
  <c r="F6" i="18"/>
  <c r="F152" i="25"/>
  <c r="P260" i="28"/>
  <c r="Q260" i="28"/>
  <c r="R260" i="28"/>
  <c r="R261" i="28" s="1"/>
  <c r="O261" i="28"/>
  <c r="F47" i="20"/>
  <c r="F88" i="20" s="1"/>
  <c r="G80" i="6"/>
  <c r="G90" i="6" s="1"/>
  <c r="G91" i="6" s="1"/>
  <c r="G92" i="6" s="1"/>
  <c r="G47" i="20"/>
  <c r="G88" i="20" s="1"/>
  <c r="F80" i="6"/>
  <c r="H80" i="6"/>
  <c r="H90" i="6" s="1"/>
  <c r="H91" i="6" s="1"/>
  <c r="H92" i="6" s="1"/>
  <c r="D9" i="18"/>
  <c r="G9" i="18" s="1"/>
  <c r="G144" i="25"/>
  <c r="J140" i="25"/>
  <c r="AM13" i="18"/>
  <c r="T105" i="28"/>
  <c r="P240" i="28"/>
  <c r="S240" i="28" s="1"/>
  <c r="T240" i="28" s="1"/>
  <c r="Q240" i="28"/>
  <c r="R240" i="28"/>
  <c r="P232" i="28"/>
  <c r="Q232" i="28"/>
  <c r="Q233" i="28" s="1"/>
  <c r="R232" i="28"/>
  <c r="O233" i="28"/>
  <c r="P261" i="28"/>
  <c r="S259" i="28"/>
  <c r="P233" i="28"/>
  <c r="S231" i="28"/>
  <c r="M53" i="1"/>
  <c r="L53" i="1"/>
  <c r="M58" i="1"/>
  <c r="K58" i="1"/>
  <c r="L58" i="1"/>
  <c r="E138" i="6"/>
  <c r="I75" i="6"/>
  <c r="AI29" i="6" s="1"/>
  <c r="AI30" i="6" s="1"/>
  <c r="W197" i="28"/>
  <c r="X184" i="28"/>
  <c r="X197" i="28" s="1"/>
  <c r="U105" i="28"/>
  <c r="W80" i="28"/>
  <c r="X80" i="28" s="1"/>
  <c r="I140" i="25"/>
  <c r="AL13" i="18"/>
  <c r="D54" i="28"/>
  <c r="D9" i="28"/>
  <c r="Q218" i="28"/>
  <c r="P218" i="28"/>
  <c r="R218" i="28"/>
  <c r="R219" i="28" s="1"/>
  <c r="O219" i="28"/>
  <c r="N11" i="25"/>
  <c r="O25" i="1"/>
  <c r="Q25" i="1"/>
  <c r="G62" i="20"/>
  <c r="G98" i="20" s="1"/>
  <c r="C59" i="28"/>
  <c r="C14" i="28"/>
  <c r="Q219" i="28"/>
  <c r="H4" i="20"/>
  <c r="P44" i="30"/>
  <c r="E54" i="28"/>
  <c r="E9" i="28"/>
  <c r="L28" i="30"/>
  <c r="L29" i="30" s="1"/>
  <c r="O27" i="30"/>
  <c r="P239" i="28"/>
  <c r="Q239" i="28"/>
  <c r="Q241" i="28" s="1"/>
  <c r="R239" i="28"/>
  <c r="R241" i="28" s="1"/>
  <c r="O241" i="28"/>
  <c r="O248" i="28" s="1"/>
  <c r="P246" i="28"/>
  <c r="Q246" i="28"/>
  <c r="R246" i="28"/>
  <c r="P219" i="28"/>
  <c r="S217" i="28"/>
  <c r="D5" i="6"/>
  <c r="AU43" i="6" s="1"/>
  <c r="E133" i="6"/>
  <c r="AI36" i="6"/>
  <c r="D133" i="6"/>
  <c r="F28" i="20"/>
  <c r="E77" i="20"/>
  <c r="E6" i="43"/>
  <c r="C22" i="43" s="1"/>
  <c r="F40" i="20"/>
  <c r="E39" i="20"/>
  <c r="AU47" i="6"/>
  <c r="D98" i="6"/>
  <c r="E98" i="6"/>
  <c r="D96" i="6"/>
  <c r="E96" i="6"/>
  <c r="H126" i="6"/>
  <c r="I84" i="6" s="1"/>
  <c r="G84" i="6"/>
  <c r="F63" i="20"/>
  <c r="F99" i="20" s="1"/>
  <c r="G63" i="20"/>
  <c r="G99" i="20" s="1"/>
  <c r="E35" i="20"/>
  <c r="G6" i="41"/>
  <c r="C66" i="19"/>
  <c r="D24" i="19"/>
  <c r="D66" i="19" s="1"/>
  <c r="D45" i="19"/>
  <c r="E48" i="20"/>
  <c r="G111" i="20"/>
  <c r="G134" i="20" s="1"/>
  <c r="C141" i="18"/>
  <c r="F48" i="20"/>
  <c r="F112" i="20" s="1"/>
  <c r="G48" i="20"/>
  <c r="G112" i="20" s="1"/>
  <c r="F111" i="20"/>
  <c r="F134" i="20" s="1"/>
  <c r="E22" i="20"/>
  <c r="C45" i="19" s="1"/>
  <c r="E111" i="20"/>
  <c r="G82" i="6"/>
  <c r="H123" i="6"/>
  <c r="I82" i="6" s="1"/>
  <c r="D46" i="19"/>
  <c r="F52" i="20"/>
  <c r="F91" i="20" s="1"/>
  <c r="E76" i="20"/>
  <c r="F25" i="20"/>
  <c r="E52" i="20"/>
  <c r="G52" i="20"/>
  <c r="G91" i="20" s="1"/>
  <c r="BA52" i="6"/>
  <c r="C21" i="19"/>
  <c r="D81" i="20"/>
  <c r="C115" i="18"/>
  <c r="F133" i="6"/>
  <c r="D49" i="19"/>
  <c r="C146" i="18"/>
  <c r="F65" i="20"/>
  <c r="F122" i="20" s="1"/>
  <c r="G65" i="20"/>
  <c r="G122" i="20" s="1"/>
  <c r="E36" i="20"/>
  <c r="C49" i="19" s="1"/>
  <c r="Z40" i="6"/>
  <c r="Z41" i="6" s="1"/>
  <c r="C16" i="18"/>
  <c r="BA41" i="6"/>
  <c r="BA42" i="6" s="1"/>
  <c r="E15" i="18"/>
  <c r="F5" i="41"/>
  <c r="C78" i="19"/>
  <c r="Y51" i="6"/>
  <c r="Y53" i="6" s="1"/>
  <c r="Y54" i="6" s="1"/>
  <c r="AI51" i="6"/>
  <c r="Z51" i="6" s="1"/>
  <c r="E78" i="20"/>
  <c r="G58" i="20"/>
  <c r="G95" i="20" s="1"/>
  <c r="F31" i="20"/>
  <c r="F32" i="20" s="1"/>
  <c r="E10" i="42"/>
  <c r="E12" i="42" s="1"/>
  <c r="C17" i="42" s="1"/>
  <c r="D10" i="42"/>
  <c r="D12" i="42" s="1"/>
  <c r="C16" i="42" s="1"/>
  <c r="E88" i="20"/>
  <c r="D23" i="19"/>
  <c r="D65" i="19" s="1"/>
  <c r="G5" i="41"/>
  <c r="C65" i="19"/>
  <c r="G127" i="6" l="1"/>
  <c r="D3" i="6"/>
  <c r="H47" i="20"/>
  <c r="E22" i="19" s="1"/>
  <c r="G83" i="6"/>
  <c r="F127" i="6"/>
  <c r="E97" i="6"/>
  <c r="E99" i="6" s="1"/>
  <c r="D97" i="6"/>
  <c r="D99" i="6" s="1"/>
  <c r="F97" i="6"/>
  <c r="G138" i="6"/>
  <c r="H138" i="6"/>
  <c r="E55" i="28"/>
  <c r="E57" i="28" s="1"/>
  <c r="E10" i="28"/>
  <c r="S246" i="28"/>
  <c r="T246" i="28" s="1"/>
  <c r="C49" i="28"/>
  <c r="C4" i="28"/>
  <c r="P247" i="28"/>
  <c r="S245" i="28"/>
  <c r="Q227" i="28"/>
  <c r="Q234" i="28" s="1"/>
  <c r="Q255" i="28"/>
  <c r="Q262" i="28" s="1"/>
  <c r="O220" i="28"/>
  <c r="D140" i="25"/>
  <c r="I146" i="25"/>
  <c r="F140" i="25"/>
  <c r="K146" i="25"/>
  <c r="M25" i="1"/>
  <c r="L25" i="1"/>
  <c r="P227" i="28"/>
  <c r="P234" i="28" s="1"/>
  <c r="S225" i="28"/>
  <c r="P255" i="28"/>
  <c r="P262" i="28" s="1"/>
  <c r="S253" i="28"/>
  <c r="R213" i="28"/>
  <c r="R220" i="28" s="1"/>
  <c r="E140" i="25"/>
  <c r="J146" i="25"/>
  <c r="F20" i="16"/>
  <c r="AK16" i="16"/>
  <c r="AK20" i="16"/>
  <c r="E64" i="28"/>
  <c r="E19" i="28"/>
  <c r="P213" i="28"/>
  <c r="P220" i="28" s="1"/>
  <c r="S211" i="28"/>
  <c r="D49" i="28"/>
  <c r="D4" i="28"/>
  <c r="F9" i="28"/>
  <c r="W105" i="28"/>
  <c r="X79" i="28"/>
  <c r="X105" i="28" s="1"/>
  <c r="O45" i="30"/>
  <c r="P45" i="30" s="1"/>
  <c r="L47" i="30"/>
  <c r="Q213" i="28"/>
  <c r="Q220" i="28" s="1"/>
  <c r="T217" i="28"/>
  <c r="S219" i="28"/>
  <c r="P241" i="28"/>
  <c r="P248" i="28" s="1"/>
  <c r="S239" i="28"/>
  <c r="F14" i="28"/>
  <c r="S218" i="28"/>
  <c r="T218" i="28" s="1"/>
  <c r="S232" i="28"/>
  <c r="T232" i="28" s="1"/>
  <c r="F54" i="28"/>
  <c r="E49" i="28"/>
  <c r="E4" i="28"/>
  <c r="D58" i="25"/>
  <c r="D59" i="25" s="1"/>
  <c r="E59" i="25" s="1"/>
  <c r="F59" i="25" s="1"/>
  <c r="D17" i="18"/>
  <c r="D16" i="18" s="1"/>
  <c r="E16" i="18" s="1"/>
  <c r="S25" i="1"/>
  <c r="L38" i="30"/>
  <c r="L39" i="30" s="1"/>
  <c r="O37" i="30"/>
  <c r="S212" i="28"/>
  <c r="T212" i="28" s="1"/>
  <c r="F19" i="28"/>
  <c r="P27" i="30"/>
  <c r="P28" i="30" s="1"/>
  <c r="P29" i="30" s="1"/>
  <c r="O28" i="30"/>
  <c r="O29" i="30" s="1"/>
  <c r="F59" i="28"/>
  <c r="T231" i="28"/>
  <c r="T233" i="28" s="1"/>
  <c r="S260" i="28"/>
  <c r="T260" i="28" s="1"/>
  <c r="F64" i="28"/>
  <c r="F90" i="6"/>
  <c r="F91" i="6" s="1"/>
  <c r="F92" i="6" s="1"/>
  <c r="I80" i="6"/>
  <c r="I90" i="6" s="1"/>
  <c r="I91" i="6" s="1"/>
  <c r="I92" i="6" s="1"/>
  <c r="G6" i="18"/>
  <c r="K37" i="49" s="1"/>
  <c r="R247" i="28"/>
  <c r="R248" i="28" s="1"/>
  <c r="O262" i="28"/>
  <c r="E12" i="28"/>
  <c r="T259" i="28"/>
  <c r="Q247" i="28"/>
  <c r="Q248" i="28" s="1"/>
  <c r="D67" i="2"/>
  <c r="E69" i="20" s="1"/>
  <c r="P18" i="16"/>
  <c r="P15" i="16"/>
  <c r="T17" i="29"/>
  <c r="Q17" i="29" s="1"/>
  <c r="V17" i="29"/>
  <c r="R262" i="28"/>
  <c r="G8" i="18"/>
  <c r="AK13" i="16"/>
  <c r="E72" i="2" s="1"/>
  <c r="L50" i="31"/>
  <c r="E17" i="42"/>
  <c r="F51" i="20" s="1"/>
  <c r="F114" i="20" s="1"/>
  <c r="F17" i="42"/>
  <c r="G51" i="20" s="1"/>
  <c r="G114" i="20" s="1"/>
  <c r="D17" i="42"/>
  <c r="C143" i="18"/>
  <c r="G135" i="20"/>
  <c r="D77" i="19"/>
  <c r="D37" i="19"/>
  <c r="X47" i="6"/>
  <c r="AI38" i="6"/>
  <c r="AU41" i="6"/>
  <c r="AU53" i="6"/>
  <c r="G25" i="47" s="1"/>
  <c r="F59" i="20"/>
  <c r="F96" i="20" s="1"/>
  <c r="F68" i="20"/>
  <c r="F103" i="20" s="1"/>
  <c r="G59" i="20"/>
  <c r="G96" i="20" s="1"/>
  <c r="G68" i="20"/>
  <c r="G103" i="20" s="1"/>
  <c r="E31" i="20"/>
  <c r="E59" i="20"/>
  <c r="D21" i="19"/>
  <c r="D63" i="19" s="1"/>
  <c r="D73" i="19" s="1"/>
  <c r="G19" i="19"/>
  <c r="E13" i="19"/>
  <c r="G8" i="19"/>
  <c r="G9" i="19"/>
  <c r="G6" i="19"/>
  <c r="C63" i="19"/>
  <c r="C73" i="19" s="1"/>
  <c r="D38" i="19"/>
  <c r="D78" i="19"/>
  <c r="D50" i="19"/>
  <c r="C147" i="18"/>
  <c r="E40" i="20"/>
  <c r="F135" i="20"/>
  <c r="E141" i="6"/>
  <c r="H127" i="6"/>
  <c r="C144" i="18"/>
  <c r="E7" i="43"/>
  <c r="C23" i="43" s="1"/>
  <c r="E28" i="20"/>
  <c r="D47" i="19"/>
  <c r="H111" i="20"/>
  <c r="H134" i="20" s="1"/>
  <c r="E134" i="20"/>
  <c r="H88" i="20"/>
  <c r="E53" i="20"/>
  <c r="F53" i="20"/>
  <c r="F115" i="20" s="1"/>
  <c r="C142" i="18"/>
  <c r="G53" i="20"/>
  <c r="G115" i="20" s="1"/>
  <c r="F4" i="41"/>
  <c r="C77" i="19"/>
  <c r="H48" i="20"/>
  <c r="K47" i="20" s="1"/>
  <c r="E112" i="20"/>
  <c r="F60" i="20"/>
  <c r="F120" i="20" s="1"/>
  <c r="E32" i="20"/>
  <c r="C48" i="19" s="1"/>
  <c r="F69" i="20"/>
  <c r="F125" i="20" s="1"/>
  <c r="G60" i="20"/>
  <c r="G120" i="20" s="1"/>
  <c r="D48" i="19"/>
  <c r="G69" i="20"/>
  <c r="G125" i="20" s="1"/>
  <c r="C145" i="18"/>
  <c r="F8" i="41"/>
  <c r="C81" i="19"/>
  <c r="E22" i="43"/>
  <c r="F55" i="20" s="1"/>
  <c r="F93" i="20" s="1"/>
  <c r="D22" i="43"/>
  <c r="F22" i="43"/>
  <c r="G55" i="20" s="1"/>
  <c r="G93" i="20" s="1"/>
  <c r="H52" i="20"/>
  <c r="H91" i="20" s="1"/>
  <c r="E91" i="20"/>
  <c r="C125" i="18"/>
  <c r="F16" i="42"/>
  <c r="G50" i="20" s="1"/>
  <c r="G90" i="20" s="1"/>
  <c r="D16" i="42"/>
  <c r="E16" i="42"/>
  <c r="F50" i="20" s="1"/>
  <c r="F90" i="20" s="1"/>
  <c r="F25" i="47"/>
  <c r="D41" i="19"/>
  <c r="D81" i="19"/>
  <c r="E115" i="18"/>
  <c r="F115" i="18"/>
  <c r="G133" i="18"/>
  <c r="D115" i="18"/>
  <c r="G133" i="6"/>
  <c r="I139" i="6" s="1"/>
  <c r="I142" i="6" s="1"/>
  <c r="H133" i="6"/>
  <c r="D44" i="19" l="1"/>
  <c r="D76" i="19" s="1"/>
  <c r="D83" i="19" s="1"/>
  <c r="D60" i="28"/>
  <c r="D62" i="28" s="1"/>
  <c r="D15" i="28"/>
  <c r="D17" i="28" s="1"/>
  <c r="E60" i="28"/>
  <c r="E62" i="28" s="1"/>
  <c r="E15" i="28"/>
  <c r="E17" i="28" s="1"/>
  <c r="S233" i="28"/>
  <c r="C60" i="28"/>
  <c r="C15" i="28"/>
  <c r="S255" i="28"/>
  <c r="S262" i="28" s="1"/>
  <c r="T253" i="28"/>
  <c r="T255" i="28" s="1"/>
  <c r="F4" i="28"/>
  <c r="D72" i="2"/>
  <c r="AK18" i="16"/>
  <c r="F49" i="28"/>
  <c r="E60" i="20"/>
  <c r="E120" i="20" s="1"/>
  <c r="F62" i="20"/>
  <c r="F98" i="20" s="1"/>
  <c r="F58" i="20"/>
  <c r="F95" i="20" s="1"/>
  <c r="F67" i="20"/>
  <c r="F102" i="20" s="1"/>
  <c r="P37" i="30"/>
  <c r="P38" i="30" s="1"/>
  <c r="P39" i="30" s="1"/>
  <c r="O38" i="30"/>
  <c r="O39" i="30" s="1"/>
  <c r="T219" i="28"/>
  <c r="D7" i="28"/>
  <c r="T225" i="28"/>
  <c r="T227" i="28" s="1"/>
  <c r="T234" i="28" s="1"/>
  <c r="S227" i="28"/>
  <c r="D151" i="25"/>
  <c r="D5" i="18"/>
  <c r="G140" i="25"/>
  <c r="D146" i="25"/>
  <c r="S261" i="28"/>
  <c r="D50" i="28"/>
  <c r="D5" i="28"/>
  <c r="D52" i="28"/>
  <c r="C55" i="28"/>
  <c r="C10" i="28"/>
  <c r="O52" i="31"/>
  <c r="P50" i="31"/>
  <c r="AK15" i="16"/>
  <c r="C65" i="28"/>
  <c r="C20" i="28"/>
  <c r="E65" i="28"/>
  <c r="E67" i="28" s="1"/>
  <c r="E20" i="28"/>
  <c r="T261" i="28"/>
  <c r="L48" i="30"/>
  <c r="O47" i="30"/>
  <c r="T211" i="28"/>
  <c r="T213" i="28" s="1"/>
  <c r="T220" i="28" s="1"/>
  <c r="S213" i="28"/>
  <c r="S220" i="28" s="1"/>
  <c r="E151" i="25"/>
  <c r="E156" i="25" s="1"/>
  <c r="E5" i="18"/>
  <c r="E11" i="18" s="1"/>
  <c r="E146" i="25"/>
  <c r="D65" i="28"/>
  <c r="D67" i="28" s="1"/>
  <c r="D20" i="28"/>
  <c r="D22" i="28" s="1"/>
  <c r="C50" i="28"/>
  <c r="C5" i="28"/>
  <c r="T61" i="29"/>
  <c r="Q61" i="29" s="1"/>
  <c r="T54" i="29"/>
  <c r="Q54" i="29" s="1"/>
  <c r="T55" i="29"/>
  <c r="Q55" i="29" s="1"/>
  <c r="D55" i="28"/>
  <c r="D57" i="28" s="1"/>
  <c r="D10" i="28"/>
  <c r="D12" i="28" s="1"/>
  <c r="J81" i="31"/>
  <c r="J66" i="31"/>
  <c r="J67" i="31"/>
  <c r="J82" i="31"/>
  <c r="J68" i="31"/>
  <c r="J83" i="31"/>
  <c r="E22" i="28"/>
  <c r="E50" i="28"/>
  <c r="E52" i="28" s="1"/>
  <c r="E5" i="28"/>
  <c r="T245" i="28"/>
  <c r="T247" i="28" s="1"/>
  <c r="S247" i="28"/>
  <c r="E5" i="20"/>
  <c r="H5" i="20" s="1"/>
  <c r="G67" i="2"/>
  <c r="E68" i="20"/>
  <c r="E103" i="20" s="1"/>
  <c r="E63" i="20"/>
  <c r="E65" i="20"/>
  <c r="E7" i="28"/>
  <c r="E23" i="28" s="1"/>
  <c r="T239" i="28"/>
  <c r="T241" i="28" s="1"/>
  <c r="T248" i="28" s="1"/>
  <c r="S241" i="28"/>
  <c r="S248" i="28" s="1"/>
  <c r="F5" i="18"/>
  <c r="F11" i="18" s="1"/>
  <c r="F151" i="25"/>
  <c r="F156" i="25" s="1"/>
  <c r="F146" i="25"/>
  <c r="D133" i="18"/>
  <c r="E116" i="18"/>
  <c r="H60" i="20"/>
  <c r="E135" i="20"/>
  <c r="D39" i="19"/>
  <c r="D79" i="19"/>
  <c r="E133" i="18"/>
  <c r="F116" i="18"/>
  <c r="D125" i="18"/>
  <c r="E125" i="18"/>
  <c r="F125" i="18"/>
  <c r="H112" i="20"/>
  <c r="E45" i="19"/>
  <c r="D7" i="43"/>
  <c r="C47" i="19"/>
  <c r="F16" i="18"/>
  <c r="G16" i="18" s="1"/>
  <c r="E55" i="20"/>
  <c r="G22" i="43"/>
  <c r="C50" i="19"/>
  <c r="K39" i="20"/>
  <c r="M75" i="6"/>
  <c r="L77" i="6"/>
  <c r="AW53" i="6"/>
  <c r="N75" i="6"/>
  <c r="M76" i="6"/>
  <c r="O75" i="6"/>
  <c r="N77" i="6"/>
  <c r="L75" i="6"/>
  <c r="N76" i="6"/>
  <c r="M77" i="6"/>
  <c r="N72" i="6"/>
  <c r="M72" i="6"/>
  <c r="L72" i="6"/>
  <c r="O72" i="6"/>
  <c r="O77" i="6"/>
  <c r="F22" i="47"/>
  <c r="E23" i="43"/>
  <c r="F56" i="20" s="1"/>
  <c r="F117" i="20" s="1"/>
  <c r="F23" i="43"/>
  <c r="G56" i="20" s="1"/>
  <c r="G117" i="20" s="1"/>
  <c r="D23" i="43"/>
  <c r="D40" i="19"/>
  <c r="C4" i="48"/>
  <c r="C15" i="48" s="1"/>
  <c r="D80" i="19"/>
  <c r="AU42" i="6"/>
  <c r="AU51" i="6"/>
  <c r="E143" i="18"/>
  <c r="F143" i="18"/>
  <c r="G143" i="18"/>
  <c r="F7" i="47"/>
  <c r="F27" i="47"/>
  <c r="F104" i="20"/>
  <c r="C5" i="48"/>
  <c r="C6" i="48" s="1"/>
  <c r="C9" i="48" s="1"/>
  <c r="C11" i="48" s="1"/>
  <c r="C12" i="48" s="1"/>
  <c r="F7" i="41"/>
  <c r="C80" i="19"/>
  <c r="D82" i="19"/>
  <c r="D42" i="19"/>
  <c r="H59" i="20"/>
  <c r="E96" i="20"/>
  <c r="E51" i="20"/>
  <c r="G17" i="42"/>
  <c r="E144" i="18"/>
  <c r="F144" i="18"/>
  <c r="G144" i="18"/>
  <c r="H68" i="20"/>
  <c r="G115" i="18"/>
  <c r="G116" i="18" s="1"/>
  <c r="G14" i="19" s="1"/>
  <c r="E14" i="19" s="1"/>
  <c r="C133" i="18"/>
  <c r="D116" i="18"/>
  <c r="G16" i="42"/>
  <c r="E50" i="20"/>
  <c r="G27" i="47"/>
  <c r="G22" i="47"/>
  <c r="H69" i="20"/>
  <c r="E125" i="20"/>
  <c r="Z47" i="6"/>
  <c r="AI37" i="6"/>
  <c r="H22" i="19"/>
  <c r="E64" i="19"/>
  <c r="N64" i="19" s="1"/>
  <c r="F22" i="19"/>
  <c r="G22" i="19"/>
  <c r="G104" i="20"/>
  <c r="H53" i="20"/>
  <c r="H115" i="20" s="1"/>
  <c r="E115" i="20"/>
  <c r="G141" i="6"/>
  <c r="E20" i="19" s="1"/>
  <c r="H141" i="6"/>
  <c r="F13" i="19"/>
  <c r="F133" i="18" l="1"/>
  <c r="E68" i="28"/>
  <c r="L37" i="31"/>
  <c r="O37" i="31" s="1"/>
  <c r="P37" i="31" s="1"/>
  <c r="J85" i="31"/>
  <c r="J87" i="31"/>
  <c r="J71" i="31"/>
  <c r="J86" i="31"/>
  <c r="L36" i="31" s="1"/>
  <c r="O36" i="31" s="1"/>
  <c r="P36" i="31" s="1"/>
  <c r="J72" i="31"/>
  <c r="J70" i="31"/>
  <c r="G146" i="25"/>
  <c r="F52" i="28"/>
  <c r="F60" i="28"/>
  <c r="F62" i="28" s="1"/>
  <c r="C62" i="28"/>
  <c r="F10" i="28"/>
  <c r="F12" i="28" s="1"/>
  <c r="C12" i="28"/>
  <c r="J91" i="31"/>
  <c r="J90" i="31"/>
  <c r="J76" i="31"/>
  <c r="L27" i="31" s="1"/>
  <c r="J89" i="31"/>
  <c r="J75" i="31"/>
  <c r="J74" i="31"/>
  <c r="D19" i="48"/>
  <c r="F110" i="20"/>
  <c r="F133" i="20" s="1"/>
  <c r="F136" i="20" s="1"/>
  <c r="F141" i="18"/>
  <c r="F55" i="28"/>
  <c r="F57" i="28" s="1"/>
  <c r="C57" i="28"/>
  <c r="D11" i="18"/>
  <c r="G5" i="18"/>
  <c r="K36" i="49" s="1"/>
  <c r="K45" i="49" s="1"/>
  <c r="G72" i="2"/>
  <c r="E62" i="20"/>
  <c r="E67" i="20"/>
  <c r="E58" i="20"/>
  <c r="L26" i="31"/>
  <c r="F5" i="28"/>
  <c r="F7" i="28" s="1"/>
  <c r="F23" i="28" s="1"/>
  <c r="F20" i="28"/>
  <c r="F22" i="28" s="1"/>
  <c r="C22" i="28"/>
  <c r="D68" i="28"/>
  <c r="D156" i="25"/>
  <c r="G156" i="25" s="1"/>
  <c r="G151" i="25"/>
  <c r="L25" i="31"/>
  <c r="F50" i="28"/>
  <c r="F65" i="28"/>
  <c r="F67" i="28" s="1"/>
  <c r="C67" i="28"/>
  <c r="S234" i="28"/>
  <c r="C7" i="28"/>
  <c r="E122" i="20"/>
  <c r="H65" i="20"/>
  <c r="L35" i="31"/>
  <c r="T262" i="28"/>
  <c r="E19" i="48"/>
  <c r="G110" i="20"/>
  <c r="G133" i="20" s="1"/>
  <c r="G136" i="20" s="1"/>
  <c r="G141" i="18"/>
  <c r="H63" i="20"/>
  <c r="E99" i="20"/>
  <c r="P47" i="30"/>
  <c r="P48" i="30" s="1"/>
  <c r="P49" i="30" s="1"/>
  <c r="O48" i="30"/>
  <c r="O49" i="30" s="1"/>
  <c r="D23" i="28"/>
  <c r="L49" i="30"/>
  <c r="L50" i="30"/>
  <c r="C52" i="28"/>
  <c r="F15" i="28"/>
  <c r="F17" i="28" s="1"/>
  <c r="C17" i="28"/>
  <c r="H50" i="20"/>
  <c r="E90" i="20"/>
  <c r="G20" i="19"/>
  <c r="F20" i="19"/>
  <c r="E26" i="19"/>
  <c r="H96" i="20"/>
  <c r="H143" i="18"/>
  <c r="E30" i="19"/>
  <c r="H103" i="20"/>
  <c r="G23" i="43"/>
  <c r="E56" i="20"/>
  <c r="H55" i="20"/>
  <c r="E93" i="20"/>
  <c r="F14" i="19"/>
  <c r="H45" i="19"/>
  <c r="E77" i="19"/>
  <c r="O64" i="19" s="1"/>
  <c r="F45" i="19"/>
  <c r="G45" i="19"/>
  <c r="AI39" i="6"/>
  <c r="F20" i="47" s="1"/>
  <c r="AM41" i="6"/>
  <c r="G135" i="25"/>
  <c r="W44" i="6"/>
  <c r="AZ34" i="6"/>
  <c r="AY52" i="6" s="1"/>
  <c r="AU52" i="6"/>
  <c r="BA43" i="6"/>
  <c r="F4" i="47"/>
  <c r="H135" i="20"/>
  <c r="G125" i="18"/>
  <c r="E16" i="19" s="1"/>
  <c r="E48" i="19"/>
  <c r="H120" i="20"/>
  <c r="F6" i="41"/>
  <c r="C79" i="19"/>
  <c r="C44" i="19"/>
  <c r="C76" i="19" s="1"/>
  <c r="C83" i="19" s="1"/>
  <c r="H144" i="18"/>
  <c r="E39" i="19" s="1"/>
  <c r="C82" i="19"/>
  <c r="F9" i="41"/>
  <c r="E50" i="19"/>
  <c r="H125" i="20"/>
  <c r="E114" i="20"/>
  <c r="H51" i="20"/>
  <c r="D18" i="48"/>
  <c r="D20" i="48" s="1"/>
  <c r="D88" i="18" s="1"/>
  <c r="D91" i="18" s="1"/>
  <c r="C18" i="48"/>
  <c r="E18" i="48"/>
  <c r="E20" i="48" s="1"/>
  <c r="E88" i="18" s="1"/>
  <c r="E91" i="18" s="1"/>
  <c r="D21" i="18"/>
  <c r="E21" i="18"/>
  <c r="D131" i="18" s="1"/>
  <c r="D134" i="18" s="1"/>
  <c r="F21" i="18"/>
  <c r="E131" i="18" s="1"/>
  <c r="E134" i="18" s="1"/>
  <c r="G131" i="18"/>
  <c r="O27" i="31" l="1"/>
  <c r="P27" i="31" s="1"/>
  <c r="L47" i="31"/>
  <c r="O47" i="31" s="1"/>
  <c r="E102" i="20"/>
  <c r="H67" i="20"/>
  <c r="L28" i="31"/>
  <c r="L45" i="31"/>
  <c r="O25" i="31"/>
  <c r="P25" i="31" s="1"/>
  <c r="C68" i="28"/>
  <c r="H99" i="20"/>
  <c r="E28" i="19"/>
  <c r="C23" i="28"/>
  <c r="H62" i="20"/>
  <c r="E98" i="20"/>
  <c r="G11" i="18"/>
  <c r="C19" i="48"/>
  <c r="F19" i="48" s="1"/>
  <c r="E110" i="20"/>
  <c r="E141" i="18"/>
  <c r="H141" i="18" s="1"/>
  <c r="E37" i="19" s="1"/>
  <c r="F37" i="19" s="1"/>
  <c r="L38" i="31"/>
  <c r="O35" i="31"/>
  <c r="P35" i="31" s="1"/>
  <c r="F68" i="28"/>
  <c r="F7" i="19" s="1"/>
  <c r="O26" i="31"/>
  <c r="P26" i="31" s="1"/>
  <c r="L46" i="31"/>
  <c r="O46" i="31" s="1"/>
  <c r="E49" i="19"/>
  <c r="H122" i="20"/>
  <c r="E95" i="20"/>
  <c r="H58" i="20"/>
  <c r="G146" i="18"/>
  <c r="G145" i="18"/>
  <c r="G119" i="20" s="1"/>
  <c r="G147" i="18"/>
  <c r="G124" i="20" s="1"/>
  <c r="W45" i="6"/>
  <c r="V44" i="6"/>
  <c r="F18" i="48"/>
  <c r="G50" i="19"/>
  <c r="H50" i="19"/>
  <c r="F50" i="19"/>
  <c r="E82" i="19"/>
  <c r="O71" i="19" s="1"/>
  <c r="F135" i="25"/>
  <c r="D135" i="25"/>
  <c r="E135" i="25"/>
  <c r="C135" i="25"/>
  <c r="F146" i="18"/>
  <c r="F145" i="18"/>
  <c r="F119" i="20" s="1"/>
  <c r="F147" i="18"/>
  <c r="F124" i="20" s="1"/>
  <c r="F76" i="6"/>
  <c r="AU34" i="6"/>
  <c r="F16" i="19"/>
  <c r="G16" i="19"/>
  <c r="E117" i="20"/>
  <c r="H56" i="20"/>
  <c r="E46" i="19"/>
  <c r="H114" i="20"/>
  <c r="F48" i="19"/>
  <c r="H48" i="19"/>
  <c r="E80" i="19"/>
  <c r="O67" i="19" s="1"/>
  <c r="G48" i="19"/>
  <c r="E24" i="19"/>
  <c r="H93" i="20"/>
  <c r="F26" i="19"/>
  <c r="E68" i="19"/>
  <c r="G26" i="19"/>
  <c r="Z44" i="6"/>
  <c r="Z45" i="6" s="1"/>
  <c r="G37" i="19"/>
  <c r="H37" i="19"/>
  <c r="E72" i="19"/>
  <c r="G30" i="19"/>
  <c r="F30" i="19"/>
  <c r="F39" i="19"/>
  <c r="G39" i="19"/>
  <c r="G21" i="18"/>
  <c r="G12" i="19" s="1"/>
  <c r="C131" i="18"/>
  <c r="V43" i="6"/>
  <c r="AY41" i="6"/>
  <c r="AY47" i="6"/>
  <c r="AY42" i="6"/>
  <c r="E23" i="19"/>
  <c r="H90" i="20"/>
  <c r="G126" i="20" l="1"/>
  <c r="E104" i="20"/>
  <c r="V45" i="6"/>
  <c r="S46" i="31"/>
  <c r="P46" i="31"/>
  <c r="F49" i="19"/>
  <c r="G49" i="19"/>
  <c r="E81" i="19"/>
  <c r="O69" i="19" s="1"/>
  <c r="L48" i="31"/>
  <c r="O45" i="31"/>
  <c r="F126" i="20"/>
  <c r="E7" i="19"/>
  <c r="F5" i="19"/>
  <c r="F60" i="19" s="1"/>
  <c r="H98" i="20"/>
  <c r="E27" i="19"/>
  <c r="O28" i="31"/>
  <c r="L29" i="31"/>
  <c r="L30" i="31" s="1"/>
  <c r="O30" i="31" s="1"/>
  <c r="P30" i="31" s="1"/>
  <c r="J67" i="20"/>
  <c r="E29" i="19"/>
  <c r="H102" i="20"/>
  <c r="H95" i="20"/>
  <c r="E25" i="19"/>
  <c r="O38" i="31"/>
  <c r="L39" i="31"/>
  <c r="L40" i="31" s="1"/>
  <c r="O40" i="31" s="1"/>
  <c r="P40" i="31" s="1"/>
  <c r="G28" i="19"/>
  <c r="F28" i="19"/>
  <c r="E70" i="19"/>
  <c r="N70" i="19" s="1"/>
  <c r="P47" i="31"/>
  <c r="S47" i="31"/>
  <c r="C20" i="48"/>
  <c r="E133" i="20"/>
  <c r="E136" i="20" s="1"/>
  <c r="H110" i="20"/>
  <c r="H133" i="20" s="1"/>
  <c r="H136" i="20" s="1"/>
  <c r="E12" i="19"/>
  <c r="G11" i="19"/>
  <c r="E65" i="19"/>
  <c r="N65" i="19" s="1"/>
  <c r="F23" i="19"/>
  <c r="G23" i="19"/>
  <c r="F131" i="18"/>
  <c r="F134" i="18" s="1"/>
  <c r="C134" i="18"/>
  <c r="F46" i="19"/>
  <c r="G46" i="19"/>
  <c r="E78" i="19"/>
  <c r="O65" i="19" s="1"/>
  <c r="AL36" i="6"/>
  <c r="D134" i="6"/>
  <c r="I76" i="6"/>
  <c r="L76" i="6"/>
  <c r="G24" i="19"/>
  <c r="E66" i="19"/>
  <c r="N66" i="19" s="1"/>
  <c r="F24" i="19"/>
  <c r="C88" i="18"/>
  <c r="F20" i="48"/>
  <c r="H117" i="20"/>
  <c r="E47" i="19"/>
  <c r="E44" i="19" s="1"/>
  <c r="AU35" i="6"/>
  <c r="G74" i="6"/>
  <c r="F74" i="6"/>
  <c r="H74" i="6"/>
  <c r="C145" i="6"/>
  <c r="C146" i="6" s="1"/>
  <c r="AU36" i="6"/>
  <c r="AY38" i="6"/>
  <c r="H104" i="20" l="1"/>
  <c r="E21" i="19"/>
  <c r="F21" i="19" s="1"/>
  <c r="F63" i="19" s="1"/>
  <c r="P38" i="31"/>
  <c r="P39" i="31" s="1"/>
  <c r="O39" i="31"/>
  <c r="L49" i="31"/>
  <c r="L51" i="31" s="1"/>
  <c r="O51" i="31" s="1"/>
  <c r="P51" i="31" s="1"/>
  <c r="O48" i="31"/>
  <c r="S45" i="31"/>
  <c r="P45" i="31"/>
  <c r="O29" i="31"/>
  <c r="P28" i="31"/>
  <c r="P29" i="31" s="1"/>
  <c r="N72" i="19"/>
  <c r="H25" i="19"/>
  <c r="E67" i="19"/>
  <c r="N67" i="19" s="1"/>
  <c r="G25" i="19"/>
  <c r="F25" i="19"/>
  <c r="E69" i="19"/>
  <c r="N69" i="19" s="1"/>
  <c r="F27" i="19"/>
  <c r="G27" i="19"/>
  <c r="H29" i="19"/>
  <c r="G29" i="19"/>
  <c r="E71" i="19"/>
  <c r="N71" i="19" s="1"/>
  <c r="F29" i="19"/>
  <c r="E5" i="19"/>
  <c r="G7" i="19"/>
  <c r="G5" i="19" s="1"/>
  <c r="G60" i="19" s="1"/>
  <c r="C20" i="9"/>
  <c r="G44" i="19"/>
  <c r="G76" i="19" s="1"/>
  <c r="D8" i="9"/>
  <c r="E76" i="19"/>
  <c r="N74" i="6"/>
  <c r="F136" i="6"/>
  <c r="C91" i="18"/>
  <c r="F88" i="18"/>
  <c r="AL37" i="6"/>
  <c r="AP35" i="6" s="1"/>
  <c r="X48" i="6"/>
  <c r="F12" i="19"/>
  <c r="F11" i="19" s="1"/>
  <c r="E11" i="19"/>
  <c r="D136" i="6"/>
  <c r="AU33" i="6"/>
  <c r="X50" i="6" s="1"/>
  <c r="L74" i="6"/>
  <c r="I74" i="6"/>
  <c r="H21" i="19"/>
  <c r="G21" i="19"/>
  <c r="G63" i="19" s="1"/>
  <c r="C8" i="9"/>
  <c r="Z50" i="6"/>
  <c r="F47" i="19"/>
  <c r="F44" i="19" s="1"/>
  <c r="F76" i="19" s="1"/>
  <c r="E79" i="19"/>
  <c r="O66" i="19" s="1"/>
  <c r="G47" i="19"/>
  <c r="E136" i="6"/>
  <c r="M74" i="6"/>
  <c r="O76" i="6"/>
  <c r="G134" i="6"/>
  <c r="H134" i="6"/>
  <c r="G61" i="19"/>
  <c r="E63" i="19" l="1"/>
  <c r="D20" i="9"/>
  <c r="C5" i="9"/>
  <c r="D17" i="9"/>
  <c r="E60" i="19"/>
  <c r="N60" i="19" s="1"/>
  <c r="P48" i="31"/>
  <c r="P49" i="31" s="1"/>
  <c r="O49" i="31"/>
  <c r="AP34" i="6"/>
  <c r="H73" i="6"/>
  <c r="K68" i="6"/>
  <c r="G73" i="6"/>
  <c r="AP36" i="6"/>
  <c r="F19" i="47" s="1"/>
  <c r="Z49" i="6"/>
  <c r="F91" i="18"/>
  <c r="E146" i="18"/>
  <c r="H146" i="18" s="1"/>
  <c r="E41" i="19" s="1"/>
  <c r="E145" i="18"/>
  <c r="E147" i="18"/>
  <c r="Z48" i="6"/>
  <c r="AM43" i="6"/>
  <c r="AQ42" i="6" s="1"/>
  <c r="O74" i="6"/>
  <c r="F61" i="19"/>
  <c r="E61" i="19"/>
  <c r="D18" i="9"/>
  <c r="C6" i="9"/>
  <c r="H136" i="6"/>
  <c r="G136" i="6"/>
  <c r="G41" i="19" l="1"/>
  <c r="F41" i="19"/>
  <c r="F73" i="6"/>
  <c r="AP28" i="6"/>
  <c r="AP29" i="6" s="1"/>
  <c r="F39" i="25"/>
  <c r="X49" i="6"/>
  <c r="X53" i="6" s="1"/>
  <c r="X54" i="6" s="1"/>
  <c r="F12" i="47"/>
  <c r="F14" i="47"/>
  <c r="F10" i="47"/>
  <c r="F16" i="47"/>
  <c r="F11" i="47"/>
  <c r="F15" i="47"/>
  <c r="F5" i="47"/>
  <c r="F13" i="47"/>
  <c r="N61" i="19"/>
  <c r="Z53" i="6"/>
  <c r="Z54" i="6" s="1"/>
  <c r="Z55" i="6" s="1"/>
  <c r="M73" i="6"/>
  <c r="E135" i="6"/>
  <c r="E139" i="6" s="1"/>
  <c r="E142" i="6" s="1"/>
  <c r="G78" i="6"/>
  <c r="E124" i="20"/>
  <c r="H147" i="18"/>
  <c r="H145" i="18"/>
  <c r="E119" i="20"/>
  <c r="E126" i="20" s="1"/>
  <c r="F135" i="6"/>
  <c r="F139" i="6" s="1"/>
  <c r="F142" i="6" s="1"/>
  <c r="N73" i="6"/>
  <c r="H78" i="6"/>
  <c r="H124" i="20" l="1"/>
  <c r="E42" i="19"/>
  <c r="H85" i="6"/>
  <c r="N85" i="6" s="1"/>
  <c r="N78" i="6"/>
  <c r="G142" i="18" s="1"/>
  <c r="G148" i="18" s="1"/>
  <c r="M78" i="6"/>
  <c r="F142" i="18" s="1"/>
  <c r="F148" i="18" s="1"/>
  <c r="G85" i="6"/>
  <c r="M85" i="6" s="1"/>
  <c r="D135" i="6"/>
  <c r="I73" i="6"/>
  <c r="L73" i="6"/>
  <c r="F78" i="6"/>
  <c r="E40" i="19"/>
  <c r="H119" i="20"/>
  <c r="G135" i="6" l="1"/>
  <c r="H135" i="6"/>
  <c r="H139" i="6" s="1"/>
  <c r="H142" i="6" s="1"/>
  <c r="D139" i="6"/>
  <c r="H126" i="20"/>
  <c r="O73" i="6"/>
  <c r="I78" i="6"/>
  <c r="F40" i="19"/>
  <c r="G40" i="19"/>
  <c r="H40" i="19"/>
  <c r="L78" i="6"/>
  <c r="E142" i="18" s="1"/>
  <c r="F85" i="6"/>
  <c r="L85" i="6" s="1"/>
  <c r="H42" i="19"/>
  <c r="G42" i="19"/>
  <c r="F42" i="19"/>
  <c r="I85" i="6" l="1"/>
  <c r="O85" i="6" s="1"/>
  <c r="O78" i="6"/>
  <c r="H142" i="18"/>
  <c r="E148" i="18"/>
  <c r="D142" i="6"/>
  <c r="G142" i="6" s="1"/>
  <c r="G139" i="6"/>
  <c r="E18" i="19" s="1"/>
  <c r="F18" i="19" l="1"/>
  <c r="F17" i="19" s="1"/>
  <c r="G18" i="19"/>
  <c r="G17" i="19" s="1"/>
  <c r="E17" i="19"/>
  <c r="AX26" i="18"/>
  <c r="H148" i="18"/>
  <c r="E38" i="19"/>
  <c r="F38" i="19" l="1"/>
  <c r="F36" i="19" s="1"/>
  <c r="G38" i="19"/>
  <c r="G36" i="19" s="1"/>
  <c r="E36" i="19"/>
  <c r="D19" i="9"/>
  <c r="D21" i="9" s="1"/>
  <c r="C7" i="9"/>
  <c r="C9" i="9" s="1"/>
  <c r="E62" i="19"/>
  <c r="E31" i="19"/>
  <c r="G62" i="19"/>
  <c r="G73" i="19" s="1"/>
  <c r="G31" i="19"/>
  <c r="F62" i="19"/>
  <c r="F73" i="19" s="1"/>
  <c r="F31" i="19"/>
  <c r="N62" i="19" l="1"/>
  <c r="N73" i="19" s="1"/>
  <c r="E73" i="19"/>
  <c r="E75" i="19"/>
  <c r="E51" i="19"/>
  <c r="H51" i="19" s="1"/>
  <c r="C18" i="9"/>
  <c r="C21" i="9" s="1"/>
  <c r="E21" i="9" s="1"/>
  <c r="H149" i="18"/>
  <c r="D6" i="9"/>
  <c r="D9" i="9" s="1"/>
  <c r="C10" i="9" s="1"/>
  <c r="C11" i="9" s="1"/>
  <c r="G51" i="19"/>
  <c r="G53" i="19" s="1"/>
  <c r="G75" i="19"/>
  <c r="G83" i="19" s="1"/>
  <c r="G85" i="19" s="1"/>
  <c r="H31" i="19"/>
  <c r="F51" i="19"/>
  <c r="F53" i="19" s="1"/>
  <c r="G18" i="25" s="1"/>
  <c r="F75" i="19"/>
  <c r="F83" i="19" s="1"/>
  <c r="F85" i="19" s="1"/>
  <c r="G52" i="19" l="1"/>
  <c r="F52" i="19"/>
  <c r="E52" i="19"/>
  <c r="E53" i="19"/>
  <c r="H18" i="25"/>
  <c r="E83" i="19"/>
  <c r="E84" i="19" s="1"/>
  <c r="O61" i="19"/>
  <c r="O73" i="19" s="1"/>
  <c r="F84" i="19"/>
  <c r="G84" i="19"/>
  <c r="D84" i="19" l="1"/>
</calcChain>
</file>

<file path=xl/comments1.xml><?xml version="1.0" encoding="utf-8"?>
<comments xmlns="http://schemas.openxmlformats.org/spreadsheetml/2006/main">
  <authors>
    <author>Stefan</author>
    <author>Ralf Wiesenberg</author>
  </authors>
  <commentList>
    <comment ref="D5" authorId="0">
      <text>
        <r>
          <rPr>
            <b/>
            <sz val="9"/>
            <color indexed="81"/>
            <rFont val="Tahoma"/>
            <family val="2"/>
          </rPr>
          <t>Stefan:</t>
        </r>
        <r>
          <rPr>
            <sz val="9"/>
            <color indexed="81"/>
            <rFont val="Tahoma"/>
            <family val="2"/>
          </rPr>
          <t>for error checking single pathway. Type 1 using Scenario A</t>
        </r>
      </text>
    </comment>
    <comment ref="I11" authorId="0">
      <text>
        <r>
          <rPr>
            <b/>
            <sz val="9"/>
            <color indexed="81"/>
            <rFont val="Tahoma"/>
            <family val="2"/>
          </rPr>
          <t>Stefan:</t>
        </r>
        <r>
          <rPr>
            <sz val="9"/>
            <color indexed="81"/>
            <rFont val="Tahoma"/>
            <family val="2"/>
          </rPr>
          <t xml:space="preserve">
Average.  Peak is 82,000 MMBtu, HHV/day including NG not removed from pipeline.</t>
        </r>
      </text>
    </comment>
    <comment ref="I16" authorId="0">
      <text>
        <r>
          <rPr>
            <b/>
            <sz val="9"/>
            <color indexed="81"/>
            <rFont val="Tahoma"/>
            <family val="2"/>
          </rPr>
          <t>Stefan:</t>
        </r>
        <r>
          <rPr>
            <sz val="9"/>
            <color indexed="81"/>
            <rFont val="Tahoma"/>
            <family val="2"/>
          </rPr>
          <t xml:space="preserve">
Swing use of LNG if peak shaving is changed.</t>
        </r>
      </text>
    </comment>
    <comment ref="C31" authorId="0">
      <text>
        <r>
          <rPr>
            <b/>
            <sz val="9"/>
            <color indexed="81"/>
            <rFont val="Tahoma"/>
            <family val="2"/>
          </rPr>
          <t>Stefan:</t>
        </r>
        <r>
          <rPr>
            <sz val="9"/>
            <color indexed="81"/>
            <rFont val="Tahoma"/>
            <family val="2"/>
          </rPr>
          <t xml:space="preserve">
Baseline is 240 hours per year over 10 years or  60 hours per year</t>
        </r>
      </text>
    </comment>
    <comment ref="D31" authorId="0">
      <text>
        <r>
          <rPr>
            <b/>
            <sz val="9"/>
            <color indexed="81"/>
            <rFont val="Tahoma"/>
            <family val="2"/>
          </rPr>
          <t>Stefan:</t>
        </r>
        <r>
          <rPr>
            <sz val="9"/>
            <color indexed="81"/>
            <rFont val="Tahoma"/>
            <family val="2"/>
          </rPr>
          <t xml:space="preserve">
Average over 40 years with no peak shaving after 10 years</t>
        </r>
      </text>
    </comment>
    <comment ref="F39" authorId="1">
      <text>
        <r>
          <rPr>
            <b/>
            <sz val="9"/>
            <color indexed="81"/>
            <rFont val="Tahoma"/>
            <family val="2"/>
          </rPr>
          <t xml:space="preserve">Stefan: </t>
        </r>
        <r>
          <rPr>
            <sz val="9"/>
            <color indexed="81"/>
            <rFont val="Tahoma"/>
            <family val="2"/>
          </rPr>
          <t>annual C02 t  of flare gas x ratio gCO2/mmbtu +annual LPG LHV devided by  opertional hours</t>
        </r>
      </text>
    </comment>
    <comment ref="H84" authorId="0">
      <text>
        <r>
          <rPr>
            <b/>
            <sz val="9"/>
            <color indexed="81"/>
            <rFont val="Tahoma"/>
            <family val="2"/>
          </rPr>
          <t>Life Cycle Associates:</t>
        </r>
        <r>
          <rPr>
            <sz val="9"/>
            <color indexed="81"/>
            <rFont val="Tahoma"/>
            <family val="2"/>
          </rPr>
          <t xml:space="preserve">
Calculated from gas compostion</t>
        </r>
      </text>
    </comment>
    <comment ref="C88" authorId="0">
      <text>
        <r>
          <rPr>
            <b/>
            <sz val="9"/>
            <color indexed="81"/>
            <rFont val="Tahoma"/>
            <family val="2"/>
          </rPr>
          <t>Life Cycle Associates:</t>
        </r>
        <r>
          <rPr>
            <sz val="9"/>
            <color indexed="81"/>
            <rFont val="Tahoma"/>
            <family val="2"/>
          </rPr>
          <t xml:space="preserve">
Calculated from mole fractions of natural gas</t>
        </r>
      </text>
    </comment>
    <comment ref="D115" authorId="0">
      <text>
        <r>
          <rPr>
            <b/>
            <sz val="9"/>
            <color indexed="81"/>
            <rFont val="Tahoma"/>
            <family val="2"/>
          </rPr>
          <t>Stefan:</t>
        </r>
        <r>
          <rPr>
            <sz val="9"/>
            <color indexed="81"/>
            <rFont val="Tahoma"/>
            <family val="2"/>
          </rPr>
          <t xml:space="preserve">
CO2 column accounts for total CO2 which is distributed bewteen flare and LNG.</t>
        </r>
      </text>
    </comment>
    <comment ref="E115" authorId="0">
      <text>
        <r>
          <rPr>
            <b/>
            <sz val="9"/>
            <color indexed="81"/>
            <rFont val="Tahoma"/>
            <family val="2"/>
          </rPr>
          <t>Stefan:</t>
        </r>
        <r>
          <rPr>
            <sz val="9"/>
            <color indexed="81"/>
            <rFont val="Tahoma"/>
            <family val="2"/>
          </rPr>
          <t xml:space="preserve">
Sum of Waste Gas + LPG.  
</t>
        </r>
      </text>
    </comment>
    <comment ref="M141" authorId="0">
      <text>
        <r>
          <rPr>
            <b/>
            <sz val="9"/>
            <color indexed="81"/>
            <rFont val="Tahoma"/>
            <family val="2"/>
          </rPr>
          <t>Stefan:</t>
        </r>
        <r>
          <rPr>
            <sz val="9"/>
            <color indexed="81"/>
            <rFont val="Tahoma"/>
            <family val="2"/>
          </rPr>
          <t xml:space="preserve">
To align total with WTT result</t>
        </r>
      </text>
    </comment>
    <comment ref="N144" authorId="0">
      <text>
        <r>
          <rPr>
            <b/>
            <sz val="9"/>
            <color indexed="81"/>
            <rFont val="Tahoma"/>
            <family val="2"/>
          </rPr>
          <t>Stefan:</t>
        </r>
        <r>
          <rPr>
            <sz val="9"/>
            <color indexed="81"/>
            <rFont val="Tahoma"/>
            <family val="2"/>
          </rPr>
          <t xml:space="preserve">
Backed out from WTT result</t>
        </r>
      </text>
    </comment>
    <comment ref="C201" authorId="0">
      <text>
        <r>
          <rPr>
            <b/>
            <sz val="9"/>
            <color indexed="81"/>
            <rFont val="Tahoma"/>
            <family val="2"/>
          </rPr>
          <t>Stefan:</t>
        </r>
        <r>
          <rPr>
            <sz val="9"/>
            <color indexed="81"/>
            <rFont val="Tahoma"/>
            <family val="2"/>
          </rPr>
          <t xml:space="preserve">
OPGEE results for crude oil production reported as CO2e.  CO2c back calculated from GREET CH4 and N2O</t>
        </r>
      </text>
    </comment>
    <comment ref="D201" authorId="0">
      <text>
        <r>
          <rPr>
            <b/>
            <sz val="9"/>
            <color indexed="81"/>
            <rFont val="Tahoma"/>
            <family val="2"/>
          </rPr>
          <t>Stefan:</t>
        </r>
        <r>
          <rPr>
            <sz val="9"/>
            <color indexed="81"/>
            <rFont val="Tahoma"/>
            <family val="2"/>
          </rPr>
          <t xml:space="preserve">
WA GREET result for crude oil. Total CI is 10,028 g/mmBtu with 148.5 g CH4/MJ</t>
        </r>
      </text>
    </comment>
  </commentList>
</comments>
</file>

<file path=xl/comments10.xml><?xml version="1.0" encoding="utf-8"?>
<comments xmlns="http://schemas.openxmlformats.org/spreadsheetml/2006/main">
  <authors>
    <author>Ralf Wiesenberg</author>
  </authors>
  <commentList>
    <comment ref="J6" authorId="0">
      <text>
        <r>
          <rPr>
            <b/>
            <sz val="9"/>
            <color indexed="81"/>
            <rFont val="Tahoma"/>
            <family val="2"/>
          </rPr>
          <t>Ralf Wiesenberg:</t>
        </r>
        <r>
          <rPr>
            <sz val="9"/>
            <color indexed="81"/>
            <rFont val="Tahoma"/>
            <family val="2"/>
          </rPr>
          <t xml:space="preserve">
in the BID report it is 10 in the EXCEL2018  05-25  LCA calculations for SEIS Data Request and 2018  05-25  TOTE Vessel Emissions Model it is 0.</t>
        </r>
      </text>
    </comment>
  </commentList>
</comments>
</file>

<file path=xl/comments11.xml><?xml version="1.0" encoding="utf-8"?>
<comments xmlns="http://schemas.openxmlformats.org/spreadsheetml/2006/main">
  <authors>
    <author>Michael Wang</author>
    <author>Stefan</author>
  </authors>
  <commentList>
    <comment ref="C8" authorId="0">
      <text>
        <r>
          <rPr>
            <sz val="8"/>
            <color indexed="81"/>
            <rFont val="Tahoma"/>
            <family val="2"/>
          </rPr>
          <t>Revised in Mar 2007. Based on IPCC, 2008, Climate Change 2007: Technical Summary.</t>
        </r>
      </text>
    </comment>
    <comment ref="C9" authorId="0">
      <text>
        <r>
          <rPr>
            <sz val="8"/>
            <color indexed="81"/>
            <rFont val="Tahoma"/>
            <family val="2"/>
          </rPr>
          <t>Revised in Mar 2008. Based on IPCC, 2007, Climate Change 2007: Technical Summary.</t>
        </r>
      </text>
    </comment>
    <comment ref="C10" authorId="0">
      <text>
        <r>
          <rPr>
            <sz val="8"/>
            <color indexed="81"/>
            <rFont val="Tahoma"/>
            <family val="2"/>
          </rPr>
          <t>Revised in Mar 2008. Based on IPCC, 2007, Climate Change 2007: Technical Summary.</t>
        </r>
      </text>
    </comment>
    <comment ref="C50" authorId="1">
      <text>
        <r>
          <rPr>
            <b/>
            <sz val="9"/>
            <color indexed="81"/>
            <rFont val="Tahoma"/>
            <family val="2"/>
          </rPr>
          <t>Stefan:</t>
        </r>
        <r>
          <rPr>
            <sz val="9"/>
            <color indexed="81"/>
            <rFont val="Tahoma"/>
            <family val="2"/>
          </rPr>
          <t xml:space="preserve">
Definition is 1852 meters</t>
        </r>
      </text>
    </comment>
  </commentList>
</comments>
</file>

<file path=xl/comments12.xml><?xml version="1.0" encoding="utf-8"?>
<comments xmlns="http://schemas.openxmlformats.org/spreadsheetml/2006/main">
  <authors>
    <author>lifecycle</author>
    <author>Michael Wang</author>
    <author>Stefan Unnasch</author>
    <author>Stefan</author>
    <author>ywu</author>
    <author>Owner</author>
    <author>A Elgowainy</author>
  </authors>
  <commentList>
    <comment ref="H2" authorId="0">
      <text>
        <r>
          <rPr>
            <sz val="8"/>
            <color indexed="81"/>
            <rFont val="Tahoma"/>
            <family val="2"/>
          </rPr>
          <t xml:space="preserve">Values in this column are calculated from those in the left column. Values here are used for calculations in other sheets. Values in the left column are inputted in ppm for high transparency.
</t>
        </r>
      </text>
    </comment>
    <comment ref="B4" authorId="1">
      <text>
        <r>
          <rPr>
            <sz val="8"/>
            <color indexed="81"/>
            <rFont val="Tahoma"/>
            <family val="2"/>
          </rPr>
          <t>GREET's calculations use LHVs. If one decides to use HHVs, the HHV cell values in this sheet can be pasted into the cells in this column. However, combustion emission factors in the EF sheet need to be changed, according to the differences between LHV and HHV for each fuel.</t>
        </r>
      </text>
    </comment>
    <comment ref="G8" authorId="1">
      <text>
        <r>
          <rPr>
            <sz val="8"/>
            <color indexed="81"/>
            <rFont val="Arial"/>
            <family val="2"/>
          </rPr>
          <t>Value here is from a TS look-up table. User should not change the value here.</t>
        </r>
        <r>
          <rPr>
            <sz val="9"/>
            <color indexed="81"/>
            <rFont val="Tahoma"/>
            <family val="2"/>
          </rPr>
          <t xml:space="preserve">
</t>
        </r>
      </text>
    </comment>
    <comment ref="G12" authorId="1">
      <text>
        <r>
          <rPr>
            <sz val="8"/>
            <color indexed="81"/>
            <rFont val="Arial"/>
            <family val="2"/>
          </rPr>
          <t>Value here is from a TS look-up table. User should not change the value here.</t>
        </r>
        <r>
          <rPr>
            <sz val="9"/>
            <color indexed="81"/>
            <rFont val="Tahoma"/>
            <family val="2"/>
          </rPr>
          <t xml:space="preserve">
</t>
        </r>
      </text>
    </comment>
    <comment ref="G13" authorId="1">
      <text>
        <r>
          <rPr>
            <sz val="8"/>
            <color indexed="81"/>
            <rFont val="Arial"/>
            <family val="2"/>
          </rPr>
          <t>Value here is from a TS look-up table. User should not change the value here.
Beginning June 1, 2007, non-road diesel is required to have maxium of 500 ppm S; and beginning June 1, 2012, the S content is reduced to 15 ppm.
Sources: Final regulatory analysis: control of emissions from non-road diesel engines. US EPA, EPA420-R-04-007, 2004.</t>
        </r>
        <r>
          <rPr>
            <sz val="9"/>
            <color indexed="81"/>
            <rFont val="Tahoma"/>
            <family val="2"/>
          </rPr>
          <t xml:space="preserve">
</t>
        </r>
      </text>
    </comment>
    <comment ref="C14" authorId="2">
      <text>
        <r>
          <rPr>
            <b/>
            <sz val="8"/>
            <color indexed="81"/>
            <rFont val="Tahoma"/>
            <family val="2"/>
          </rPr>
          <t>Stefan Unnasch:</t>
        </r>
        <r>
          <rPr>
            <sz val="8"/>
            <color indexed="81"/>
            <rFont val="Tahoma"/>
            <family val="2"/>
          </rPr>
          <t xml:space="preserve">
was 129488, based on conv diesel LHV/HHV and 138400 HHV</t>
        </r>
      </text>
    </comment>
    <comment ref="E14" authorId="2">
      <text>
        <r>
          <rPr>
            <b/>
            <sz val="8"/>
            <color indexed="81"/>
            <rFont val="Tahoma"/>
            <family val="2"/>
          </rPr>
          <t>Stefan Unnasch:</t>
        </r>
        <r>
          <rPr>
            <sz val="8"/>
            <color indexed="81"/>
            <rFont val="Tahoma"/>
            <family val="2"/>
          </rPr>
          <t xml:space="preserve">
Low S diesel is lighter than conventional, Fuel_Prop v7.xls</t>
        </r>
      </text>
    </comment>
    <comment ref="F14" authorId="2">
      <text>
        <r>
          <rPr>
            <b/>
            <sz val="8"/>
            <color indexed="81"/>
            <rFont val="Tahoma"/>
            <family val="2"/>
          </rPr>
          <t>Stefan Unnasch:</t>
        </r>
        <r>
          <rPr>
            <sz val="8"/>
            <color indexed="81"/>
            <rFont val="Tahoma"/>
            <family val="2"/>
          </rPr>
          <t xml:space="preserve">
was 86.9
Check for ULSD</t>
        </r>
      </text>
    </comment>
    <comment ref="A16" authorId="3">
      <text>
        <r>
          <rPr>
            <b/>
            <sz val="9"/>
            <color indexed="81"/>
            <rFont val="Tahoma"/>
            <family val="2"/>
          </rPr>
          <t>Stefan:</t>
        </r>
        <r>
          <rPr>
            <sz val="9"/>
            <color indexed="81"/>
            <rFont val="Tahoma"/>
            <family val="2"/>
          </rPr>
          <t xml:space="preserve">
NG-based FT naphtha</t>
        </r>
      </text>
    </comment>
    <comment ref="G18" authorId="4">
      <text>
        <r>
          <rPr>
            <sz val="8"/>
            <color indexed="81"/>
            <rFont val="Tahoma"/>
            <family val="2"/>
          </rPr>
          <t>From a report prepaed by ENVIRON International Corporation (Los Angeles, CA, 2004) for the Port Authority of Long Beach Ports).</t>
        </r>
        <r>
          <rPr>
            <sz val="8"/>
            <color indexed="81"/>
            <rFont val="Tahoma"/>
            <family val="2"/>
          </rPr>
          <t xml:space="preserve">
</t>
        </r>
      </text>
    </comment>
    <comment ref="A24" authorId="3">
      <text>
        <r>
          <rPr>
            <b/>
            <sz val="9"/>
            <color indexed="81"/>
            <rFont val="Tahoma"/>
            <family val="2"/>
          </rPr>
          <t>Stefan:</t>
        </r>
        <r>
          <rPr>
            <sz val="9"/>
            <color indexed="81"/>
            <rFont val="Tahoma"/>
            <family val="2"/>
          </rPr>
          <t xml:space="preserve">
Liquefied Petroleum Gas</t>
        </r>
      </text>
    </comment>
    <comment ref="C25" authorId="5">
      <text>
        <r>
          <rPr>
            <sz val="9"/>
            <color indexed="81"/>
            <rFont val="Tahoma"/>
            <family val="2"/>
          </rPr>
          <t xml:space="preserve">Default is 74,720
New calculated Value
</t>
        </r>
      </text>
    </comment>
    <comment ref="D25" authorId="5">
      <text>
        <r>
          <rPr>
            <sz val="9"/>
            <color indexed="81"/>
            <rFont val="Tahoma"/>
            <family val="2"/>
          </rPr>
          <t>Default is 84,820</t>
        </r>
      </text>
    </comment>
    <comment ref="E25" authorId="5">
      <text>
        <r>
          <rPr>
            <sz val="9"/>
            <color indexed="81"/>
            <rFont val="Tahoma"/>
            <family val="2"/>
          </rPr>
          <t>Default is 1,621</t>
        </r>
      </text>
    </comment>
    <comment ref="F25" authorId="5">
      <text>
        <r>
          <rPr>
            <sz val="9"/>
            <color indexed="81"/>
            <rFont val="Tahoma"/>
            <family val="2"/>
          </rPr>
          <t>Default is 75.0%</t>
        </r>
      </text>
    </comment>
    <comment ref="A26" authorId="3">
      <text>
        <r>
          <rPr>
            <b/>
            <sz val="9"/>
            <color indexed="81"/>
            <rFont val="Tahoma"/>
            <family val="2"/>
          </rPr>
          <t>Stefan:</t>
        </r>
        <r>
          <rPr>
            <sz val="9"/>
            <color indexed="81"/>
            <rFont val="Tahoma"/>
            <family val="2"/>
          </rPr>
          <t xml:space="preserve">
DME</t>
        </r>
      </text>
    </comment>
    <comment ref="K30" authorId="5">
      <text>
        <r>
          <rPr>
            <sz val="9"/>
            <color indexed="81"/>
            <rFont val="Tahoma"/>
            <family val="2"/>
          </rPr>
          <t>This result is based on the methanol energy input share for BD production</t>
        </r>
      </text>
    </comment>
    <comment ref="C32" authorId="2">
      <text>
        <r>
          <rPr>
            <b/>
            <sz val="8"/>
            <color indexed="81"/>
            <rFont val="Tahoma"/>
            <family val="2"/>
          </rPr>
          <t>Stefan Unnasch:</t>
        </r>
        <r>
          <rPr>
            <sz val="8"/>
            <color indexed="81"/>
            <rFont val="Tahoma"/>
            <family val="2"/>
          </rPr>
          <t xml:space="preserve">
was 123,670, changed value to be consistent with HHV. Density, and carbon ratio data set</t>
        </r>
      </text>
    </comment>
    <comment ref="D32" authorId="2">
      <text>
        <r>
          <rPr>
            <b/>
            <sz val="8"/>
            <color indexed="81"/>
            <rFont val="Tahoma"/>
            <family val="2"/>
          </rPr>
          <t>Stefan Unnasch:</t>
        </r>
        <r>
          <rPr>
            <sz val="8"/>
            <color indexed="81"/>
            <rFont val="Tahoma"/>
            <family val="2"/>
          </rPr>
          <t xml:space="preserve">
was 130,030, change to reflect DOE and Shell data.  (not consistent with 85.3% carbon content)</t>
        </r>
      </text>
    </comment>
    <comment ref="E32" authorId="2">
      <text>
        <r>
          <rPr>
            <b/>
            <sz val="8"/>
            <color indexed="81"/>
            <rFont val="Tahoma"/>
            <family val="2"/>
          </rPr>
          <t>Stefan Unnasch:</t>
        </r>
        <r>
          <rPr>
            <sz val="8"/>
            <color indexed="81"/>
            <rFont val="Tahoma"/>
            <family val="2"/>
          </rPr>
          <t xml:space="preserve">
was 3017, changed to SG of 0.780</t>
        </r>
      </text>
    </comment>
    <comment ref="F32" authorId="2">
      <text>
        <r>
          <rPr>
            <b/>
            <sz val="8"/>
            <color indexed="81"/>
            <rFont val="Tahoma"/>
            <family val="2"/>
          </rPr>
          <t>Stefan Unnasch:</t>
        </r>
        <r>
          <rPr>
            <sz val="8"/>
            <color indexed="81"/>
            <rFont val="Tahoma"/>
            <family val="2"/>
          </rPr>
          <t xml:space="preserve">
was 85.3%.  84.8% is consistent with range reported by DOE and H/C ratio from Shell SMDS test results</t>
        </r>
      </text>
    </comment>
    <comment ref="C47" authorId="2">
      <text>
        <r>
          <rPr>
            <b/>
            <sz val="8"/>
            <color indexed="81"/>
            <rFont val="Tahoma"/>
            <family val="2"/>
          </rPr>
          <t>Stefan Unnasch:</t>
        </r>
        <r>
          <rPr>
            <sz val="8"/>
            <color indexed="81"/>
            <rFont val="Tahoma"/>
            <family val="2"/>
          </rPr>
          <t xml:space="preserve">
was 983</t>
        </r>
      </text>
    </comment>
    <comment ref="D47" authorId="2">
      <text>
        <r>
          <rPr>
            <b/>
            <sz val="8"/>
            <color indexed="81"/>
            <rFont val="Tahoma"/>
            <family val="2"/>
          </rPr>
          <t>Stefan Unnasch:</t>
        </r>
        <r>
          <rPr>
            <sz val="8"/>
            <color indexed="81"/>
            <rFont val="Tahoma"/>
            <family val="2"/>
          </rPr>
          <t xml:space="preserve">
was 1089</t>
        </r>
      </text>
    </comment>
    <comment ref="E47" authorId="2">
      <text>
        <r>
          <rPr>
            <b/>
            <sz val="8"/>
            <color indexed="81"/>
            <rFont val="Tahoma"/>
            <family val="2"/>
          </rPr>
          <t>Stefan Unnasch:</t>
        </r>
        <r>
          <rPr>
            <sz val="8"/>
            <color indexed="81"/>
            <rFont val="Tahoma"/>
            <family val="2"/>
          </rPr>
          <t xml:space="preserve">
was 22</t>
        </r>
      </text>
    </comment>
    <comment ref="G47" authorId="2">
      <text>
        <r>
          <rPr>
            <b/>
            <sz val="8"/>
            <color indexed="81"/>
            <rFont val="Tahoma"/>
            <family val="2"/>
          </rPr>
          <t>Stefan Unnasch:</t>
        </r>
        <r>
          <rPr>
            <sz val="8"/>
            <color indexed="81"/>
            <rFont val="Tahoma"/>
            <family val="2"/>
          </rPr>
          <t xml:space="preserve">
0.0006 lb/MMBtu HHV, EPA</t>
        </r>
      </text>
    </comment>
    <comment ref="A48" authorId="3">
      <text>
        <r>
          <rPr>
            <b/>
            <sz val="9"/>
            <color indexed="81"/>
            <rFont val="Tahoma"/>
            <family val="2"/>
          </rPr>
          <t>Stefan:</t>
        </r>
        <r>
          <rPr>
            <sz val="9"/>
            <color indexed="81"/>
            <rFont val="Tahoma"/>
            <family val="2"/>
          </rPr>
          <t xml:space="preserve">
Gaseous</t>
        </r>
      </text>
    </comment>
    <comment ref="C53" authorId="2">
      <text>
        <r>
          <rPr>
            <b/>
            <sz val="8"/>
            <color indexed="81"/>
            <rFont val="Tahoma"/>
            <family val="2"/>
          </rPr>
          <t>Stefan Unnasch:</t>
        </r>
        <r>
          <rPr>
            <sz val="8"/>
            <color indexed="81"/>
            <rFont val="Tahoma"/>
            <family val="2"/>
          </rPr>
          <t xml:space="preserve">
was 983</t>
        </r>
      </text>
    </comment>
    <comment ref="D53" authorId="2">
      <text>
        <r>
          <rPr>
            <b/>
            <sz val="8"/>
            <color indexed="81"/>
            <rFont val="Tahoma"/>
            <family val="2"/>
          </rPr>
          <t>Stefan Unnasch:</t>
        </r>
        <r>
          <rPr>
            <sz val="8"/>
            <color indexed="81"/>
            <rFont val="Tahoma"/>
            <family val="2"/>
          </rPr>
          <t xml:space="preserve">
was 1089</t>
        </r>
      </text>
    </comment>
    <comment ref="E53" authorId="2">
      <text>
        <r>
          <rPr>
            <b/>
            <sz val="8"/>
            <color indexed="81"/>
            <rFont val="Tahoma"/>
            <family val="2"/>
          </rPr>
          <t>Stefan Unnasch:</t>
        </r>
        <r>
          <rPr>
            <sz val="8"/>
            <color indexed="81"/>
            <rFont val="Tahoma"/>
            <family val="2"/>
          </rPr>
          <t xml:space="preserve">
was 22</t>
        </r>
      </text>
    </comment>
    <comment ref="G53" authorId="2">
      <text>
        <r>
          <rPr>
            <b/>
            <sz val="8"/>
            <color indexed="81"/>
            <rFont val="Tahoma"/>
            <family val="2"/>
          </rPr>
          <t>Stefan Unnasch:</t>
        </r>
        <r>
          <rPr>
            <sz val="8"/>
            <color indexed="81"/>
            <rFont val="Tahoma"/>
            <family val="2"/>
          </rPr>
          <t xml:space="preserve">
0.0006 lb/MMBtu HHV, EPA</t>
        </r>
      </text>
    </comment>
    <comment ref="C54" authorId="2">
      <text>
        <r>
          <rPr>
            <b/>
            <sz val="8"/>
            <color indexed="81"/>
            <rFont val="Tahoma"/>
            <family val="2"/>
          </rPr>
          <t>Stefan Unnasch:</t>
        </r>
        <r>
          <rPr>
            <sz val="8"/>
            <color indexed="81"/>
            <rFont val="Tahoma"/>
            <family val="2"/>
          </rPr>
          <t xml:space="preserve">
was 983</t>
        </r>
      </text>
    </comment>
    <comment ref="D54" authorId="2">
      <text>
        <r>
          <rPr>
            <b/>
            <sz val="8"/>
            <color indexed="81"/>
            <rFont val="Tahoma"/>
            <family val="2"/>
          </rPr>
          <t>Stefan Unnasch:</t>
        </r>
        <r>
          <rPr>
            <sz val="8"/>
            <color indexed="81"/>
            <rFont val="Tahoma"/>
            <family val="2"/>
          </rPr>
          <t xml:space="preserve">
was 1089</t>
        </r>
      </text>
    </comment>
    <comment ref="E54" authorId="2">
      <text>
        <r>
          <rPr>
            <b/>
            <sz val="8"/>
            <color indexed="81"/>
            <rFont val="Tahoma"/>
            <family val="2"/>
          </rPr>
          <t>Stefan Unnasch:</t>
        </r>
        <r>
          <rPr>
            <sz val="8"/>
            <color indexed="81"/>
            <rFont val="Tahoma"/>
            <family val="2"/>
          </rPr>
          <t xml:space="preserve">
was 22</t>
        </r>
      </text>
    </comment>
    <comment ref="G54" authorId="2">
      <text>
        <r>
          <rPr>
            <b/>
            <sz val="8"/>
            <color indexed="81"/>
            <rFont val="Tahoma"/>
            <family val="2"/>
          </rPr>
          <t>Stefan Unnasch:</t>
        </r>
        <r>
          <rPr>
            <sz val="8"/>
            <color indexed="81"/>
            <rFont val="Tahoma"/>
            <family val="2"/>
          </rPr>
          <t xml:space="preserve">
0.0006 lb/MMBtu HHV, EPA</t>
        </r>
      </text>
    </comment>
    <comment ref="B57" authorId="6">
      <text>
        <r>
          <rPr>
            <b/>
            <sz val="10"/>
            <color indexed="81"/>
            <rFont val="Tahoma"/>
            <family val="2"/>
          </rPr>
          <t>Btu per (short ton, as received)</t>
        </r>
        <r>
          <rPr>
            <sz val="10"/>
            <color indexed="81"/>
            <rFont val="Tahoma"/>
            <family val="2"/>
          </rPr>
          <t xml:space="preserve">
</t>
        </r>
      </text>
    </comment>
    <comment ref="A58" authorId="1">
      <text>
        <r>
          <rPr>
            <sz val="8"/>
            <color indexed="81"/>
            <rFont val="Tahoma"/>
            <family val="2"/>
          </rPr>
          <t xml:space="preserve">As feedstock for coal-based H2 and FTD production pathways.
</t>
        </r>
      </text>
    </comment>
    <comment ref="B58" authorId="6">
      <text>
        <r>
          <rPr>
            <b/>
            <sz val="10"/>
            <color indexed="81"/>
            <rFont val="Tahoma"/>
            <family val="2"/>
          </rPr>
          <t>Btu per (short ton, as received)</t>
        </r>
        <r>
          <rPr>
            <sz val="10"/>
            <color indexed="81"/>
            <rFont val="Tahoma"/>
            <family val="2"/>
          </rPr>
          <t xml:space="preserve">
</t>
        </r>
      </text>
    </comment>
    <comment ref="B59" authorId="6">
      <text>
        <r>
          <rPr>
            <b/>
            <sz val="10"/>
            <color indexed="81"/>
            <rFont val="Tahoma"/>
            <family val="2"/>
          </rPr>
          <t>Btu per (short ton, as received)</t>
        </r>
        <r>
          <rPr>
            <sz val="10"/>
            <color indexed="81"/>
            <rFont val="Tahoma"/>
            <family val="2"/>
          </rPr>
          <t xml:space="preserve">
</t>
        </r>
      </text>
    </comment>
    <comment ref="B61" authorId="6">
      <text>
        <r>
          <rPr>
            <b/>
            <sz val="10"/>
            <color indexed="81"/>
            <rFont val="Tahoma"/>
            <family val="2"/>
          </rPr>
          <t>Btu per (short ton, dry matter)</t>
        </r>
        <r>
          <rPr>
            <sz val="10"/>
            <color indexed="81"/>
            <rFont val="Tahoma"/>
            <family val="2"/>
          </rPr>
          <t xml:space="preserve">
</t>
        </r>
      </text>
    </comment>
    <comment ref="B62" authorId="6">
      <text>
        <r>
          <rPr>
            <b/>
            <sz val="10"/>
            <color indexed="81"/>
            <rFont val="Tahoma"/>
            <family val="2"/>
          </rPr>
          <t>Btu per (short ton, dry matter)</t>
        </r>
        <r>
          <rPr>
            <sz val="10"/>
            <color indexed="81"/>
            <rFont val="Tahoma"/>
            <family val="2"/>
          </rPr>
          <t xml:space="preserve">
</t>
        </r>
      </text>
    </comment>
    <comment ref="B63" authorId="6">
      <text>
        <r>
          <rPr>
            <b/>
            <sz val="10"/>
            <color indexed="81"/>
            <rFont val="Tahoma"/>
            <family val="2"/>
          </rPr>
          <t>Btu per (short ton, dry matter)</t>
        </r>
        <r>
          <rPr>
            <sz val="10"/>
            <color indexed="81"/>
            <rFont val="Tahoma"/>
            <family val="2"/>
          </rPr>
          <t xml:space="preserve">
</t>
        </r>
      </text>
    </comment>
    <comment ref="B64" authorId="6">
      <text>
        <r>
          <rPr>
            <b/>
            <sz val="10"/>
            <color indexed="81"/>
            <rFont val="Tahoma"/>
            <family val="2"/>
          </rPr>
          <t>Btu per (short ton, dry matter)</t>
        </r>
        <r>
          <rPr>
            <sz val="10"/>
            <color indexed="81"/>
            <rFont val="Tahoma"/>
            <family val="2"/>
          </rPr>
          <t xml:space="preserve">
</t>
        </r>
      </text>
    </comment>
    <comment ref="B66" authorId="6">
      <text>
        <r>
          <rPr>
            <b/>
            <sz val="10"/>
            <color indexed="81"/>
            <rFont val="Tahoma"/>
            <family val="2"/>
          </rPr>
          <t>Btu per (short ton, dry matter)</t>
        </r>
        <r>
          <rPr>
            <sz val="10"/>
            <color indexed="81"/>
            <rFont val="Tahoma"/>
            <family val="2"/>
          </rPr>
          <t xml:space="preserve">
</t>
        </r>
      </text>
    </comment>
    <comment ref="B67" authorId="6">
      <text>
        <r>
          <rPr>
            <b/>
            <sz val="10"/>
            <color indexed="81"/>
            <rFont val="Tahoma"/>
            <family val="2"/>
          </rPr>
          <t>Btu per (short ton, as received)</t>
        </r>
        <r>
          <rPr>
            <sz val="10"/>
            <color indexed="81"/>
            <rFont val="Tahoma"/>
            <family val="2"/>
          </rPr>
          <t xml:space="preserve">
</t>
        </r>
      </text>
    </comment>
  </commentList>
</comments>
</file>

<file path=xl/comments13.xml><?xml version="1.0" encoding="utf-8"?>
<comments xmlns="http://schemas.openxmlformats.org/spreadsheetml/2006/main">
  <authors>
    <author>Stefan</author>
    <author>Ralf Wiesenberg</author>
  </authors>
  <commentList>
    <comment ref="AL4" authorId="0">
      <text>
        <r>
          <rPr>
            <b/>
            <sz val="9"/>
            <color indexed="81"/>
            <rFont val="Tahoma"/>
            <family val="2"/>
          </rPr>
          <t>Stefan:</t>
        </r>
        <r>
          <rPr>
            <sz val="9"/>
            <color indexed="81"/>
            <rFont val="Tahoma"/>
            <family val="2"/>
          </rPr>
          <t xml:space="preserve">
Is this for a Marine Engine on the T&amp;D Sheet?
I think yes, this was here before, but we use TOTE CASE</t>
        </r>
      </text>
    </comment>
    <comment ref="AM4" authorId="1">
      <text>
        <r>
          <rPr>
            <b/>
            <sz val="9"/>
            <color indexed="81"/>
            <rFont val="Tahoma"/>
            <family val="2"/>
          </rPr>
          <t>Ralf Wiesenberg:</t>
        </r>
        <r>
          <rPr>
            <sz val="9"/>
            <color indexed="81"/>
            <rFont val="Tahoma"/>
            <family val="2"/>
          </rPr>
          <t xml:space="preserve">
I don't know this was already here. I think it came from there.</t>
        </r>
      </text>
    </comment>
    <comment ref="E15" authorId="0">
      <text>
        <r>
          <rPr>
            <b/>
            <sz val="9"/>
            <color indexed="81"/>
            <rFont val="Tahoma"/>
            <family val="2"/>
          </rPr>
          <t>Stefan:</t>
        </r>
        <r>
          <rPr>
            <sz val="9"/>
            <color indexed="81"/>
            <rFont val="Tahoma"/>
            <family val="2"/>
          </rPr>
          <t xml:space="preserve">
Iterate to meet fuel specs carbon</t>
        </r>
      </text>
    </comment>
  </commentList>
</comments>
</file>

<file path=xl/comments14.xml><?xml version="1.0" encoding="utf-8"?>
<comments xmlns="http://schemas.openxmlformats.org/spreadsheetml/2006/main">
  <authors>
    <author>Ralf Wiesenberg</author>
  </authors>
  <commentList>
    <comment ref="C114" authorId="0">
      <text>
        <r>
          <rPr>
            <b/>
            <sz val="9"/>
            <color indexed="81"/>
            <rFont val="Tahoma"/>
            <family val="2"/>
          </rPr>
          <t>Ralf Wiesenberg:</t>
        </r>
        <r>
          <rPr>
            <sz val="9"/>
            <color indexed="81"/>
            <rFont val="Tahoma"/>
            <family val="2"/>
          </rPr>
          <t xml:space="preserve">
I recalculated them</t>
        </r>
      </text>
    </comment>
  </commentList>
</comments>
</file>

<file path=xl/comments2.xml><?xml version="1.0" encoding="utf-8"?>
<comments xmlns="http://schemas.openxmlformats.org/spreadsheetml/2006/main">
  <authors>
    <author>Stefan</author>
  </authors>
  <commentList>
    <comment ref="B18" authorId="0">
      <text>
        <r>
          <rPr>
            <b/>
            <sz val="9"/>
            <color indexed="81"/>
            <rFont val="Tahoma"/>
            <family val="2"/>
          </rPr>
          <t>Stefan:</t>
        </r>
        <r>
          <rPr>
            <sz val="9"/>
            <color indexed="81"/>
            <rFont val="Tahoma"/>
            <family val="2"/>
          </rPr>
          <t xml:space="preserve">
Includes Emergency generator</t>
        </r>
      </text>
    </comment>
  </commentList>
</comments>
</file>

<file path=xl/comments3.xml><?xml version="1.0" encoding="utf-8"?>
<comments xmlns="http://schemas.openxmlformats.org/spreadsheetml/2006/main">
  <authors>
    <author>Ralf Wiesenberg</author>
    <author>Stefan</author>
  </authors>
  <commentList>
    <comment ref="G19" authorId="0">
      <text>
        <r>
          <rPr>
            <b/>
            <sz val="9"/>
            <color indexed="81"/>
            <rFont val="Tahoma"/>
            <family val="2"/>
          </rPr>
          <t>Life Cycle Associates:</t>
        </r>
        <r>
          <rPr>
            <sz val="9"/>
            <color indexed="81"/>
            <rFont val="Tahoma"/>
            <family val="2"/>
          </rPr>
          <t xml:space="preserve">
 EER Energy Economy Ratio 
(LNG vs Substituted Fuel) On-road truck based on CA ARB.  Marine EER from 1 o 1.015</t>
        </r>
      </text>
    </comment>
    <comment ref="F38" authorId="1">
      <text>
        <r>
          <rPr>
            <b/>
            <sz val="9"/>
            <color indexed="81"/>
            <rFont val="Tahoma"/>
            <family val="2"/>
          </rPr>
          <t>Stefan:</t>
        </r>
        <r>
          <rPr>
            <sz val="9"/>
            <color indexed="81"/>
            <rFont val="Tahoma"/>
            <family val="2"/>
          </rPr>
          <t xml:space="preserve">
Lost methane not available as fuel.</t>
        </r>
      </text>
    </comment>
  </commentList>
</comments>
</file>

<file path=xl/comments4.xml><?xml version="1.0" encoding="utf-8"?>
<comments xmlns="http://schemas.openxmlformats.org/spreadsheetml/2006/main">
  <authors>
    <author>Stefan</author>
    <author>Ralf Wiesenberg</author>
  </authors>
  <commentList>
    <comment ref="C64" authorId="0">
      <text>
        <r>
          <rPr>
            <b/>
            <sz val="9"/>
            <color indexed="81"/>
            <rFont val="Tahoma"/>
            <family val="2"/>
          </rPr>
          <t>Stefan:</t>
        </r>
        <r>
          <rPr>
            <sz val="9"/>
            <color indexed="81"/>
            <rFont val="Tahoma"/>
            <family val="2"/>
          </rPr>
          <t xml:space="preserve">
No displaced Diesel</t>
        </r>
      </text>
    </comment>
    <comment ref="B83" authorId="0">
      <text>
        <r>
          <rPr>
            <b/>
            <sz val="9"/>
            <color indexed="81"/>
            <rFont val="Tahoma"/>
            <family val="2"/>
          </rPr>
          <t>Stefan:</t>
        </r>
        <r>
          <rPr>
            <sz val="9"/>
            <color indexed="81"/>
            <rFont val="Tahoma"/>
            <family val="2"/>
          </rPr>
          <t xml:space="preserve">
MGO not bunker fuel</t>
        </r>
      </text>
    </comment>
    <comment ref="G95" authorId="0">
      <text>
        <r>
          <rPr>
            <b/>
            <sz val="9"/>
            <color indexed="81"/>
            <rFont val="Tahoma"/>
            <family val="2"/>
          </rPr>
          <t>Stefan:</t>
        </r>
        <r>
          <rPr>
            <sz val="9"/>
            <color indexed="81"/>
            <rFont val="Tahoma"/>
            <family val="2"/>
          </rPr>
          <t xml:space="preserve">
zero for WA GREET for US refining</t>
        </r>
      </text>
    </comment>
    <comment ref="E142" authorId="1">
      <text>
        <r>
          <rPr>
            <b/>
            <sz val="9"/>
            <color indexed="81"/>
            <rFont val="Tahoma"/>
            <family val="2"/>
          </rPr>
          <t>Ralf Wiesenberg:</t>
        </r>
        <r>
          <rPr>
            <sz val="9"/>
            <color indexed="81"/>
            <rFont val="Tahoma"/>
            <family val="2"/>
          </rPr>
          <t xml:space="preserve">
NG upstream BC + Liquefaction with same values as Tacoma
</t>
        </r>
      </text>
    </comment>
  </commentList>
</comments>
</file>

<file path=xl/comments5.xml><?xml version="1.0" encoding="utf-8"?>
<comments xmlns="http://schemas.openxmlformats.org/spreadsheetml/2006/main">
  <authors>
    <author>Stefan</author>
  </authors>
  <commentList>
    <comment ref="C7" authorId="0">
      <text>
        <r>
          <rPr>
            <b/>
            <sz val="9"/>
            <color indexed="81"/>
            <rFont val="Tahoma"/>
            <family val="2"/>
          </rPr>
          <t>Stefan:</t>
        </r>
        <r>
          <rPr>
            <sz val="9"/>
            <color indexed="81"/>
            <rFont val="Tahoma"/>
            <family val="2"/>
          </rPr>
          <t xml:space="preserve">
Baseline 1000 ppm</t>
        </r>
      </text>
    </comment>
    <comment ref="L49" authorId="0">
      <text>
        <r>
          <rPr>
            <b/>
            <sz val="9"/>
            <color indexed="81"/>
            <rFont val="Tahoma"/>
            <family val="2"/>
          </rPr>
          <t>Stefan:</t>
        </r>
        <r>
          <rPr>
            <sz val="9"/>
            <color indexed="81"/>
            <rFont val="Tahoma"/>
            <family val="2"/>
          </rPr>
          <t xml:space="preserve">
Praxair, 1.38% sulfur in crude oil</t>
        </r>
      </text>
    </comment>
  </commentList>
</comments>
</file>

<file path=xl/comments6.xml><?xml version="1.0" encoding="utf-8"?>
<comments xmlns="http://schemas.openxmlformats.org/spreadsheetml/2006/main">
  <authors>
    <author>Ralf Wiesenberg</author>
    <author>Stefan</author>
  </authors>
  <commentList>
    <comment ref="H7" authorId="0">
      <text>
        <r>
          <rPr>
            <b/>
            <sz val="9"/>
            <color indexed="81"/>
            <rFont val="Tahoma"/>
            <family val="2"/>
          </rPr>
          <t>Ralf Wiesenberg:</t>
        </r>
        <r>
          <rPr>
            <sz val="9"/>
            <color indexed="81"/>
            <rFont val="Tahoma"/>
            <family val="2"/>
          </rPr>
          <t xml:space="preserve">
page 12 PSE-BID</t>
        </r>
      </text>
    </comment>
    <comment ref="M7" authorId="0">
      <text>
        <r>
          <rPr>
            <b/>
            <sz val="9"/>
            <color indexed="81"/>
            <rFont val="Tahoma"/>
            <family val="2"/>
          </rPr>
          <t>Ralf Wiesenberg:</t>
        </r>
        <r>
          <rPr>
            <sz val="9"/>
            <color indexed="81"/>
            <rFont val="Tahoma"/>
            <family val="2"/>
          </rPr>
          <t xml:space="preserve">
page 12 PSE-BID</t>
        </r>
      </text>
    </comment>
    <comment ref="D9" authorId="0">
      <text>
        <r>
          <rPr>
            <b/>
            <sz val="9"/>
            <color indexed="81"/>
            <rFont val="Tahoma"/>
            <family val="2"/>
          </rPr>
          <t>Ralf Wiesenberg:</t>
        </r>
        <r>
          <rPr>
            <sz val="9"/>
            <color indexed="81"/>
            <rFont val="Tahoma"/>
            <family val="2"/>
          </rPr>
          <t xml:space="preserve">
Response PSE Page 9
page 12 PSE-BID</t>
        </r>
      </text>
    </comment>
    <comment ref="B17" authorId="0">
      <text>
        <r>
          <rPr>
            <b/>
            <sz val="9"/>
            <color indexed="81"/>
            <rFont val="Tahoma"/>
            <family val="2"/>
          </rPr>
          <t>Ralf Wiesenberg:</t>
        </r>
        <r>
          <rPr>
            <sz val="9"/>
            <color indexed="81"/>
            <rFont val="Tahoma"/>
            <family val="2"/>
          </rPr>
          <t xml:space="preserve">
page 12 PSE-BID</t>
        </r>
      </text>
    </comment>
    <comment ref="D22" authorId="0">
      <text>
        <r>
          <rPr>
            <b/>
            <sz val="9"/>
            <color indexed="81"/>
            <rFont val="Tahoma"/>
            <family val="2"/>
          </rPr>
          <t>Ralf Wiesenberg:</t>
        </r>
        <r>
          <rPr>
            <sz val="9"/>
            <color indexed="81"/>
            <rFont val="Tahoma"/>
            <family val="2"/>
          </rPr>
          <t xml:space="preserve">
Source: PSE Response page 12</t>
        </r>
      </text>
    </comment>
    <comment ref="AP35" authorId="1">
      <text>
        <r>
          <rPr>
            <b/>
            <sz val="9"/>
            <color indexed="81"/>
            <rFont val="Tahoma"/>
            <family val="2"/>
          </rPr>
          <t>Stefan:</t>
        </r>
        <r>
          <rPr>
            <sz val="9"/>
            <color indexed="81"/>
            <rFont val="Tahoma"/>
            <family val="2"/>
          </rPr>
          <t xml:space="preserve">
Carbon balance closes</t>
        </r>
      </text>
    </comment>
    <comment ref="AP36" authorId="1">
      <text>
        <r>
          <rPr>
            <b/>
            <sz val="9"/>
            <color indexed="81"/>
            <rFont val="Tahoma"/>
            <family val="2"/>
          </rPr>
          <t>Stefan:</t>
        </r>
        <r>
          <rPr>
            <sz val="9"/>
            <color indexed="81"/>
            <rFont val="Tahoma"/>
            <family val="2"/>
          </rPr>
          <t xml:space="preserve">
Scaled to propane heating value.  Actually a mix of hydrocarbons.</t>
        </r>
      </text>
    </comment>
    <comment ref="AW53" authorId="1">
      <text>
        <r>
          <rPr>
            <b/>
            <sz val="9"/>
            <color indexed="81"/>
            <rFont val="Tahoma"/>
            <family val="2"/>
          </rPr>
          <t>Stefan:</t>
        </r>
        <r>
          <rPr>
            <sz val="9"/>
            <color indexed="81"/>
            <rFont val="Tahoma"/>
            <family val="2"/>
          </rPr>
          <t xml:space="preserve">
Feedstock efficiency, excluding import power.</t>
        </r>
      </text>
    </comment>
    <comment ref="F73" authorId="1">
      <text>
        <r>
          <rPr>
            <b/>
            <sz val="9"/>
            <color indexed="81"/>
            <rFont val="Tahoma"/>
            <family val="2"/>
          </rPr>
          <t>Stefan:</t>
        </r>
        <r>
          <rPr>
            <sz val="9"/>
            <color indexed="81"/>
            <rFont val="Tahoma"/>
            <family val="2"/>
          </rPr>
          <t xml:space="preserve">
By Carbon Balance</t>
        </r>
      </text>
    </comment>
    <comment ref="E115" authorId="1">
      <text>
        <r>
          <rPr>
            <b/>
            <sz val="9"/>
            <color indexed="81"/>
            <rFont val="Tahoma"/>
            <family val="2"/>
          </rPr>
          <t>Stefan:</t>
        </r>
        <r>
          <rPr>
            <sz val="9"/>
            <color indexed="81"/>
            <rFont val="Tahoma"/>
            <family val="2"/>
          </rPr>
          <t xml:space="preserve">
0% in BID</t>
        </r>
      </text>
    </comment>
  </commentList>
</comments>
</file>

<file path=xl/comments7.xml><?xml version="1.0" encoding="utf-8"?>
<comments xmlns="http://schemas.openxmlformats.org/spreadsheetml/2006/main">
  <authors>
    <author>Michael Wang</author>
  </authors>
  <commentList>
    <comment ref="C25" authorId="0">
      <text>
        <r>
          <rPr>
            <sz val="8"/>
            <color indexed="81"/>
            <rFont val="Tahoma"/>
            <family val="2"/>
          </rPr>
          <t>CH4 loss due to boiling off loss, after recovery of some of the boiling-off loss.</t>
        </r>
      </text>
    </comment>
  </commentList>
</comments>
</file>

<file path=xl/comments8.xml><?xml version="1.0" encoding="utf-8"?>
<comments xmlns="http://schemas.openxmlformats.org/spreadsheetml/2006/main">
  <authors>
    <author>Ralf Wiesenberg</author>
  </authors>
  <commentList>
    <comment ref="H103" authorId="0">
      <text>
        <r>
          <rPr>
            <b/>
            <sz val="9"/>
            <color indexed="81"/>
            <rFont val="Tahoma"/>
            <family val="2"/>
          </rPr>
          <t>Ralf Wiesenberg:</t>
        </r>
        <r>
          <rPr>
            <sz val="9"/>
            <color indexed="81"/>
            <rFont val="Tahoma"/>
            <family val="2"/>
          </rPr>
          <t xml:space="preserve">
New work hours, Consumption data and HP: PSE repsonse page 3
</t>
        </r>
      </text>
    </comment>
    <comment ref="H104" authorId="0">
      <text>
        <r>
          <rPr>
            <b/>
            <sz val="9"/>
            <color indexed="81"/>
            <rFont val="Tahoma"/>
            <family val="2"/>
          </rPr>
          <t>Ralf Wiesenberg:</t>
        </r>
        <r>
          <rPr>
            <sz val="9"/>
            <color indexed="81"/>
            <rFont val="Tahoma"/>
            <family val="2"/>
          </rPr>
          <t xml:space="preserve">
New work hours, Consumption data and HP: PSE repsonse page 3
</t>
        </r>
      </text>
    </comment>
    <comment ref="H135" authorId="0">
      <text>
        <r>
          <rPr>
            <b/>
            <sz val="9"/>
            <color indexed="81"/>
            <rFont val="Tahoma"/>
            <family val="2"/>
          </rPr>
          <t>Ralf Wiesenberg:</t>
        </r>
        <r>
          <rPr>
            <sz val="9"/>
            <color indexed="81"/>
            <rFont val="Tahoma"/>
            <family val="2"/>
          </rPr>
          <t xml:space="preserve">
CNew work hours, Consumption data and HP: PSE repsonse page 3
</t>
        </r>
      </text>
    </comment>
    <comment ref="H136" authorId="0">
      <text>
        <r>
          <rPr>
            <b/>
            <sz val="9"/>
            <color indexed="81"/>
            <rFont val="Tahoma"/>
            <family val="2"/>
          </rPr>
          <t>Ralf Wiesenberg:</t>
        </r>
        <r>
          <rPr>
            <sz val="9"/>
            <color indexed="81"/>
            <rFont val="Tahoma"/>
            <family val="2"/>
          </rPr>
          <t xml:space="preserve">
New work hours, Consumption data and HP: PSE repsonse page 3
</t>
        </r>
      </text>
    </comment>
  </commentList>
</comments>
</file>

<file path=xl/comments9.xml><?xml version="1.0" encoding="utf-8"?>
<comments xmlns="http://schemas.openxmlformats.org/spreadsheetml/2006/main">
  <authors>
    <author>Ralf Wiesenberg</author>
    <author>Stefan</author>
  </authors>
  <commentList>
    <comment ref="J6" authorId="0">
      <text>
        <r>
          <rPr>
            <b/>
            <sz val="9"/>
            <color indexed="81"/>
            <rFont val="Tahoma"/>
            <family val="2"/>
          </rPr>
          <t>Ralf Wiesenberg:</t>
        </r>
        <r>
          <rPr>
            <sz val="9"/>
            <color indexed="81"/>
            <rFont val="Tahoma"/>
            <family val="2"/>
          </rPr>
          <t xml:space="preserve">
Ralf Wiesenberg:
in the BID report it is 10 in the EXCEL2018  05-25  LCA calculations for SEIS Data Request and 2018  05-25  TOTE Vessel E</t>
        </r>
      </text>
    </comment>
    <comment ref="O50" authorId="1">
      <text>
        <r>
          <rPr>
            <b/>
            <sz val="9"/>
            <color indexed="81"/>
            <rFont val="Tahoma"/>
            <family val="2"/>
          </rPr>
          <t>Stefan:</t>
        </r>
        <r>
          <rPr>
            <sz val="9"/>
            <color indexed="81"/>
            <rFont val="Tahoma"/>
            <family val="2"/>
          </rPr>
          <t xml:space="preserve">
Total carbon factor from Fuel Specs</t>
        </r>
      </text>
    </comment>
    <comment ref="K51" authorId="1">
      <text>
        <r>
          <rPr>
            <b/>
            <sz val="9"/>
            <color indexed="81"/>
            <rFont val="Tahoma"/>
            <family val="2"/>
          </rPr>
          <t>Stefan:</t>
        </r>
        <r>
          <rPr>
            <sz val="9"/>
            <color indexed="81"/>
            <rFont val="Tahoma"/>
            <family val="2"/>
          </rPr>
          <t xml:space="preserve">
This factor represents the back and forth calculations between heating values and brake specific fuel consumption.</t>
        </r>
      </text>
    </comment>
  </commentList>
</comments>
</file>

<file path=xl/sharedStrings.xml><?xml version="1.0" encoding="utf-8"?>
<sst xmlns="http://schemas.openxmlformats.org/spreadsheetml/2006/main" count="3839" uniqueCount="1742">
  <si>
    <t>Specifications of Fuels, Global Warming Potentials of Greenhouse Gases, and Carbon and Sulfur Ratios of Pollutants</t>
  </si>
  <si>
    <t>1) Specifications of Fuels</t>
  </si>
  <si>
    <t>Fuel</t>
  </si>
  <si>
    <t>Heating Value</t>
  </si>
  <si>
    <t>Density</t>
  </si>
  <si>
    <t>C ratio</t>
  </si>
  <si>
    <t>S ratio</t>
  </si>
  <si>
    <t>Carbon Factor</t>
  </si>
  <si>
    <t>Other Properties</t>
  </si>
  <si>
    <t>Calculation: LHV</t>
  </si>
  <si>
    <t>LHV</t>
  </si>
  <si>
    <t>HHV</t>
  </si>
  <si>
    <t>(% by wt)</t>
  </si>
  <si>
    <t>(ppm by wt)</t>
  </si>
  <si>
    <t>Total C
in Fuel</t>
  </si>
  <si>
    <t>Fossil C 
in Fuel</t>
  </si>
  <si>
    <t>Biogenic C
in Fuel</t>
  </si>
  <si>
    <t>Use LHV or HHV in calculations?</t>
  </si>
  <si>
    <t>1 -- LHV; 2 -- HHV</t>
  </si>
  <si>
    <t xml:space="preserve">                  Density</t>
  </si>
  <si>
    <t>Source</t>
  </si>
  <si>
    <t>Citation</t>
  </si>
  <si>
    <t>Liquid Fuels:</t>
  </si>
  <si>
    <t>Btu/gal</t>
  </si>
  <si>
    <t>g/gal</t>
  </si>
  <si>
    <t>Ratio by Wt.</t>
  </si>
  <si>
    <t>MJ/kg</t>
  </si>
  <si>
    <t>Btu/lb</t>
  </si>
  <si>
    <t>MJ/unit</t>
  </si>
  <si>
    <t>lb/gal</t>
  </si>
  <si>
    <t>kg/L</t>
  </si>
  <si>
    <t>Crude oil</t>
  </si>
  <si>
    <t>CA_GREET</t>
  </si>
  <si>
    <t>Conventional gasoline</t>
  </si>
  <si>
    <t>GREET1_2012</t>
  </si>
  <si>
    <t>Wang (2012)</t>
  </si>
  <si>
    <t>Reformulated or low-sulfur gasoline</t>
  </si>
  <si>
    <t>Calculation</t>
  </si>
  <si>
    <t>CARBOB for CARFG</t>
  </si>
  <si>
    <t>Unnasch (2009)</t>
  </si>
  <si>
    <t>CA reformulated gasoline</t>
  </si>
  <si>
    <t>Low-sulfur diesel</t>
  </si>
  <si>
    <t>Petroleum naphtha</t>
  </si>
  <si>
    <t>GTL naphtha</t>
  </si>
  <si>
    <t>Residual oil</t>
  </si>
  <si>
    <t>Bunker fuel for ocean tanker</t>
  </si>
  <si>
    <t>Methanol</t>
  </si>
  <si>
    <t>Ethanol</t>
  </si>
  <si>
    <t>Butanol</t>
  </si>
  <si>
    <t>Acetone</t>
  </si>
  <si>
    <t>E-Diesel Additives</t>
  </si>
  <si>
    <t>LPG</t>
  </si>
  <si>
    <t>Liquefied natural gas (LNG)</t>
  </si>
  <si>
    <t>Dimethyl ether</t>
  </si>
  <si>
    <t>Dimethoxy methane (DMM)</t>
  </si>
  <si>
    <t>Algae Oil, TAG</t>
  </si>
  <si>
    <t>Vegetable Oil (PVO)</t>
  </si>
  <si>
    <t>Methyl ester (biodiesel, BD)</t>
  </si>
  <si>
    <t>Ethyl ester (biodiesel, BD)</t>
  </si>
  <si>
    <t>GTL Diesel</t>
  </si>
  <si>
    <t>Renewable Diesel I (SuperCetane)</t>
  </si>
  <si>
    <t>Renewable Diesel II (UOP-HDO)</t>
  </si>
  <si>
    <t>Renewable Gasoline</t>
  </si>
  <si>
    <t>Liquid hydrogen</t>
  </si>
  <si>
    <t>Methyl tertiary butyl ether (MTBE)</t>
  </si>
  <si>
    <t>Ethyl tertiary butyl ether (ETBE)</t>
  </si>
  <si>
    <t>Tertiary amyl methyl ether (TAME)</t>
  </si>
  <si>
    <t>Butane</t>
  </si>
  <si>
    <t>Isobutane</t>
  </si>
  <si>
    <t>Isobutylene</t>
  </si>
  <si>
    <t>Propane</t>
  </si>
  <si>
    <t>Natural gas liquids</t>
  </si>
  <si>
    <t>Still gas (in refineries)</t>
  </si>
  <si>
    <t>Gaseous Fuels (at 32F and 1atm):</t>
  </si>
  <si>
    <t>Btu/ft3</t>
  </si>
  <si>
    <t>g/ft3</t>
  </si>
  <si>
    <t>Natural gas</t>
  </si>
  <si>
    <t>Hydrogen</t>
  </si>
  <si>
    <t>Carbon Dioxide</t>
  </si>
  <si>
    <t>Landfill Gas</t>
  </si>
  <si>
    <t>Fuel Gas (RD I)</t>
  </si>
  <si>
    <t>Shale Gas</t>
  </si>
  <si>
    <t>Flared Gas</t>
  </si>
  <si>
    <t>Propane Fuel Mix (RD II)</t>
  </si>
  <si>
    <t>Solid Fuels:</t>
  </si>
  <si>
    <t>Btu/ton</t>
  </si>
  <si>
    <t>Coal</t>
  </si>
  <si>
    <t>Coking coal</t>
  </si>
  <si>
    <t>Lignite</t>
  </si>
  <si>
    <t>Farmed trees</t>
  </si>
  <si>
    <t>Herbaceous biomass</t>
  </si>
  <si>
    <t>Corn stover</t>
  </si>
  <si>
    <t>Forest residue</t>
  </si>
  <si>
    <t>Sugarcane straw</t>
  </si>
  <si>
    <t>?</t>
  </si>
  <si>
    <t>Sugarcane bagasse</t>
  </si>
  <si>
    <t>Pet Coke</t>
  </si>
  <si>
    <t>Stillage solids</t>
  </si>
  <si>
    <t xml:space="preserve">Jenny has something.  </t>
  </si>
  <si>
    <t>Life Cycle Associates, LLC</t>
  </si>
  <si>
    <t>Fuel Life Cycle Factors Sheet</t>
  </si>
  <si>
    <t>Global Warming Potential, Molecular Weight</t>
  </si>
  <si>
    <t>Variable Name</t>
  </si>
  <si>
    <t>Species</t>
  </si>
  <si>
    <t>GWP</t>
  </si>
  <si>
    <t>Mol Wt</t>
  </si>
  <si>
    <t>MW</t>
  </si>
  <si>
    <t>CO2</t>
  </si>
  <si>
    <t>CO2_GWP</t>
  </si>
  <si>
    <t>CO2_MW</t>
  </si>
  <si>
    <t>CH4</t>
  </si>
  <si>
    <t>CH4_GWP</t>
  </si>
  <si>
    <t>CH4_MW</t>
  </si>
  <si>
    <t>N2O</t>
  </si>
  <si>
    <t>N2O_GWP</t>
  </si>
  <si>
    <t>N2O_MW</t>
  </si>
  <si>
    <t>VOC</t>
  </si>
  <si>
    <t>VOC_GWP</t>
  </si>
  <si>
    <t>VOC_MW</t>
  </si>
  <si>
    <t>CO</t>
  </si>
  <si>
    <t>CO_GWP</t>
  </si>
  <si>
    <t>CO_MW</t>
  </si>
  <si>
    <t>NO2</t>
  </si>
  <si>
    <t>NO2_GWP</t>
  </si>
  <si>
    <t>NO2_MW</t>
  </si>
  <si>
    <t>C</t>
  </si>
  <si>
    <t>C_MW</t>
  </si>
  <si>
    <t>H</t>
  </si>
  <si>
    <t>H_MW</t>
  </si>
  <si>
    <t>O</t>
  </si>
  <si>
    <t>O_MW</t>
  </si>
  <si>
    <t>N</t>
  </si>
  <si>
    <t>N_MW</t>
  </si>
  <si>
    <t>Ca</t>
  </si>
  <si>
    <t>Ca_MW</t>
  </si>
  <si>
    <t>Cl</t>
  </si>
  <si>
    <t>Cl_MW</t>
  </si>
  <si>
    <t>Na</t>
  </si>
  <si>
    <t>Na_MW</t>
  </si>
  <si>
    <t>S</t>
  </si>
  <si>
    <t>S_MW</t>
  </si>
  <si>
    <t>P</t>
  </si>
  <si>
    <t>P_MW</t>
  </si>
  <si>
    <t>K</t>
  </si>
  <si>
    <t>K_MW</t>
  </si>
  <si>
    <t>Carbon and Sulfur Ratios of Pollutants</t>
  </si>
  <si>
    <t>Ratio</t>
  </si>
  <si>
    <t>Carbon ratio of VOC</t>
  </si>
  <si>
    <t>VOC_C_Ratio</t>
  </si>
  <si>
    <t>Carbon ratio of CO</t>
  </si>
  <si>
    <t>CO_C_Ratio</t>
  </si>
  <si>
    <t>Carbon ratio of CH4</t>
  </si>
  <si>
    <t>CH4_C_Ratio</t>
  </si>
  <si>
    <t>Carbon ratio of CO2</t>
  </si>
  <si>
    <t>CO2_C_Ratio</t>
  </si>
  <si>
    <t>Sulfur ratio of SO2</t>
  </si>
  <si>
    <t>SO2_S_Ratio</t>
  </si>
  <si>
    <t>Conversion Factors</t>
  </si>
  <si>
    <t>Energy</t>
  </si>
  <si>
    <t>J/Btu</t>
  </si>
  <si>
    <t>JperBtu</t>
  </si>
  <si>
    <t>Btu/MJ</t>
  </si>
  <si>
    <t>BtuperMJ</t>
  </si>
  <si>
    <t>Btu/kWh</t>
  </si>
  <si>
    <t>BtuperkWh</t>
  </si>
  <si>
    <t>Mass</t>
  </si>
  <si>
    <t>g/lb</t>
  </si>
  <si>
    <t>gperlb</t>
  </si>
  <si>
    <t>metric tonne/ton</t>
  </si>
  <si>
    <t>tonneperton</t>
  </si>
  <si>
    <t>lb/kg</t>
  </si>
  <si>
    <t>lbperkg</t>
  </si>
  <si>
    <t>Volume</t>
  </si>
  <si>
    <t>L/gal</t>
  </si>
  <si>
    <t>Lpergal</t>
  </si>
  <si>
    <t>Area</t>
  </si>
  <si>
    <t>acre/hectare</t>
  </si>
  <si>
    <t>acreperhectare</t>
  </si>
  <si>
    <t>Distance</t>
  </si>
  <si>
    <t>cm/inch</t>
  </si>
  <si>
    <t>cmperinch</t>
  </si>
  <si>
    <t>mi/naut mi</t>
  </si>
  <si>
    <t>mipernaut</t>
  </si>
  <si>
    <r>
      <t>SO</t>
    </r>
    <r>
      <rPr>
        <b/>
        <vertAlign val="subscript"/>
        <sz val="8"/>
        <rFont val="Arial"/>
        <family val="2"/>
      </rPr>
      <t>x</t>
    </r>
  </si>
  <si>
    <r>
      <t>g CO</t>
    </r>
    <r>
      <rPr>
        <b/>
        <vertAlign val="subscript"/>
        <sz val="8"/>
        <rFont val="Arial"/>
        <family val="2"/>
      </rPr>
      <t>2</t>
    </r>
    <r>
      <rPr>
        <b/>
        <sz val="8"/>
        <rFont val="Arial"/>
        <family val="2"/>
      </rPr>
      <t>/MJ</t>
    </r>
  </si>
  <si>
    <r>
      <t>U</t>
    </r>
    <r>
      <rPr>
        <sz val="8"/>
        <rFont val="Arial"/>
        <family val="2"/>
      </rPr>
      <t>.S. conventional diesel</t>
    </r>
  </si>
  <si>
    <r>
      <t>lb/ft</t>
    </r>
    <r>
      <rPr>
        <b/>
        <vertAlign val="superscript"/>
        <sz val="8"/>
        <rFont val="Arial"/>
        <family val="2"/>
      </rPr>
      <t>3</t>
    </r>
  </si>
  <si>
    <r>
      <t>B</t>
    </r>
    <r>
      <rPr>
        <sz val="8"/>
        <rFont val="Arial"/>
        <family val="2"/>
      </rPr>
      <t>ituminous coal</t>
    </r>
  </si>
  <si>
    <t>ft/mi</t>
  </si>
  <si>
    <t>km/mi</t>
  </si>
  <si>
    <t>kmpermi</t>
  </si>
  <si>
    <t>Units</t>
  </si>
  <si>
    <t>Input</t>
  </si>
  <si>
    <t>Natural Gas</t>
  </si>
  <si>
    <t>Natural Gas Extraction</t>
  </si>
  <si>
    <t>Mix</t>
  </si>
  <si>
    <t>Capacity</t>
  </si>
  <si>
    <t>scf/lb mol</t>
  </si>
  <si>
    <t>scfperlbmol</t>
  </si>
  <si>
    <t>Transport</t>
  </si>
  <si>
    <t>Total</t>
  </si>
  <si>
    <t>Washington</t>
  </si>
  <si>
    <t>tonne C</t>
  </si>
  <si>
    <t>AR Edition</t>
  </si>
  <si>
    <t>Time Horizon</t>
  </si>
  <si>
    <t>AR5</t>
  </si>
  <si>
    <t>AR4</t>
  </si>
  <si>
    <r>
      <t>CO</t>
    </r>
    <r>
      <rPr>
        <vertAlign val="subscript"/>
        <sz val="9"/>
        <rFont val="Arial"/>
        <family val="2"/>
      </rPr>
      <t>2</t>
    </r>
  </si>
  <si>
    <r>
      <t>CH</t>
    </r>
    <r>
      <rPr>
        <vertAlign val="subscript"/>
        <sz val="9"/>
        <rFont val="Arial"/>
        <family val="2"/>
      </rPr>
      <t>4</t>
    </r>
  </si>
  <si>
    <r>
      <t>N</t>
    </r>
    <r>
      <rPr>
        <vertAlign val="subscript"/>
        <sz val="9"/>
        <rFont val="Arial"/>
        <family val="2"/>
      </rPr>
      <t>2</t>
    </r>
    <r>
      <rPr>
        <sz val="9"/>
        <rFont val="Arial"/>
        <family val="2"/>
      </rPr>
      <t>O</t>
    </r>
  </si>
  <si>
    <t>Ethylene</t>
  </si>
  <si>
    <t>SG</t>
  </si>
  <si>
    <t>Component</t>
  </si>
  <si>
    <t>Methane</t>
  </si>
  <si>
    <r>
      <t>C</t>
    </r>
    <r>
      <rPr>
        <vertAlign val="subscript"/>
        <sz val="9"/>
        <rFont val="Arial"/>
        <family val="2"/>
      </rPr>
      <t>2</t>
    </r>
    <r>
      <rPr>
        <sz val="9"/>
        <rFont val="Arial"/>
        <family val="2"/>
      </rPr>
      <t>H</t>
    </r>
    <r>
      <rPr>
        <vertAlign val="subscript"/>
        <sz val="9"/>
        <rFont val="Arial"/>
        <family val="2"/>
      </rPr>
      <t>6</t>
    </r>
  </si>
  <si>
    <r>
      <t>C</t>
    </r>
    <r>
      <rPr>
        <vertAlign val="subscript"/>
        <sz val="9"/>
        <rFont val="Arial"/>
        <family val="2"/>
      </rPr>
      <t>3</t>
    </r>
    <r>
      <rPr>
        <sz val="9"/>
        <rFont val="Arial"/>
        <family val="2"/>
      </rPr>
      <t>H</t>
    </r>
    <r>
      <rPr>
        <vertAlign val="subscript"/>
        <sz val="9"/>
        <rFont val="Arial"/>
        <family val="2"/>
      </rPr>
      <t>8</t>
    </r>
  </si>
  <si>
    <r>
      <t>i-C</t>
    </r>
    <r>
      <rPr>
        <vertAlign val="subscript"/>
        <sz val="9"/>
        <rFont val="Arial"/>
        <family val="2"/>
      </rPr>
      <t>4</t>
    </r>
    <r>
      <rPr>
        <sz val="9"/>
        <rFont val="Arial"/>
        <family val="2"/>
      </rPr>
      <t>H</t>
    </r>
    <r>
      <rPr>
        <vertAlign val="subscript"/>
        <sz val="9"/>
        <rFont val="Arial"/>
        <family val="2"/>
      </rPr>
      <t>10</t>
    </r>
  </si>
  <si>
    <r>
      <t>n-C</t>
    </r>
    <r>
      <rPr>
        <vertAlign val="subscript"/>
        <sz val="9"/>
        <rFont val="Arial"/>
        <family val="2"/>
      </rPr>
      <t>4</t>
    </r>
    <r>
      <rPr>
        <sz val="9"/>
        <rFont val="Arial"/>
        <family val="2"/>
      </rPr>
      <t>H</t>
    </r>
    <r>
      <rPr>
        <vertAlign val="subscript"/>
        <sz val="9"/>
        <rFont val="Arial"/>
        <family val="2"/>
      </rPr>
      <t>10</t>
    </r>
  </si>
  <si>
    <r>
      <t>i-C</t>
    </r>
    <r>
      <rPr>
        <vertAlign val="subscript"/>
        <sz val="9"/>
        <rFont val="Arial"/>
        <family val="2"/>
      </rPr>
      <t>5</t>
    </r>
    <r>
      <rPr>
        <sz val="9"/>
        <rFont val="Arial"/>
        <family val="2"/>
      </rPr>
      <t>H</t>
    </r>
    <r>
      <rPr>
        <vertAlign val="subscript"/>
        <sz val="9"/>
        <rFont val="Arial"/>
        <family val="2"/>
      </rPr>
      <t>12</t>
    </r>
  </si>
  <si>
    <r>
      <t>n-C</t>
    </r>
    <r>
      <rPr>
        <vertAlign val="subscript"/>
        <sz val="9"/>
        <rFont val="Arial"/>
        <family val="2"/>
      </rPr>
      <t>5</t>
    </r>
    <r>
      <rPr>
        <sz val="9"/>
        <rFont val="Arial"/>
        <family val="2"/>
      </rPr>
      <t>H</t>
    </r>
    <r>
      <rPr>
        <vertAlign val="subscript"/>
        <sz val="9"/>
        <rFont val="Arial"/>
        <family val="2"/>
      </rPr>
      <t>12</t>
    </r>
  </si>
  <si>
    <t>Gasoline</t>
  </si>
  <si>
    <t>Benzene</t>
  </si>
  <si>
    <t>Diesel</t>
  </si>
  <si>
    <r>
      <t>H</t>
    </r>
    <r>
      <rPr>
        <vertAlign val="subscript"/>
        <sz val="9"/>
        <rFont val="Arial"/>
        <family val="2"/>
      </rPr>
      <t>2</t>
    </r>
  </si>
  <si>
    <r>
      <t>H</t>
    </r>
    <r>
      <rPr>
        <vertAlign val="subscript"/>
        <sz val="9"/>
        <rFont val="Arial"/>
        <family val="2"/>
      </rPr>
      <t>2</t>
    </r>
    <r>
      <rPr>
        <sz val="9"/>
        <rFont val="Arial"/>
        <family val="2"/>
      </rPr>
      <t>S</t>
    </r>
  </si>
  <si>
    <r>
      <t>N</t>
    </r>
    <r>
      <rPr>
        <vertAlign val="subscript"/>
        <sz val="9"/>
        <rFont val="Arial"/>
        <family val="2"/>
      </rPr>
      <t>2</t>
    </r>
  </si>
  <si>
    <r>
      <t>O</t>
    </r>
    <r>
      <rPr>
        <vertAlign val="subscript"/>
        <sz val="9"/>
        <rFont val="Arial"/>
        <family val="2"/>
      </rPr>
      <t>2</t>
    </r>
  </si>
  <si>
    <t>NL/g mol</t>
  </si>
  <si>
    <t>Lpergmol</t>
  </si>
  <si>
    <t>Boiler</t>
  </si>
  <si>
    <t>Marginal</t>
  </si>
  <si>
    <t>Upstream</t>
  </si>
  <si>
    <t>Coal Boiler</t>
  </si>
  <si>
    <t>Fuel Gas</t>
  </si>
  <si>
    <t>Residual Oil</t>
  </si>
  <si>
    <t>Diesel Fuel</t>
  </si>
  <si>
    <t>Crude</t>
  </si>
  <si>
    <t>Utility/ Industrial Boiler (&gt;100 mmBtu/hr input)</t>
  </si>
  <si>
    <t>Small Industrial Boiler (10-100 mmBtu/hr input)</t>
  </si>
  <si>
    <t>Large Gas Turbine</t>
  </si>
  <si>
    <t>CC Gas Turbine</t>
  </si>
  <si>
    <t>Small Turbine</t>
  </si>
  <si>
    <t>Stationary Reciprocating Engine</t>
  </si>
  <si>
    <t xml:space="preserve">    NG Flaring in Oil Field</t>
  </si>
  <si>
    <t>Utility Boiler</t>
  </si>
  <si>
    <t>Industrial Boiler</t>
  </si>
  <si>
    <t>Commercial Boiler</t>
  </si>
  <si>
    <t>Turbine</t>
  </si>
  <si>
    <t>Farming Tractor</t>
  </si>
  <si>
    <t>IGCC Turbine</t>
  </si>
  <si>
    <t>NOx</t>
  </si>
  <si>
    <t>PM10</t>
  </si>
  <si>
    <t>PM2.5</t>
  </si>
  <si>
    <t>SOx</t>
  </si>
  <si>
    <t>BC</t>
  </si>
  <si>
    <t>OC</t>
  </si>
  <si>
    <t>Biogenic CO2</t>
  </si>
  <si>
    <t>1) Emission Factors of Fuel Combustion for Stationary Applications (grams per mmBtu of fuel burned), GREET EF Tab</t>
  </si>
  <si>
    <t>Scenario</t>
  </si>
  <si>
    <t>Extraction Fugitive</t>
  </si>
  <si>
    <t>Natural Gas Processing</t>
  </si>
  <si>
    <t>Processing Fugtive</t>
  </si>
  <si>
    <t>Transmisison Fugitive</t>
  </si>
  <si>
    <t>Processing Step</t>
  </si>
  <si>
    <r>
      <t>CO</t>
    </r>
    <r>
      <rPr>
        <b/>
        <vertAlign val="subscript"/>
        <sz val="11"/>
        <color indexed="8"/>
        <rFont val="Calibri"/>
        <family val="2"/>
      </rPr>
      <t>2</t>
    </r>
    <r>
      <rPr>
        <b/>
        <sz val="11"/>
        <color indexed="8"/>
        <rFont val="Calibri"/>
        <family val="2"/>
      </rPr>
      <t>e</t>
    </r>
  </si>
  <si>
    <r>
      <t>CO</t>
    </r>
    <r>
      <rPr>
        <b/>
        <vertAlign val="subscript"/>
        <sz val="11"/>
        <color indexed="8"/>
        <rFont val="Calibri"/>
        <family val="2"/>
      </rPr>
      <t>2</t>
    </r>
  </si>
  <si>
    <r>
      <t>CH</t>
    </r>
    <r>
      <rPr>
        <b/>
        <vertAlign val="subscript"/>
        <sz val="11"/>
        <color indexed="8"/>
        <rFont val="Calibri"/>
        <family val="2"/>
      </rPr>
      <t>4</t>
    </r>
  </si>
  <si>
    <r>
      <t>N</t>
    </r>
    <r>
      <rPr>
        <b/>
        <vertAlign val="subscript"/>
        <sz val="11"/>
        <color indexed="8"/>
        <rFont val="Calibri"/>
        <family val="2"/>
      </rPr>
      <t>2</t>
    </r>
    <r>
      <rPr>
        <b/>
        <sz val="11"/>
        <color indexed="8"/>
        <rFont val="Calibri"/>
        <family val="2"/>
      </rPr>
      <t>O</t>
    </r>
  </si>
  <si>
    <t>GREET1_2017</t>
  </si>
  <si>
    <t>Emissions (g/mmBtu), LHV</t>
  </si>
  <si>
    <t>Transmission &amp; Storage</t>
  </si>
  <si>
    <r>
      <t>CO</t>
    </r>
    <r>
      <rPr>
        <b/>
        <vertAlign val="subscript"/>
        <sz val="11"/>
        <color indexed="8"/>
        <rFont val="Calibri"/>
        <family val="2"/>
      </rPr>
      <t>2</t>
    </r>
    <r>
      <rPr>
        <b/>
        <sz val="11"/>
        <color indexed="8"/>
        <rFont val="Calibri"/>
        <family val="2"/>
      </rPr>
      <t>c</t>
    </r>
  </si>
  <si>
    <t>Equipment Type</t>
  </si>
  <si>
    <t>Diesel Engine</t>
  </si>
  <si>
    <t>Gasoline Engine</t>
  </si>
  <si>
    <t>Marine Engine</t>
  </si>
  <si>
    <t>GREET WTT Emissions (g/mmBtu), LHV</t>
  </si>
  <si>
    <t>Gasoline, E10</t>
  </si>
  <si>
    <t>Bunker Fuel</t>
  </si>
  <si>
    <t>gal</t>
  </si>
  <si>
    <t>mmBtu, HHV</t>
  </si>
  <si>
    <t>GREET Emission Factors</t>
  </si>
  <si>
    <t>CO2c</t>
  </si>
  <si>
    <t>IC Engine</t>
  </si>
  <si>
    <t>Turbine, CC</t>
  </si>
  <si>
    <t>Heavy Duty Truck</t>
  </si>
  <si>
    <t>Locomotive</t>
  </si>
  <si>
    <t>HD Truck</t>
  </si>
  <si>
    <t>Diesel Truck</t>
  </si>
  <si>
    <t>Natural Gas ICE</t>
  </si>
  <si>
    <t>Natural Gas CC Turbine</t>
  </si>
  <si>
    <t>Natural Gas Boiler</t>
  </si>
  <si>
    <t>Fuel gas bioler</t>
  </si>
  <si>
    <t>Fuel/ Application</t>
  </si>
  <si>
    <t>Btu/tonne</t>
  </si>
  <si>
    <t>tonne</t>
  </si>
  <si>
    <t>g/mmBtu</t>
  </si>
  <si>
    <t>EIS Emission Factors</t>
  </si>
  <si>
    <t>U.S. Average</t>
  </si>
  <si>
    <t>Power Plants</t>
  </si>
  <si>
    <t>Emissions (g/kWh)</t>
  </si>
  <si>
    <t>WA</t>
  </si>
  <si>
    <t>Operational Emissions</t>
  </si>
  <si>
    <t>Construction Emissions</t>
  </si>
  <si>
    <t>Upstream Natural Gas</t>
  </si>
  <si>
    <t>Pollutant</t>
  </si>
  <si>
    <t>Emissions (tonne)</t>
  </si>
  <si>
    <t>Structural Steel</t>
  </si>
  <si>
    <t>Stainless Steel</t>
  </si>
  <si>
    <t xml:space="preserve">Copper </t>
  </si>
  <si>
    <t>Aggregate</t>
  </si>
  <si>
    <t>Cement</t>
  </si>
  <si>
    <t>Asphalt</t>
  </si>
  <si>
    <t>tonnes</t>
  </si>
  <si>
    <t>Paint</t>
  </si>
  <si>
    <t>Rebar</t>
  </si>
  <si>
    <t>Steel</t>
  </si>
  <si>
    <t>Life Cycle Emission Factor (g/kg)</t>
  </si>
  <si>
    <t>Crude Oil Production</t>
  </si>
  <si>
    <t>Crude Oil Refining</t>
  </si>
  <si>
    <t>Transport Fugitive</t>
  </si>
  <si>
    <t>Refinery Efficiency</t>
  </si>
  <si>
    <t>Crude Oil Resource Mix</t>
  </si>
  <si>
    <t>API Gravity</t>
  </si>
  <si>
    <t>Canadian Oil Sands</t>
  </si>
  <si>
    <t>Processing Fugitive</t>
  </si>
  <si>
    <t>Total U.S. Bunker Fuel</t>
  </si>
  <si>
    <t>Total U.S. Diesel Fuel</t>
  </si>
  <si>
    <t>Imported Oil</t>
  </si>
  <si>
    <t>Product Transport</t>
  </si>
  <si>
    <t>% Marine Vessel</t>
  </si>
  <si>
    <t>Average Distance</t>
  </si>
  <si>
    <t>GHG Emissions (kg/1000 gal LNG)</t>
  </si>
  <si>
    <t>LNG</t>
  </si>
  <si>
    <t>Truck</t>
  </si>
  <si>
    <t>NG Peak Shaving</t>
  </si>
  <si>
    <t xml:space="preserve">LNG </t>
  </si>
  <si>
    <t>LPG from Tacoma LNG</t>
  </si>
  <si>
    <t>LPG, conventional</t>
  </si>
  <si>
    <t xml:space="preserve">Diesel </t>
  </si>
  <si>
    <t>Truck Engine</t>
  </si>
  <si>
    <t>GHG Emissions</t>
  </si>
  <si>
    <t>tonne/year</t>
  </si>
  <si>
    <t>NG Peak shaving</t>
  </si>
  <si>
    <t>Energy Input/Output: Based on 250,000 gal/day</t>
  </si>
  <si>
    <t>GBtu, LHV</t>
  </si>
  <si>
    <t>Natural Gas upstream</t>
  </si>
  <si>
    <t>Power (kWh/1000 gal)</t>
  </si>
  <si>
    <t xml:space="preserve">Baseline </t>
  </si>
  <si>
    <t>eGRID NWPP</t>
  </si>
  <si>
    <t>GHG Emissions
tonne/year</t>
  </si>
  <si>
    <t>LNG Production</t>
  </si>
  <si>
    <t>gal/day</t>
  </si>
  <si>
    <t>Enduse share</t>
  </si>
  <si>
    <t xml:space="preserve">TOTE Marine </t>
  </si>
  <si>
    <t>On-site Peak Shaving</t>
  </si>
  <si>
    <t>Gig Harbor Peak Shaving</t>
  </si>
  <si>
    <t>On-road Trucking</t>
  </si>
  <si>
    <t>Truck-to-Ship Bunkering</t>
  </si>
  <si>
    <t>Other Marine (by Bunker Barge)</t>
  </si>
  <si>
    <t>Scenario A</t>
  </si>
  <si>
    <t>Scenario B</t>
  </si>
  <si>
    <t>A</t>
  </si>
  <si>
    <t>LNG Enduse</t>
  </si>
  <si>
    <t>Upstream Truck-to-Ship Bunkering</t>
  </si>
  <si>
    <t>Total LNG</t>
  </si>
  <si>
    <t>End Use Emissions</t>
  </si>
  <si>
    <t>Total Natural Gas</t>
  </si>
  <si>
    <t>Natural Gas upstream  LNG</t>
  </si>
  <si>
    <t>Flare</t>
  </si>
  <si>
    <t>Vaporizer</t>
  </si>
  <si>
    <t>Fugitives</t>
  </si>
  <si>
    <t>Pumping Diesel fuel from tank to boiler</t>
  </si>
  <si>
    <t>Loss of LNG Peak Shaving - Boiler operation with Diesel</t>
  </si>
  <si>
    <t xml:space="preserve"> Diesel fuel storage pumping</t>
  </si>
  <si>
    <t>Pumping Diesel fuel from tank to vehicle</t>
  </si>
  <si>
    <t>Liquefaction</t>
  </si>
  <si>
    <t>kWh/gal</t>
  </si>
  <si>
    <t>hr/yr</t>
  </si>
  <si>
    <t>Total Consumption</t>
  </si>
  <si>
    <t>Large Boiler</t>
  </si>
  <si>
    <t>Small Boiler</t>
  </si>
  <si>
    <t>Regasification
Vaporizer</t>
  </si>
  <si>
    <t>LNG Storage</t>
  </si>
  <si>
    <t>LNG Preatreatment</t>
  </si>
  <si>
    <t>tonne NG</t>
  </si>
  <si>
    <t>tonne LPG</t>
  </si>
  <si>
    <t>Tacoma LNG Plant</t>
  </si>
  <si>
    <t>GBtu, LHV/year</t>
  </si>
  <si>
    <t>Operational hours Liqu.</t>
  </si>
  <si>
    <t>hr/year</t>
  </si>
  <si>
    <t>NG WPG heater</t>
  </si>
  <si>
    <t>NG Regenerator heater</t>
  </si>
  <si>
    <t>Tacoma
LNG</t>
  </si>
  <si>
    <t>mol%</t>
  </si>
  <si>
    <t>mol/d</t>
  </si>
  <si>
    <t>t/d</t>
  </si>
  <si>
    <t>C2H6</t>
  </si>
  <si>
    <t>C3H8</t>
  </si>
  <si>
    <t>i-C4H10</t>
  </si>
  <si>
    <t>n-C4H10</t>
  </si>
  <si>
    <t>i-C5H12</t>
  </si>
  <si>
    <t>n-C5H12</t>
  </si>
  <si>
    <t>C6+</t>
  </si>
  <si>
    <t>N2</t>
  </si>
  <si>
    <t>H2</t>
  </si>
  <si>
    <t>H2S</t>
  </si>
  <si>
    <t>O2</t>
  </si>
  <si>
    <t>He</t>
  </si>
  <si>
    <t>C factor (lb CO2/scf)</t>
  </si>
  <si>
    <t>LHV (MJ/kg)</t>
  </si>
  <si>
    <t>average molar weight</t>
  </si>
  <si>
    <t>mol "C" per mol gas</t>
  </si>
  <si>
    <t>carbon weight %</t>
  </si>
  <si>
    <t>Carbon factor, gCO2/MJ</t>
  </si>
  <si>
    <t xml:space="preserve">                 g CO2/mmBtu, LHV</t>
  </si>
  <si>
    <t>Btu/scf (LHV)</t>
  </si>
  <si>
    <t>Btu/scf (HHV)</t>
  </si>
  <si>
    <t>MJ/m3</t>
  </si>
  <si>
    <t>Density (g/ft3)</t>
  </si>
  <si>
    <t>Density (g/m3)</t>
  </si>
  <si>
    <t>kWhel/mmBtu</t>
  </si>
  <si>
    <t>mmBtu/hr</t>
  </si>
  <si>
    <t>NG Feed
lb / Day</t>
  </si>
  <si>
    <t>LNG Output
lb / Day</t>
  </si>
  <si>
    <t>Pretreatment</t>
  </si>
  <si>
    <t xml:space="preserve">LNG Output </t>
  </si>
  <si>
    <t xml:space="preserve">Total NG end use </t>
  </si>
  <si>
    <t>tonne LNG</t>
  </si>
  <si>
    <t>mmBtu/year</t>
  </si>
  <si>
    <r>
      <t>C</t>
    </r>
    <r>
      <rPr>
        <vertAlign val="subscript"/>
        <sz val="9"/>
        <rFont val="Arial"/>
        <family val="2"/>
      </rPr>
      <t>6</t>
    </r>
    <r>
      <rPr>
        <sz val="9"/>
        <rFont val="Arial"/>
        <family val="2"/>
      </rPr>
      <t>+</t>
    </r>
  </si>
  <si>
    <t>NG Feed</t>
  </si>
  <si>
    <t>GBtu,LHV</t>
  </si>
  <si>
    <t xml:space="preserve">Operational hours </t>
  </si>
  <si>
    <t>Waste Gas Flow</t>
  </si>
  <si>
    <t>scf/hr</t>
  </si>
  <si>
    <t>Waste Gas Heat Input</t>
  </si>
  <si>
    <t>Total Heat Input</t>
  </si>
  <si>
    <t>scf/m3</t>
  </si>
  <si>
    <t>scfperm3</t>
  </si>
  <si>
    <t>kW</t>
  </si>
  <si>
    <t>Emergency
Diesel genset</t>
  </si>
  <si>
    <t>tonne Diesel</t>
  </si>
  <si>
    <t xml:space="preserve">kWh/galLNG </t>
  </si>
  <si>
    <t>Emergency equipment</t>
  </si>
  <si>
    <t>Power require. (Grid)</t>
  </si>
  <si>
    <t>Power requir. (Grid)</t>
  </si>
  <si>
    <t xml:space="preserve">Methane </t>
  </si>
  <si>
    <t>Fugitives -  Refrigerant losses through Compressor Seals</t>
  </si>
  <si>
    <t>Emissions (tonne/year), LHV</t>
  </si>
  <si>
    <t>Total Annual Consumption</t>
  </si>
  <si>
    <t>Waste gas  Flare</t>
  </si>
  <si>
    <t>Waste gas flaring</t>
  </si>
  <si>
    <t>Waste Flare gas - LNG plant</t>
  </si>
  <si>
    <t>mmBtu/yr</t>
  </si>
  <si>
    <t>Seperated CO2</t>
  </si>
  <si>
    <t>Non-combustion C02 from pretreatment</t>
  </si>
  <si>
    <t>CO2 seperation efficiency</t>
  </si>
  <si>
    <t>tonne Methane</t>
  </si>
  <si>
    <t>Electricity generation</t>
  </si>
  <si>
    <t>kWh/yr</t>
  </si>
  <si>
    <t>Upstream Power LNG production</t>
  </si>
  <si>
    <t>GHG Emissions
kg/1000 gal</t>
  </si>
  <si>
    <t>Total Upstream</t>
  </si>
  <si>
    <t>NO ACTION</t>
  </si>
  <si>
    <t>Total Construction</t>
  </si>
  <si>
    <t>Upstream Displaced Emissions</t>
  </si>
  <si>
    <t>Total Emission (No Action)</t>
  </si>
  <si>
    <t>Net Emission reduction</t>
  </si>
  <si>
    <t>in percentage</t>
  </si>
  <si>
    <t>Products</t>
  </si>
  <si>
    <t>tonne/yr</t>
  </si>
  <si>
    <t>C content</t>
  </si>
  <si>
    <t>Emissions</t>
  </si>
  <si>
    <t>Total Emissions</t>
  </si>
  <si>
    <t>Comments</t>
  </si>
  <si>
    <t>Input NG</t>
  </si>
  <si>
    <t xml:space="preserve">Natural gas </t>
  </si>
  <si>
    <t>lb/day</t>
  </si>
  <si>
    <t>non-combustion</t>
  </si>
  <si>
    <t>LPG, estimated</t>
  </si>
  <si>
    <t>Total Products</t>
  </si>
  <si>
    <t>Total NG Input</t>
  </si>
  <si>
    <t>Total Product + Emissions</t>
  </si>
  <si>
    <t>Total NG Input - Product + Emissions</t>
  </si>
  <si>
    <t>Input,ouput</t>
  </si>
  <si>
    <t>Comments:</t>
  </si>
  <si>
    <t>B: In the FEIS report page 103 the value is 10,703tonne/year. Could you clarify this?</t>
  </si>
  <si>
    <t>B</t>
  </si>
  <si>
    <t>A: How much LPG is produced as product? LPG production is not mentioned in the Response.</t>
  </si>
  <si>
    <t xml:space="preserve">Calculated specs for Feed Gas, Emissions and Products </t>
  </si>
  <si>
    <t xml:space="preserve">Mass </t>
  </si>
  <si>
    <t>Mass ratio, base LNG</t>
  </si>
  <si>
    <t>Overall Mass Balance</t>
  </si>
  <si>
    <t>Mass ratio NG/LNG</t>
  </si>
  <si>
    <t>Power generation</t>
  </si>
  <si>
    <t>Consumption, Estimate</t>
  </si>
  <si>
    <t>Emission Factors</t>
  </si>
  <si>
    <t>hours/year</t>
  </si>
  <si>
    <t>days/year</t>
  </si>
  <si>
    <t>Overall Operational Hours</t>
  </si>
  <si>
    <t>LNG Flaring</t>
  </si>
  <si>
    <t>LNG Liquefaction Plant</t>
  </si>
  <si>
    <t>LNG Vaporizer</t>
  </si>
  <si>
    <t>Emergency Diesel Generator</t>
  </si>
  <si>
    <t>LNG Pretreatment</t>
  </si>
  <si>
    <t>Comment</t>
  </si>
  <si>
    <t>Mgal/
year</t>
  </si>
  <si>
    <t>tonne/
year</t>
  </si>
  <si>
    <t xml:space="preserve">Density LNG g/gal </t>
  </si>
  <si>
    <t xml:space="preserve">Density LNG lb/gal </t>
  </si>
  <si>
    <t>GENERAL INPUTS</t>
  </si>
  <si>
    <t>Version:</t>
  </si>
  <si>
    <t>Date:</t>
  </si>
  <si>
    <r>
      <t>CO</t>
    </r>
    <r>
      <rPr>
        <b/>
        <vertAlign val="subscript"/>
        <sz val="11"/>
        <rFont val="Calibri"/>
        <family val="2"/>
        <scheme val="minor"/>
      </rPr>
      <t>2</t>
    </r>
    <r>
      <rPr>
        <b/>
        <sz val="11"/>
        <rFont val="Calibri"/>
        <family val="2"/>
        <scheme val="minor"/>
      </rPr>
      <t>/pollutant</t>
    </r>
  </si>
  <si>
    <t>NO PROJECT</t>
  </si>
  <si>
    <t>Power Consumption LNG Production</t>
  </si>
  <si>
    <t>LCA</t>
  </si>
  <si>
    <t>Natural Gas Production &amp; Processing</t>
  </si>
  <si>
    <t>Natural Gas Distribution</t>
  </si>
  <si>
    <t xml:space="preserve">Total </t>
  </si>
  <si>
    <t>Total Ex-Distribution</t>
  </si>
  <si>
    <t>GHG Emissions
tonne/40 year</t>
  </si>
  <si>
    <t>Upstream TOTE Marine Diesel</t>
  </si>
  <si>
    <t>PROJECT</t>
  </si>
  <si>
    <t xml:space="preserve"> Diesel fuel for emergency genset</t>
  </si>
  <si>
    <t>Consumption</t>
  </si>
  <si>
    <t>Emissions (kg/1000 gal), LHV</t>
  </si>
  <si>
    <t>Diesel consumption</t>
  </si>
  <si>
    <t>gal/h</t>
  </si>
  <si>
    <t>gal/year</t>
  </si>
  <si>
    <t>Diesel geneartor ULSD</t>
  </si>
  <si>
    <t>--</t>
  </si>
  <si>
    <t>WPG</t>
  </si>
  <si>
    <t>Regen</t>
  </si>
  <si>
    <t>Emissions  (tonne CO2e/year)</t>
  </si>
  <si>
    <t>LNG plant</t>
  </si>
  <si>
    <t>Source: BID REPORT, ATTACHMENT F (1 page)</t>
  </si>
  <si>
    <r>
      <t>Diesel Generator</t>
    </r>
    <r>
      <rPr>
        <sz val="5.5"/>
        <color indexed="8"/>
        <rFont val="Calibri"/>
        <family val="2"/>
      </rPr>
      <t xml:space="preserve"> </t>
    </r>
  </si>
  <si>
    <t>Mgal/yr</t>
  </si>
  <si>
    <t>GBtu, LHV/yr</t>
  </si>
  <si>
    <t>Mgal/ year</t>
  </si>
  <si>
    <t>GBtu/ year</t>
  </si>
  <si>
    <t>Upstream Diesel production</t>
  </si>
  <si>
    <t>Emissions (tonne/yr), LHV</t>
  </si>
  <si>
    <t>mmBtu/
1000 gal LNG</t>
  </si>
  <si>
    <t>GBtu/year</t>
  </si>
  <si>
    <t>g CO2/mmBtu</t>
  </si>
  <si>
    <t>(estimate need of 1830 Btu/gal LNG)</t>
  </si>
  <si>
    <t>C factor (lb CO2/mmBtu)HHV</t>
  </si>
  <si>
    <t>Table 9.  Tacoma Power Generating Mix  (2016)</t>
  </si>
  <si>
    <t>Fuel Type</t>
  </si>
  <si>
    <t>Percentage Used</t>
  </si>
  <si>
    <t>Hydro Power</t>
  </si>
  <si>
    <t>Nuclear*</t>
  </si>
  <si>
    <t>Upstream Emissions from Tacoma Power Supply</t>
  </si>
  <si>
    <t>g/mmBTU LNG</t>
  </si>
  <si>
    <t>g/kWhel</t>
  </si>
  <si>
    <t>grams/mmBTUel</t>
  </si>
  <si>
    <t>kg/ 1000 gal</t>
  </si>
  <si>
    <t>Source: Provided Report BID page 14</t>
  </si>
  <si>
    <t>Combusted Gas Characteristics</t>
  </si>
  <si>
    <t>Parameters</t>
  </si>
  <si>
    <r>
      <t>Natural Gas</t>
    </r>
    <r>
      <rPr>
        <b/>
        <vertAlign val="superscript"/>
        <sz val="11"/>
        <rFont val="Calibri"/>
        <family val="2"/>
        <scheme val="minor"/>
      </rPr>
      <t>a</t>
    </r>
  </si>
  <si>
    <r>
      <t>Flared Waste Gas</t>
    </r>
    <r>
      <rPr>
        <b/>
        <vertAlign val="superscript"/>
        <sz val="11"/>
        <color theme="1"/>
        <rFont val="Calibri"/>
        <family val="2"/>
        <scheme val="minor"/>
      </rPr>
      <t>a</t>
    </r>
  </si>
  <si>
    <t>Liquefying Case 1</t>
  </si>
  <si>
    <t>Liquefying Case 2</t>
  </si>
  <si>
    <t>Liquefying Case 3</t>
  </si>
  <si>
    <t>Liquefying Case 4</t>
  </si>
  <si>
    <t>Liquefying Case 5</t>
  </si>
  <si>
    <t>Holding</t>
  </si>
  <si>
    <t>LNG Transfer A1</t>
  </si>
  <si>
    <t>LNG Transfer A2/A3</t>
  </si>
  <si>
    <t>LNG Transfer B</t>
  </si>
  <si>
    <t>Heat Content (Btu/scf)</t>
  </si>
  <si>
    <t>Density (lb/scf)</t>
  </si>
  <si>
    <r>
      <t>Sulfur Content (ppmw)</t>
    </r>
    <r>
      <rPr>
        <vertAlign val="superscript"/>
        <sz val="11"/>
        <rFont val="Calibri"/>
        <family val="2"/>
        <scheme val="minor"/>
      </rPr>
      <t>c</t>
    </r>
  </si>
  <si>
    <t>VOC Content (wt%)</t>
  </si>
  <si>
    <t>NA</t>
  </si>
  <si>
    <r>
      <t>Benzene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</si>
  <si>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Ethylbenzene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</si>
  <si>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m,p-Xylene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</si>
  <si>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o-Xylene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</si>
  <si>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r>
      <t>Toluene Concentration (</t>
    </r>
    <r>
      <rPr>
        <sz val="11"/>
        <color indexed="8"/>
        <rFont val="Calibri"/>
        <family val="2"/>
      </rPr>
      <t>mg/m</t>
    </r>
    <r>
      <rPr>
        <vertAlign val="superscript"/>
        <sz val="11"/>
        <color theme="1"/>
        <rFont val="Calibri"/>
        <family val="2"/>
        <scheme val="minor"/>
      </rPr>
      <t>3</t>
    </r>
    <r>
      <rPr>
        <sz val="11"/>
        <color indexed="8"/>
        <rFont val="Calibri"/>
        <family val="2"/>
      </rPr>
      <t>)</t>
    </r>
    <r>
      <rPr>
        <vertAlign val="superscript"/>
        <sz val="11"/>
        <color theme="1"/>
        <rFont val="Calibri"/>
        <family val="2"/>
        <scheme val="minor"/>
      </rPr>
      <t>b</t>
    </r>
  </si>
  <si>
    <t>Notes:</t>
  </si>
  <si>
    <r>
      <rPr>
        <vertAlign val="superscript"/>
        <sz val="11"/>
        <color theme="1"/>
        <rFont val="Calibri"/>
        <family val="2"/>
        <scheme val="minor"/>
      </rPr>
      <t>a</t>
    </r>
    <r>
      <rPr>
        <sz val="11"/>
        <color indexed="8"/>
        <rFont val="Calibri"/>
        <family val="2"/>
      </rPr>
      <t xml:space="preserve"> Provided by CB&amp;I.</t>
    </r>
  </si>
  <si>
    <r>
      <rPr>
        <vertAlign val="superscript"/>
        <sz val="11"/>
        <color theme="1"/>
        <rFont val="Calibri"/>
        <family val="2"/>
        <scheme val="minor"/>
      </rPr>
      <t>c</t>
    </r>
    <r>
      <rPr>
        <sz val="11"/>
        <color indexed="8"/>
        <rFont val="Calibri"/>
        <family val="2"/>
      </rPr>
      <t xml:space="preserve"> Based on the Williams Gas Pipeline tariff of 0.25 grains per 100 cubic feet for H2S, the past 12-month maximum total sulfur (reported as H2S by Williams Gas Pipeline) of 0.603 grains per 100 cubic feet, and sulfur from odorant of 0.23 grains per 100 cubic feet (odorant injection rates provided by PSE).</t>
    </r>
  </si>
  <si>
    <r>
      <t>b</t>
    </r>
    <r>
      <rPr>
        <sz val="11"/>
        <color indexed="8"/>
        <rFont val="Calibri"/>
        <family val="2"/>
      </rPr>
      <t xml:space="preserve"> From "Natural Gas Analysis"; Environmental Partners, Inc.; February 3, 2014. Most hazardous air pollutants (HAPs) will go through with the heavy hydrocarbons, but the fraction is unknown. Therefore, we conservatively assume the waste gas has the full concentration of HAP.</t>
    </r>
  </si>
  <si>
    <t>Fugitive Emissions from Equipment Leaks</t>
  </si>
  <si>
    <t xml:space="preserve">EQUIPMENT INFORMATION </t>
  </si>
  <si>
    <t>Phase</t>
  </si>
  <si>
    <r>
      <t>Emission Factors</t>
    </r>
    <r>
      <rPr>
        <b/>
        <vertAlign val="superscript"/>
        <sz val="11"/>
        <rFont val="Calibri"/>
        <family val="2"/>
        <scheme val="minor"/>
      </rPr>
      <t>3</t>
    </r>
    <r>
      <rPr>
        <b/>
        <sz val="11"/>
        <rFont val="Calibri"/>
        <family val="2"/>
        <scheme val="minor"/>
      </rPr>
      <t xml:space="preserve">
(lb/hr per component)</t>
    </r>
  </si>
  <si>
    <r>
      <t>LDAR Control Efficiency</t>
    </r>
    <r>
      <rPr>
        <b/>
        <vertAlign val="superscript"/>
        <sz val="11"/>
        <rFont val="Calibri"/>
        <family val="2"/>
        <scheme val="minor"/>
      </rPr>
      <t>4</t>
    </r>
  </si>
  <si>
    <t>Fluid Serviced</t>
  </si>
  <si>
    <t>Amine Gas</t>
  </si>
  <si>
    <t>Boil-Off Gas</t>
  </si>
  <si>
    <t>Hydrocarbon Liquid</t>
  </si>
  <si>
    <t>Liquefied Natural Gas</t>
  </si>
  <si>
    <t>Mixed Refrigerant</t>
  </si>
  <si>
    <t xml:space="preserve">Untreated Natural Gas </t>
  </si>
  <si>
    <t>LDAR</t>
  </si>
  <si>
    <t>Valves</t>
  </si>
  <si>
    <t>Gas/Vapor</t>
  </si>
  <si>
    <t>Light Liquid</t>
  </si>
  <si>
    <t>Heavy Liquid</t>
  </si>
  <si>
    <t>Pump Seals</t>
  </si>
  <si>
    <t>Flanges/Connectors</t>
  </si>
  <si>
    <t>Compressor Seals</t>
  </si>
  <si>
    <t>Relief Valves</t>
  </si>
  <si>
    <t>Swivel Joints</t>
  </si>
  <si>
    <t>FLUID HAP/TAP CONTENT</t>
  </si>
  <si>
    <t>CAS / ID</t>
  </si>
  <si>
    <t>Fluid</t>
  </si>
  <si>
    <r>
      <t>Methane Content (%wt)</t>
    </r>
    <r>
      <rPr>
        <vertAlign val="superscript"/>
        <sz val="11"/>
        <rFont val="Calibri"/>
        <family val="2"/>
        <scheme val="minor"/>
      </rPr>
      <t>1</t>
    </r>
  </si>
  <si>
    <t>74-82-8</t>
  </si>
  <si>
    <r>
      <t>n-Hexane (ppmw)</t>
    </r>
    <r>
      <rPr>
        <vertAlign val="superscript"/>
        <sz val="11"/>
        <rFont val="Calibri"/>
        <family val="2"/>
        <scheme val="minor"/>
      </rPr>
      <t>1</t>
    </r>
  </si>
  <si>
    <t>110-54-3</t>
  </si>
  <si>
    <r>
      <t>Hydrogen sulfide (ppmw)</t>
    </r>
    <r>
      <rPr>
        <vertAlign val="superscript"/>
        <sz val="11"/>
        <rFont val="Calibri"/>
        <family val="2"/>
        <scheme val="minor"/>
      </rPr>
      <t>1</t>
    </r>
  </si>
  <si>
    <r>
      <t>Benzene (ppmw)</t>
    </r>
    <r>
      <rPr>
        <vertAlign val="superscript"/>
        <sz val="11"/>
        <rFont val="Calibri"/>
        <family val="2"/>
        <scheme val="minor"/>
      </rPr>
      <t>b, 2</t>
    </r>
  </si>
  <si>
    <t>71-43-2</t>
  </si>
  <si>
    <r>
      <t>Ethylbenzene (ppmw)</t>
    </r>
    <r>
      <rPr>
        <vertAlign val="superscript"/>
        <sz val="11"/>
        <rFont val="Calibri"/>
        <family val="2"/>
        <scheme val="minor"/>
      </rPr>
      <t>b, 2</t>
    </r>
  </si>
  <si>
    <t>100-41-4</t>
  </si>
  <si>
    <r>
      <t>m,p-Xylene (ppmw)</t>
    </r>
    <r>
      <rPr>
        <vertAlign val="superscript"/>
        <sz val="11"/>
        <rFont val="Calibri"/>
        <family val="2"/>
        <scheme val="minor"/>
      </rPr>
      <t>b, 2</t>
    </r>
  </si>
  <si>
    <t>106-42-3</t>
  </si>
  <si>
    <r>
      <t>o-Xylene (ppmw)</t>
    </r>
    <r>
      <rPr>
        <vertAlign val="superscript"/>
        <sz val="11"/>
        <rFont val="Calibri"/>
        <family val="2"/>
        <scheme val="minor"/>
      </rPr>
      <t>b, 2</t>
    </r>
  </si>
  <si>
    <t>95-47-6</t>
  </si>
  <si>
    <r>
      <t>Toluene (ppmw)</t>
    </r>
    <r>
      <rPr>
        <vertAlign val="superscript"/>
        <sz val="11"/>
        <rFont val="Calibri"/>
        <family val="2"/>
        <scheme val="minor"/>
      </rPr>
      <t>b, 2</t>
    </r>
  </si>
  <si>
    <t xml:space="preserve">108-88-3 </t>
  </si>
  <si>
    <t>POTENTIAL EMISSIONS</t>
  </si>
  <si>
    <r>
      <t>Hourly Emissions</t>
    </r>
    <r>
      <rPr>
        <b/>
        <vertAlign val="superscript"/>
        <sz val="11"/>
        <rFont val="Calibri"/>
        <family val="2"/>
        <scheme val="minor"/>
      </rPr>
      <t>a</t>
    </r>
  </si>
  <si>
    <t>(lb/hr)</t>
  </si>
  <si>
    <r>
      <t>Methane</t>
    </r>
    <r>
      <rPr>
        <vertAlign val="superscript"/>
        <sz val="11"/>
        <rFont val="Calibri"/>
        <family val="2"/>
        <scheme val="minor"/>
      </rPr>
      <t>6</t>
    </r>
  </si>
  <si>
    <t>n-Hexane</t>
  </si>
  <si>
    <t>Hydrogen sulfide</t>
  </si>
  <si>
    <t>Ethylbenzene</t>
  </si>
  <si>
    <t>m,p-Xylene</t>
  </si>
  <si>
    <t>o-Xylene</t>
  </si>
  <si>
    <t>Toluene</t>
  </si>
  <si>
    <t>Total HAPs</t>
  </si>
  <si>
    <t>HAP</t>
  </si>
  <si>
    <r>
      <t>Daily Emissions</t>
    </r>
    <r>
      <rPr>
        <b/>
        <vertAlign val="superscript"/>
        <sz val="11"/>
        <rFont val="Calibri"/>
        <family val="2"/>
        <scheme val="minor"/>
      </rPr>
      <t>a</t>
    </r>
  </si>
  <si>
    <t>(kg / day)</t>
  </si>
  <si>
    <r>
      <t>Annual Emissions</t>
    </r>
    <r>
      <rPr>
        <b/>
        <vertAlign val="superscript"/>
        <sz val="11"/>
        <rFont val="Calibri"/>
        <family val="2"/>
        <scheme val="minor"/>
      </rPr>
      <t>a</t>
    </r>
  </si>
  <si>
    <t>(short ton per year)</t>
  </si>
  <si>
    <t>Calculations:</t>
  </si>
  <si>
    <r>
      <rPr>
        <vertAlign val="superscript"/>
        <sz val="11"/>
        <rFont val="Calibri"/>
        <family val="2"/>
        <scheme val="minor"/>
      </rPr>
      <t>a</t>
    </r>
    <r>
      <rPr>
        <sz val="11"/>
        <rFont val="Calibri"/>
        <family val="2"/>
        <scheme val="minor"/>
      </rPr>
      <t xml:space="preserve">  Hourly Emissions (lb/hr) = [Emission Factor (lb/hr per component)] x [Component Count] x [Pollutant Content (%wt)] x [1 - LDAR Control Efficiency (%)]</t>
    </r>
  </si>
  <si>
    <t xml:space="preserve">       Annual Emissions (tpy) = [Emission Factor (lb/hr per component)] x [Component Count] x [Pollutant Content (%wt)] x [1 - LDAR Control Efficiency (%)] x [Hours of Operation (hrs/yr)] / [2,000 lb/ton]</t>
  </si>
  <si>
    <t>Hours of Operation (hrs/yr) =</t>
  </si>
  <si>
    <r>
      <rPr>
        <vertAlign val="superscript"/>
        <sz val="11"/>
        <rFont val="Calibri"/>
        <family val="2"/>
        <scheme val="minor"/>
      </rPr>
      <t>b</t>
    </r>
    <r>
      <rPr>
        <sz val="11"/>
        <rFont val="Calibri"/>
        <family val="2"/>
        <scheme val="minor"/>
      </rPr>
      <t xml:space="preserve">  Pollutant Concentration (ppmw) = [Pollutant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 [453.6 g/lb] / [10</t>
    </r>
    <r>
      <rPr>
        <vertAlign val="superscript"/>
        <sz val="11"/>
        <rFont val="Calibri"/>
        <family val="2"/>
        <scheme val="minor"/>
      </rPr>
      <t>6</t>
    </r>
    <r>
      <rPr>
        <sz val="11"/>
        <rFont val="Calibri"/>
        <family val="2"/>
        <scheme val="minor"/>
      </rPr>
      <t xml:space="preserve"> </t>
    </r>
    <r>
      <rPr>
        <sz val="11"/>
        <rFont val="Symbol"/>
        <family val="1"/>
        <charset val="2"/>
      </rPr>
      <t>m</t>
    </r>
    <r>
      <rPr>
        <sz val="11"/>
        <rFont val="Calibri"/>
        <family val="2"/>
        <scheme val="minor"/>
      </rPr>
      <t>g/g] / [35.31 ft</t>
    </r>
    <r>
      <rPr>
        <vertAlign val="superscript"/>
        <sz val="11"/>
        <rFont val="Calibri"/>
        <family val="2"/>
        <scheme val="minor"/>
      </rPr>
      <t>3</t>
    </r>
    <r>
      <rPr>
        <sz val="11"/>
        <rFont val="Calibri"/>
        <family val="2"/>
        <scheme val="minor"/>
      </rPr>
      <t>/m</t>
    </r>
    <r>
      <rPr>
        <vertAlign val="superscript"/>
        <sz val="11"/>
        <rFont val="Calibri"/>
        <family val="2"/>
        <scheme val="minor"/>
      </rPr>
      <t>3</t>
    </r>
    <r>
      <rPr>
        <sz val="11"/>
        <rFont val="Calibri"/>
        <family val="2"/>
        <scheme val="minor"/>
      </rPr>
      <t>] / [Gas Density (lb/cf)] x 10</t>
    </r>
    <r>
      <rPr>
        <vertAlign val="superscript"/>
        <sz val="11"/>
        <rFont val="Calibri"/>
        <family val="2"/>
        <scheme val="minor"/>
      </rPr>
      <t>6</t>
    </r>
  </si>
  <si>
    <r>
      <t>Benzene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</si>
  <si>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t>5</t>
  </si>
  <si>
    <r>
      <t>Ethylbenzene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</si>
  <si>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m,p-Xylene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</si>
  <si>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o-Xylene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</si>
  <si>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r>
      <t>Toluene Concentration (</t>
    </r>
    <r>
      <rPr>
        <sz val="11"/>
        <rFont val="Symbol"/>
        <family val="1"/>
        <charset val="2"/>
      </rPr>
      <t>m</t>
    </r>
    <r>
      <rPr>
        <sz val="11"/>
        <rFont val="Calibri"/>
        <family val="2"/>
        <scheme val="minor"/>
      </rPr>
      <t>g/m</t>
    </r>
    <r>
      <rPr>
        <vertAlign val="superscript"/>
        <sz val="11"/>
        <rFont val="Calibri"/>
        <family val="2"/>
        <scheme val="minor"/>
      </rPr>
      <t>3</t>
    </r>
    <r>
      <rPr>
        <sz val="11"/>
        <rFont val="Calibri"/>
        <family val="2"/>
        <scheme val="minor"/>
      </rPr>
      <t>) =</t>
    </r>
  </si>
  <si>
    <t>Natural Gas Density (lb/scf) =</t>
  </si>
  <si>
    <r>
      <rPr>
        <vertAlign val="superscript"/>
        <sz val="11"/>
        <rFont val="Calibri"/>
        <family val="2"/>
        <scheme val="minor"/>
      </rPr>
      <t>1</t>
    </r>
    <r>
      <rPr>
        <sz val="11"/>
        <rFont val="Calibri"/>
        <family val="2"/>
        <scheme val="minor"/>
      </rPr>
      <t xml:space="preserve"> Provided by CB&amp;I.</t>
    </r>
  </si>
  <si>
    <r>
      <rPr>
        <vertAlign val="superscript"/>
        <sz val="11"/>
        <rFont val="Calibri"/>
        <family val="2"/>
        <scheme val="minor"/>
      </rPr>
      <t>2</t>
    </r>
    <r>
      <rPr>
        <sz val="11"/>
        <rFont val="Calibri"/>
        <family val="2"/>
        <scheme val="minor"/>
      </rPr>
      <t xml:space="preserve"> From "Natural Gas Analysis"; Environmental Partners, Inc.; February 3, 2014. Most HAPs will go through with the heavy hydrocarbons, but the fraction is unknown. Therefore, we assume each fluid has the full concentration of HAP to provide a conservative emissions estimate.</t>
    </r>
  </si>
  <si>
    <r>
      <rPr>
        <vertAlign val="superscript"/>
        <sz val="11"/>
        <rFont val="Calibri"/>
        <family val="2"/>
        <scheme val="minor"/>
      </rPr>
      <t>3</t>
    </r>
    <r>
      <rPr>
        <sz val="11"/>
        <rFont val="Calibri"/>
        <family val="2"/>
        <scheme val="minor"/>
      </rPr>
      <t xml:space="preserve"> Terminal/Depot factors from South Coast Air Quality Management District's "Guidelines for Fugitive Emissions Calculations" (June 2003). In this guidance, the District updated emissions factors that were identified in the EPA's "Protocol for Equipment Leak Emission Estimates (November 1995).</t>
    </r>
  </si>
  <si>
    <r>
      <rPr>
        <vertAlign val="superscript"/>
        <sz val="11"/>
        <rFont val="Calibri"/>
        <family val="2"/>
        <scheme val="minor"/>
      </rPr>
      <t>4</t>
    </r>
    <r>
      <rPr>
        <sz val="11"/>
        <rFont val="Calibri"/>
        <family val="2"/>
        <scheme val="minor"/>
      </rPr>
      <t xml:space="preserve"> Control effectiveness from Texas Commission for Environmental Quality (TCEQ) "Control Efficiencies for TCEQ Leak Detection and Repair Programs" (July 2011) for its 28M fugitive leak detection program. </t>
    </r>
  </si>
  <si>
    <r>
      <rPr>
        <vertAlign val="superscript"/>
        <sz val="11"/>
        <rFont val="Calibri"/>
        <family val="2"/>
        <scheme val="minor"/>
      </rPr>
      <t>5</t>
    </r>
    <r>
      <rPr>
        <sz val="11"/>
        <rFont val="Calibri"/>
        <family val="2"/>
        <scheme val="minor"/>
      </rPr>
      <t xml:space="preserve"> See fuel characteristics in Table B-2.</t>
    </r>
  </si>
  <si>
    <r>
      <rPr>
        <vertAlign val="superscript"/>
        <sz val="11"/>
        <rFont val="Calibri"/>
        <family val="2"/>
        <scheme val="minor"/>
      </rPr>
      <t>6</t>
    </r>
    <r>
      <rPr>
        <sz val="11"/>
        <rFont val="Calibri"/>
        <family val="2"/>
        <scheme val="minor"/>
      </rPr>
      <t xml:space="preserve"> Assume all VOC is CH</t>
    </r>
    <r>
      <rPr>
        <vertAlign val="subscript"/>
        <sz val="11"/>
        <rFont val="Calibri"/>
        <family val="2"/>
        <scheme val="minor"/>
      </rPr>
      <t>4</t>
    </r>
    <r>
      <rPr>
        <sz val="11"/>
        <rFont val="Calibri"/>
        <family val="2"/>
        <scheme val="minor"/>
      </rPr>
      <t>.</t>
    </r>
  </si>
  <si>
    <t>metric tonne&amp;year</t>
  </si>
  <si>
    <t>shorttonpertonne</t>
  </si>
  <si>
    <t>ton/metric tonne</t>
  </si>
  <si>
    <t>Note: Commute round-trip distance was assumed</t>
  </si>
  <si>
    <t>Dec-4. Year</t>
  </si>
  <si>
    <t>Nov-4. Year</t>
  </si>
  <si>
    <t>Winter 4. Year</t>
  </si>
  <si>
    <t>Oct-4. Year</t>
  </si>
  <si>
    <t>Sep-4. Year</t>
  </si>
  <si>
    <t>Aug-4. Year</t>
  </si>
  <si>
    <t>Jul-4. Year</t>
  </si>
  <si>
    <t>Jun-4. Year</t>
  </si>
  <si>
    <t>May-4. Year</t>
  </si>
  <si>
    <t>Summer 4. Year</t>
  </si>
  <si>
    <t>Apr-4. Year</t>
  </si>
  <si>
    <t>Mar-4. Year</t>
  </si>
  <si>
    <t>Feb-4. Year</t>
  </si>
  <si>
    <t>Jan-4. Year</t>
  </si>
  <si>
    <t>Dec-3. Year</t>
  </si>
  <si>
    <t>Nov-3. Year</t>
  </si>
  <si>
    <t>Winter 3. Year</t>
  </si>
  <si>
    <t>Oct-3. Year</t>
  </si>
  <si>
    <t>Sep-3. Year</t>
  </si>
  <si>
    <t>Aug-3. Year</t>
  </si>
  <si>
    <t>Jul-3. Year</t>
  </si>
  <si>
    <t>Jun-3. Year</t>
  </si>
  <si>
    <t>May-3. Year</t>
  </si>
  <si>
    <t>Summer 3. Year</t>
  </si>
  <si>
    <t>Apr-3. Year</t>
  </si>
  <si>
    <t>Mar-3. Year</t>
  </si>
  <si>
    <t>Feb-3. Year</t>
  </si>
  <si>
    <t>Jan-3. Year</t>
  </si>
  <si>
    <t>Dec-2. Year</t>
  </si>
  <si>
    <t>Nov-2. Year</t>
  </si>
  <si>
    <t>Winter 2. Year</t>
  </si>
  <si>
    <t>Oct-2. Year</t>
  </si>
  <si>
    <t>Sep-2. Year</t>
  </si>
  <si>
    <t>Aug-2. Year</t>
  </si>
  <si>
    <t>Jul-2. Year</t>
  </si>
  <si>
    <t>Jun-2. Year</t>
  </si>
  <si>
    <t>May-2. Year</t>
  </si>
  <si>
    <t>Summer 2. Year</t>
  </si>
  <si>
    <t>Apr-2. Year</t>
  </si>
  <si>
    <t>Mar-2. Year</t>
  </si>
  <si>
    <t>Feb-2. Year</t>
  </si>
  <si>
    <t>Jan-2. Year</t>
  </si>
  <si>
    <t>Dec-1. Year</t>
  </si>
  <si>
    <t>Nov-1. Year</t>
  </si>
  <si>
    <t>Winter 1. Year</t>
  </si>
  <si>
    <t>Oct-1. Year</t>
  </si>
  <si>
    <t>Sep-1. Year</t>
  </si>
  <si>
    <t>Aug-1. Year</t>
  </si>
  <si>
    <t>Jul-1. Year</t>
  </si>
  <si>
    <t>Jun-1. Year</t>
  </si>
  <si>
    <t>May-1. Year</t>
  </si>
  <si>
    <t>Summer 1. Year</t>
  </si>
  <si>
    <t>Apr-1. Year</t>
  </si>
  <si>
    <t>Mar-1. Year</t>
  </si>
  <si>
    <t>Feb-1. Year</t>
  </si>
  <si>
    <t>Jan-1. Year</t>
  </si>
  <si>
    <t># of Cars/day</t>
  </si>
  <si>
    <t>Season</t>
  </si>
  <si>
    <t>Month/Year</t>
  </si>
  <si>
    <t>Assume 48 hours per week; 4.28 weeks per month</t>
  </si>
  <si>
    <t>Construction Worker vehicles assumed to be ID 21 - Passenger Car. Heavy-Duty Delivery trucks assumed to be 61 - Combination Short-haul truck.</t>
  </si>
  <si>
    <t>EFs from EPA MOVES model.</t>
  </si>
  <si>
    <t>Annual Total</t>
  </si>
  <si>
    <t>Heavy Duty Delivery Trucks</t>
  </si>
  <si>
    <t>Seattle-Tacoma</t>
  </si>
  <si>
    <r>
      <rPr>
        <sz val="10"/>
        <rFont val="Arial"/>
        <family val="2"/>
      </rPr>
      <t>Construction
Workers</t>
    </r>
  </si>
  <si>
    <t>VMT</t>
  </si>
  <si>
    <t xml:space="preserve"> Area From Which Workers Commute</t>
  </si>
  <si>
    <t xml:space="preserve">Vehicle Class </t>
  </si>
  <si>
    <t>Construction Vehicle Emissions - Summer 4. Year</t>
  </si>
  <si>
    <t>Construction Vehicle Emissions - Winter 4. Year</t>
  </si>
  <si>
    <t>Construction Vehicle Emissions - Summer 3. Year</t>
  </si>
  <si>
    <t>Construction Vehicle Emissions - Winter 3. Year</t>
  </si>
  <si>
    <t>Construction Vehicle Emissions - Summer 2. Year</t>
  </si>
  <si>
    <t>Construction Vehicle Emissions - Winter 2. Year</t>
  </si>
  <si>
    <t>Construction Vehicle Emissions - Summer 1. Year</t>
  </si>
  <si>
    <t>Construction Vehicle Emissions - Winter 1. Year</t>
  </si>
  <si>
    <t>PSE LNG</t>
  </si>
  <si>
    <t>Road Vehicle Terminal Construction Criteria Pollutant Emissions</t>
  </si>
  <si>
    <t>- Tugboat, Workboat, and Personnel Boat Emissions factors from U.S. Environmental Protection Agency Current Methodologies in Preparing Mobile Source Port-Related Emission Inventories Final Report April 2009, Table 3-8: Harbor Craft Emission Factors (g/kWh)</t>
  </si>
  <si>
    <t>- Emission factors for CH4 and N2O are from the Climate Registry 2014 Default Emission Factors, Table 13.7.</t>
  </si>
  <si>
    <t>- Assume 48 hours per week; 4.28 weeks per month  205  hrs/month</t>
  </si>
  <si>
    <t>Manlifts</t>
  </si>
  <si>
    <t>Loader, Cat 966, 4 cy</t>
  </si>
  <si>
    <t>Fuel Truck</t>
  </si>
  <si>
    <t>Forklift, 8,000 lbs</t>
  </si>
  <si>
    <t>Flatbed Truck (Matl. Handling)</t>
  </si>
  <si>
    <t>Crew Truck, 3/4 ton</t>
  </si>
  <si>
    <t>Crane, 60 ton</t>
  </si>
  <si>
    <t>Concrete Pump</t>
  </si>
  <si>
    <t>Cat D6 Dozer</t>
  </si>
  <si>
    <t>Cat Compactor</t>
  </si>
  <si>
    <t>Air Compressor</t>
  </si>
  <si>
    <t>30 Ton Hydrocrane</t>
  </si>
  <si>
    <t>22 Ton Hydrocrane</t>
  </si>
  <si>
    <t>200 Ton Crawler Crane</t>
  </si>
  <si>
    <t>100 Ton Crawler Crane</t>
  </si>
  <si>
    <t>LNG Facility Construction (no Storage Tank Construction)</t>
  </si>
  <si>
    <t>N2O
(tonne/ year)</t>
  </si>
  <si>
    <t>CH4
(tonne/ year)</t>
  </si>
  <si>
    <t>Fuel Use Rate (gal/hr)</t>
  </si>
  <si>
    <t>Load Factor</t>
  </si>
  <si>
    <t>Utilization</t>
  </si>
  <si>
    <t>Horsepower</t>
  </si>
  <si>
    <r>
      <rPr>
        <sz val="9"/>
        <rFont val="Arial"/>
        <family val="2"/>
      </rPr>
      <t>Equipment
Use Duration (months)</t>
    </r>
  </si>
  <si>
    <t>No.</t>
  </si>
  <si>
    <t>Equipment List</t>
  </si>
  <si>
    <t>Construction Emission during 4. Year</t>
  </si>
  <si>
    <t>Construction Emission during 3. Year</t>
  </si>
  <si>
    <t>Dump Trucks 15 cy</t>
  </si>
  <si>
    <t>Cat 345 Backhoe 4 cy</t>
  </si>
  <si>
    <t>LNG Facility Construction (including Storage Tank)</t>
  </si>
  <si>
    <t>Tug/Work Barge w/crane</t>
  </si>
  <si>
    <t>Personnel Work Boat</t>
  </si>
  <si>
    <t>Diesel Pile Driver Hammer</t>
  </si>
  <si>
    <t>In-water Construction</t>
  </si>
  <si>
    <t>Upland Construction (demo, soil, utilities)</t>
  </si>
  <si>
    <r>
      <rPr>
        <sz val="9"/>
        <rFont val="Arial"/>
        <family val="2"/>
      </rPr>
      <t>CH</t>
    </r>
    <r>
      <rPr>
        <vertAlign val="subscript"/>
        <sz val="9"/>
        <rFont val="Arial"/>
        <family val="2"/>
      </rPr>
      <t xml:space="preserve">4
</t>
    </r>
    <r>
      <rPr>
        <sz val="9"/>
        <rFont val="Arial"/>
        <family val="2"/>
      </rPr>
      <t>Emission
Factor (g/gal)</t>
    </r>
  </si>
  <si>
    <r>
      <rPr>
        <sz val="9"/>
        <rFont val="Arial"/>
        <family val="2"/>
      </rPr>
      <t>CO</t>
    </r>
    <r>
      <rPr>
        <vertAlign val="subscript"/>
        <sz val="9"/>
        <rFont val="Arial"/>
        <family val="2"/>
      </rPr>
      <t xml:space="preserve">2
</t>
    </r>
    <r>
      <rPr>
        <sz val="9"/>
        <rFont val="Arial"/>
        <family val="2"/>
      </rPr>
      <t>Emission
Factor (g/hp-hr)</t>
    </r>
  </si>
  <si>
    <r>
      <rPr>
        <sz val="9"/>
        <rFont val="Arial"/>
        <family val="2"/>
      </rPr>
      <t>Equipment Use Duration
(months)</t>
    </r>
  </si>
  <si>
    <t>Construction Emission during 2. Year</t>
  </si>
  <si>
    <r>
      <rPr>
        <sz val="9"/>
        <rFont val="Arial"/>
        <family val="2"/>
      </rPr>
      <t>N</t>
    </r>
    <r>
      <rPr>
        <vertAlign val="subscript"/>
        <sz val="9"/>
        <rFont val="Arial"/>
        <family val="2"/>
      </rPr>
      <t>2</t>
    </r>
    <r>
      <rPr>
        <sz val="9"/>
        <rFont val="Arial"/>
        <family val="2"/>
      </rPr>
      <t>O
Emission
Factor (g/gal)</t>
    </r>
  </si>
  <si>
    <t>Construction Emission during 1. Year</t>
  </si>
  <si>
    <t>Project TOTAL:</t>
  </si>
  <si>
    <t>4. Year - Total Emissions</t>
  </si>
  <si>
    <t>4. Year - Fugitive Dust</t>
  </si>
  <si>
    <t>4. Year - Road Vehicles/Commuting</t>
  </si>
  <si>
    <t>4. Year - Construction Equipment</t>
  </si>
  <si>
    <t>3. Year - Total Emissions</t>
  </si>
  <si>
    <t>3. Year - Fugitive Dust</t>
  </si>
  <si>
    <t>3. Year - Road Vehicles/Commuting</t>
  </si>
  <si>
    <t>3. Year - Construction Equipment</t>
  </si>
  <si>
    <t>2. Year - Total Emissions</t>
  </si>
  <si>
    <t>2. Year - Fugitive Dust</t>
  </si>
  <si>
    <t>2. Year - Road Vehicles/Commuting</t>
  </si>
  <si>
    <t>2. Year - Construction Equipment</t>
  </si>
  <si>
    <t>1. Year - Total Emissions</t>
  </si>
  <si>
    <t>1. Year - Fugitive Dust</t>
  </si>
  <si>
    <t>1. Year - Road Vehicles/Commuting</t>
  </si>
  <si>
    <t>1. Year - Construction Equipment</t>
  </si>
  <si>
    <r>
      <t>CH</t>
    </r>
    <r>
      <rPr>
        <vertAlign val="subscript"/>
        <sz val="9.5"/>
        <rFont val="Arial"/>
        <family val="2"/>
      </rPr>
      <t xml:space="preserve">4
</t>
    </r>
    <r>
      <rPr>
        <sz val="9.5"/>
        <rFont val="Arial"/>
        <family val="2"/>
      </rPr>
      <t>(tonne/ year)</t>
    </r>
  </si>
  <si>
    <r>
      <t>CO</t>
    </r>
    <r>
      <rPr>
        <vertAlign val="subscript"/>
        <sz val="9.5"/>
        <rFont val="Arial"/>
        <family val="2"/>
      </rPr>
      <t xml:space="preserve">2
</t>
    </r>
    <r>
      <rPr>
        <sz val="9.5"/>
        <rFont val="Arial"/>
        <family val="2"/>
      </rPr>
      <t>(tonne/ year)</t>
    </r>
  </si>
  <si>
    <t>Summary of Terminal Construction Emissions - GHG   PSE LNG</t>
  </si>
  <si>
    <t>Truck VMT/ month</t>
  </si>
  <si>
    <t># of Trucks/ month</t>
  </si>
  <si>
    <t>Total On-Site VMT/ month (Car and Truck)</t>
  </si>
  <si>
    <t># of cars/ month</t>
  </si>
  <si>
    <t>Car   VMT/ month</t>
  </si>
  <si>
    <t># of work days/ month</t>
  </si>
  <si>
    <t>Winter</t>
  </si>
  <si>
    <t>Summer</t>
  </si>
  <si>
    <t>1.Year</t>
  </si>
  <si>
    <t>2.Year</t>
  </si>
  <si>
    <t>3.Year</t>
  </si>
  <si>
    <t>4.Year</t>
  </si>
  <si>
    <t>Operation hours per month</t>
  </si>
  <si>
    <t>CO
Emission Factor (g/hp-hr)</t>
  </si>
  <si>
    <t>VOC
Emission Factor (g/hp-hr)</t>
  </si>
  <si>
    <r>
      <t>CO</t>
    </r>
    <r>
      <rPr>
        <vertAlign val="subscript"/>
        <sz val="9"/>
        <rFont val="Arial"/>
        <family val="2"/>
      </rPr>
      <t>2</t>
    </r>
    <r>
      <rPr>
        <sz val="9"/>
        <rFont val="Arial"/>
        <family val="2"/>
      </rPr>
      <t>c</t>
    </r>
    <r>
      <rPr>
        <vertAlign val="subscript"/>
        <sz val="9"/>
        <rFont val="Arial"/>
        <family val="2"/>
      </rPr>
      <t xml:space="preserve">
</t>
    </r>
    <r>
      <rPr>
        <sz val="9"/>
        <rFont val="Arial"/>
        <family val="2"/>
      </rPr>
      <t>Emission
Factor (g/hp-hr)</t>
    </r>
  </si>
  <si>
    <t>CO2c
Emission
Factor (g/hp-hr)</t>
  </si>
  <si>
    <t>CO2
Emission
Factor (g/hp-hr)</t>
  </si>
  <si>
    <t>CO2c
(tonne/ year)</t>
  </si>
  <si>
    <t>- Emission factors for CO, VOC, and CO2 are average NONROAD emission rates for the State of Washington.</t>
  </si>
  <si>
    <t>Upstream CO2
(tonne/ year)</t>
  </si>
  <si>
    <t>Upstream CH4
(tonne/ year)</t>
  </si>
  <si>
    <t>Upstream N2O
(tonne/ year)</t>
  </si>
  <si>
    <t>Upstream Emission Diesel production</t>
  </si>
  <si>
    <t>Fuel consumption  (mmBtu/year)</t>
  </si>
  <si>
    <r>
      <t>N</t>
    </r>
    <r>
      <rPr>
        <vertAlign val="subscript"/>
        <sz val="9"/>
        <rFont val="Arial"/>
        <family val="2"/>
      </rPr>
      <t>2</t>
    </r>
    <r>
      <rPr>
        <sz val="9"/>
        <rFont val="Arial"/>
        <family val="2"/>
      </rPr>
      <t>O
Emission
Factor (g/gal)</t>
    </r>
  </si>
  <si>
    <r>
      <t>N</t>
    </r>
    <r>
      <rPr>
        <vertAlign val="subscript"/>
        <sz val="9"/>
        <rFont val="Arial"/>
        <family val="2"/>
      </rPr>
      <t>2</t>
    </r>
    <r>
      <rPr>
        <sz val="9"/>
        <rFont val="Arial"/>
        <family val="2"/>
      </rPr>
      <t>O
Emission Factor
(g/gal)</t>
    </r>
  </si>
  <si>
    <r>
      <t>CH</t>
    </r>
    <r>
      <rPr>
        <vertAlign val="subscript"/>
        <sz val="9"/>
        <rFont val="Arial"/>
        <family val="2"/>
      </rPr>
      <t xml:space="preserve">4
</t>
    </r>
    <r>
      <rPr>
        <sz val="9"/>
        <rFont val="Arial"/>
        <family val="2"/>
      </rPr>
      <t>Emission
Factor (g/gal)</t>
    </r>
  </si>
  <si>
    <r>
      <t>CH</t>
    </r>
    <r>
      <rPr>
        <vertAlign val="subscript"/>
        <sz val="9"/>
        <rFont val="Arial"/>
        <family val="2"/>
      </rPr>
      <t xml:space="preserve">4
</t>
    </r>
    <r>
      <rPr>
        <sz val="9"/>
        <rFont val="Arial"/>
        <family val="2"/>
      </rPr>
      <t>Emission Factor
(g/gal)</t>
    </r>
  </si>
  <si>
    <t>CO2e use
(tonne/ year)</t>
  </si>
  <si>
    <t>Total CO2e
(tonne/ year)</t>
  </si>
  <si>
    <t>Upstream CO2e
(tonne/ year)</t>
  </si>
  <si>
    <t>kW/hr</t>
  </si>
  <si>
    <t>kwperhp</t>
  </si>
  <si>
    <t>Cars VMT round trip</t>
  </si>
  <si>
    <t>mi/day</t>
  </si>
  <si>
    <t>Truck VMT round trip</t>
  </si>
  <si>
    <t>U.S.Gasoline Fuel</t>
  </si>
  <si>
    <t>CO
(g/VMT)</t>
  </si>
  <si>
    <t>VOCs (g/VMT)</t>
  </si>
  <si>
    <t>Fuel consumption (mmBtu/ year)</t>
  </si>
  <si>
    <t>Equipment (Direct)</t>
  </si>
  <si>
    <t>Equipment (Direct + Upstream)</t>
  </si>
  <si>
    <t>Equipment (Upstream)</t>
  </si>
  <si>
    <t>Direct (Equipment)</t>
  </si>
  <si>
    <t>LNG Liquefaction</t>
  </si>
  <si>
    <t>Factor LNG:  tonne/year devided by lb/day</t>
  </si>
  <si>
    <t>Dual Fuel Boiler</t>
  </si>
  <si>
    <t>Emissions Factors and Activity Assumptions</t>
  </si>
  <si>
    <t>Engine</t>
  </si>
  <si>
    <t>Model Year</t>
  </si>
  <si>
    <t>Key</t>
  </si>
  <si>
    <t xml:space="preserve"> NOx</t>
  </si>
  <si>
    <t xml:space="preserve"> CO</t>
  </si>
  <si>
    <t xml:space="preserve"> SO2</t>
  </si>
  <si>
    <t xml:space="preserve"> PM10</t>
  </si>
  <si>
    <t xml:space="preserve"> PM2.5</t>
  </si>
  <si>
    <t xml:space="preserve"> DPM</t>
  </si>
  <si>
    <t>Engine Model Year</t>
  </si>
  <si>
    <t xml:space="preserve"> CO2</t>
  </si>
  <si>
    <t xml:space="preserve"> N2O</t>
  </si>
  <si>
    <t xml:space="preserve"> CH4</t>
  </si>
  <si>
    <t>Slow speed diesel</t>
  </si>
  <si>
    <t xml:space="preserve"> &lt; 1999</t>
  </si>
  <si>
    <t>Medium speed diesel</t>
  </si>
  <si>
    <t xml:space="preserve"> 2000 - 2010</t>
  </si>
  <si>
    <t xml:space="preserve"> 2011 - 2015</t>
  </si>
  <si>
    <t>Lean Burn SI LNG</t>
  </si>
  <si>
    <t>All</t>
  </si>
  <si>
    <t>Gas turbine</t>
  </si>
  <si>
    <t>Low Pressure DF LNG</t>
  </si>
  <si>
    <t>Steamship</t>
  </si>
  <si>
    <t xml:space="preserve"> All</t>
  </si>
  <si>
    <t>Medium speed means RPM&gt;130</t>
  </si>
  <si>
    <t>N2O emissions factors for LNG engines assumed to be equal to medium speed diesel</t>
  </si>
  <si>
    <t>VOC emissions for LNG engines are estimated as NMVOC, based on a typical ratio of 3.8% NMVOC/CH4 emissions, as described in "Methane Emissions from Natural Gas Bunkering Operations in the Marine Sector", MARAD, 2015</t>
  </si>
  <si>
    <t>https://www.nho.no/siteassets/nhos-filer-og-bilder/filer-og-dokumenter/nox-fondet/dette-er-nox-fondet/presentasjoner-og-rapporter/methane-slip-from-gas-engines-mainreport-1492296.pdf</t>
  </si>
  <si>
    <t>https://www.marad.dot.gov/wp-content/uploads/pdf/Methane-emissions-from-LNG-bunkering-20151124-final.pdf</t>
  </si>
  <si>
    <t>Table 3.17: Composite Maneuvering Load Factors</t>
  </si>
  <si>
    <t>Load</t>
  </si>
  <si>
    <t>HC</t>
  </si>
  <si>
    <t>PM</t>
  </si>
  <si>
    <t>Vessel Type</t>
  </si>
  <si>
    <t xml:space="preserve"> Load In</t>
  </si>
  <si>
    <t xml:space="preserve"> Load Out</t>
  </si>
  <si>
    <t>Auto Carrier</t>
  </si>
  <si>
    <t>Bulk</t>
  </si>
  <si>
    <t>Containership</t>
  </si>
  <si>
    <t>Cruise</t>
  </si>
  <si>
    <t>General Cargo</t>
  </si>
  <si>
    <t>ITB</t>
  </si>
  <si>
    <t>Reefer</t>
  </si>
  <si>
    <t>RoRo</t>
  </si>
  <si>
    <t>Tanker</t>
  </si>
  <si>
    <t xml:space="preserve"> VOC</t>
  </si>
  <si>
    <t xml:space="preserve"> ≤ 1999</t>
  </si>
  <si>
    <t>LNG emissions factors for aux engines assumed to be equivalent to main engine emissions factors as both the main and aux engines are medium speed</t>
  </si>
  <si>
    <t>Fuel Oil Aux Boiler</t>
  </si>
  <si>
    <t>LNG Aux Boiler</t>
  </si>
  <si>
    <t>Source: 2013 POLB Emissions Inventory</t>
  </si>
  <si>
    <t>N2O emissions for LNG assumed to be equal to fuel oil.  CH4 emissions for LNG scaled based on fuel oil emissions and ratios of CH4 emissions from medium speed FO and LNG engines.</t>
  </si>
  <si>
    <t xml:space="preserve"> Sea</t>
  </si>
  <si>
    <t xml:space="preserve"> Maneuvering</t>
  </si>
  <si>
    <t xml:space="preserve"> Hotelling</t>
  </si>
  <si>
    <t>Bulk - Self Discharging</t>
  </si>
  <si>
    <t>Bulk - Heavy Load</t>
  </si>
  <si>
    <t>Bulk - Wood Chips</t>
  </si>
  <si>
    <t>Container - 1000</t>
  </si>
  <si>
    <t>Container - 2000</t>
  </si>
  <si>
    <t>Container - 3000</t>
  </si>
  <si>
    <t>Container - 4000</t>
  </si>
  <si>
    <t>Container - 5000</t>
  </si>
  <si>
    <t>Container - 6000</t>
  </si>
  <si>
    <t>Container - 7000</t>
  </si>
  <si>
    <t>Container - 8000</t>
  </si>
  <si>
    <t>Container - 9000</t>
  </si>
  <si>
    <t>Container - 10000</t>
  </si>
  <si>
    <t xml:space="preserve"> na</t>
  </si>
  <si>
    <t>Tanker - Aframax</t>
  </si>
  <si>
    <t>Tanker - Chemical</t>
  </si>
  <si>
    <t>Tanker - Handysize</t>
  </si>
  <si>
    <t>Tanker - Panamax</t>
  </si>
  <si>
    <t>Tanker - Suezmax</t>
  </si>
  <si>
    <t>Table 3.22: Fuel Correction Factors</t>
  </si>
  <si>
    <t>Fuel Used</t>
  </si>
  <si>
    <t>HFO (2.7% S)</t>
  </si>
  <si>
    <t>HFO (1.5% S)</t>
  </si>
  <si>
    <t>MGO (0.5% S)</t>
  </si>
  <si>
    <t>MDO (1.5% S)</t>
  </si>
  <si>
    <t>MGO (0.1% S)</t>
  </si>
  <si>
    <t>MGO (0.3% S)</t>
  </si>
  <si>
    <t>MGO (0.4% S)</t>
  </si>
  <si>
    <t>ULSD</t>
  </si>
  <si>
    <t>LNG fuel correction factors set to 1 as direct emissions factors already account for LNG engines meeting Tier 3 standards</t>
  </si>
  <si>
    <t>ULSD factors based on scaling from 0.5%S to 0.1%S MGO and further scaling 0.1%S MGO to 0.0015%S</t>
  </si>
  <si>
    <t>Fuel Consumption Factors</t>
  </si>
  <si>
    <t>SFOC</t>
  </si>
  <si>
    <t>Main Engine</t>
  </si>
  <si>
    <t>Aux Engine</t>
  </si>
  <si>
    <t>Ship Emissions and Fuel Consumption Estimates</t>
  </si>
  <si>
    <t>Route Definition</t>
  </si>
  <si>
    <t>Time within 200 nm</t>
  </si>
  <si>
    <t>Ship Type</t>
  </si>
  <si>
    <t>Origin</t>
  </si>
  <si>
    <t>Destination</t>
  </si>
  <si>
    <t>Distance at Sea
(nm)</t>
  </si>
  <si>
    <t>Transit Speed
(knots)</t>
  </si>
  <si>
    <t>Transit Time
(hours)</t>
  </si>
  <si>
    <t>Maneuvering Time
(hours)</t>
  </si>
  <si>
    <t>Time at Berth
(Origin - hours)</t>
  </si>
  <si>
    <t>Time at Berth
(Destination - hours)</t>
  </si>
  <si>
    <t>Transit</t>
  </si>
  <si>
    <t>Hotelling</t>
  </si>
  <si>
    <t>Anchorage</t>
  </si>
  <si>
    <t>Tacoma</t>
  </si>
  <si>
    <t>Vessel Details</t>
  </si>
  <si>
    <t>Service Speed
(knots)</t>
  </si>
  <si>
    <t>Max Speed
(knots)</t>
  </si>
  <si>
    <t>Installed Power
(kW)</t>
  </si>
  <si>
    <t>Main Engine Speed
(RPM)</t>
  </si>
  <si>
    <t>Aux Engine Speed
(RPM)</t>
  </si>
  <si>
    <t>Main Engine Type</t>
  </si>
  <si>
    <t>Aux Engine Type</t>
  </si>
  <si>
    <t>Boiler Type</t>
  </si>
  <si>
    <t>Medium speed diesel  2000 - 2010</t>
  </si>
  <si>
    <t>Fuel Oil Aux Boiler All</t>
  </si>
  <si>
    <t>Outputs</t>
  </si>
  <si>
    <t>Emissions Calcs</t>
  </si>
  <si>
    <t>Mode</t>
  </si>
  <si>
    <t>Main Engine Load
(kW)</t>
  </si>
  <si>
    <t>Aux Engine Load
(kW)</t>
  </si>
  <si>
    <t>Aux Boiler Load
(kW)</t>
  </si>
  <si>
    <t>Fuel - In ECA</t>
  </si>
  <si>
    <t>Fuel - Outside ECA</t>
  </si>
  <si>
    <t>Fuel Consumption Estimates</t>
  </si>
  <si>
    <t>Geographic Region</t>
  </si>
  <si>
    <t>Aux Boiler</t>
  </si>
  <si>
    <t>Emissions Factors (g/kWh)</t>
  </si>
  <si>
    <t>Within 200nm</t>
  </si>
  <si>
    <t>Outside 200nm</t>
  </si>
  <si>
    <t>Low Pressure DF LNG All</t>
  </si>
  <si>
    <t>LNG Aux Boiler All</t>
  </si>
  <si>
    <t>Fraction of Gas Delivered by this Process</t>
  </si>
  <si>
    <t>Ship/Barge Loading</t>
  </si>
  <si>
    <t>Bunker Vessel Storage</t>
  </si>
  <si>
    <t>Truck/Ship-to-Ship Transfer</t>
  </si>
  <si>
    <t>Loss Factor</t>
  </si>
  <si>
    <t>Gas lost through the system</t>
  </si>
  <si>
    <t>Net Delivered LNG</t>
  </si>
  <si>
    <t>gallons per typical bunkering event</t>
  </si>
  <si>
    <t>Bunker Barge Loading</t>
  </si>
  <si>
    <t>Vapor Displaced</t>
  </si>
  <si>
    <t>Recovery Rate</t>
  </si>
  <si>
    <t>Loss per Bunkering Event</t>
  </si>
  <si>
    <t>Volume per Bunkering Event
(gallons)</t>
  </si>
  <si>
    <t>Volume Lost per Bunkering Event
(gallons)</t>
  </si>
  <si>
    <t>Boil off rate
(%/day)</t>
  </si>
  <si>
    <t>Duration
(days)</t>
  </si>
  <si>
    <t>Volume
(LNG gallons/year)</t>
  </si>
  <si>
    <t>TOTE</t>
  </si>
  <si>
    <t>Other Bunker Barge</t>
  </si>
  <si>
    <t>CO2e</t>
  </si>
  <si>
    <t>Landing and take-offs</t>
  </si>
  <si>
    <t>Ocean tanker</t>
  </si>
  <si>
    <t>Simple cycle</t>
  </si>
  <si>
    <t>Nonroad Equipment</t>
  </si>
  <si>
    <t>Off-road vehicles</t>
  </si>
  <si>
    <t>HDDT 6</t>
  </si>
  <si>
    <t>HDDT 8b</t>
  </si>
  <si>
    <t>Nonroad vehicles</t>
  </si>
  <si>
    <t>Industrial, commercial, and utility boilers</t>
  </si>
  <si>
    <t>Open burning</t>
  </si>
  <si>
    <t>IGCC</t>
  </si>
  <si>
    <t>Flared</t>
  </si>
  <si>
    <t>Combined cycle</t>
  </si>
  <si>
    <t xml:space="preserve"> </t>
  </si>
  <si>
    <t>Jet fuel</t>
  </si>
  <si>
    <t>Biochar</t>
  </si>
  <si>
    <t>Residual fuel oil</t>
  </si>
  <si>
    <t>Biomass</t>
  </si>
  <si>
    <t>4.1) Stationary, mobile, and open burning emission sources, %</t>
  </si>
  <si>
    <t>4) Mass fractions of black carbon and organic carbon emissions of corresponding PM2.5 emission factors</t>
  </si>
  <si>
    <t>LHV/HHV ratio</t>
  </si>
  <si>
    <t>Coal*</t>
  </si>
  <si>
    <t>Wind</t>
  </si>
  <si>
    <t>*Represents a portion of the power Tacoma Power gets from the Bonneville Power Administration.</t>
  </si>
  <si>
    <t>Table 10.   Upstream GHG Emissions Associated With Facility Electrical Energy   Use</t>
  </si>
  <si>
    <t>Emissions Rate</t>
  </si>
  <si>
    <t>per Power</t>
  </si>
  <si>
    <t>of End product</t>
  </si>
  <si>
    <t>Time
 (hours)</t>
  </si>
  <si>
    <t>Time
(hours)</t>
  </si>
  <si>
    <t>Check if exist</t>
  </si>
  <si>
    <t xml:space="preserve">Methane (CH4) slip </t>
  </si>
  <si>
    <t>Marine Engine TOTE CASE</t>
  </si>
  <si>
    <t>Marine Vessel TOTE</t>
  </si>
  <si>
    <t>TOTE Marine Engine</t>
  </si>
  <si>
    <t>Provided BID Report  page 4</t>
  </si>
  <si>
    <t>Emissions Within 200nm (tonne per trip)</t>
  </si>
  <si>
    <t>Emissions Outside 200nm (tonne per trip)</t>
  </si>
  <si>
    <t>Total Emissions (tonne per trip)</t>
  </si>
  <si>
    <t>Total Emissions (tonne)</t>
  </si>
  <si>
    <t>FEIS Project</t>
  </si>
  <si>
    <t>FEIS
 No Project</t>
  </si>
  <si>
    <t>Operation LNG plant</t>
  </si>
  <si>
    <t>Enduse</t>
  </si>
  <si>
    <t>Construction</t>
  </si>
  <si>
    <t>Project</t>
  </si>
  <si>
    <t>No Project</t>
  </si>
  <si>
    <t>Fuel Throughput
(MMBTU/year)</t>
  </si>
  <si>
    <t>GHG Emissions
(MT CO2e/year)</t>
  </si>
  <si>
    <t>Extraction, processing, and transmission to Sumas hub</t>
  </si>
  <si>
    <t>Transmission from Sumas Hub to PSE gate</t>
  </si>
  <si>
    <t>Distribution via PSE System</t>
  </si>
  <si>
    <t>Direct Facility Emissions (includes Peak Shaving)</t>
  </si>
  <si>
    <t>Electricity Supply</t>
  </si>
  <si>
    <t>Vessel Loading of LNG</t>
  </si>
  <si>
    <t>Bunker Barge</t>
  </si>
  <si>
    <t>Truck-to-Vessel</t>
  </si>
  <si>
    <t>On-road Heavy-duty Truck Fuel</t>
  </si>
  <si>
    <t>LNG (Plant-to-Tank Emissions)</t>
  </si>
  <si>
    <t>LNG (Tank-to-Wheels Emissions)</t>
  </si>
  <si>
    <t>ULSD (Well-to-Wheels Emissions)</t>
  </si>
  <si>
    <t>TOTE Vessel Operations</t>
  </si>
  <si>
    <t>TOTE LNG (Direct Vessel Emissions)</t>
  </si>
  <si>
    <t>TOTE Pilot Fuel Oil (Well-to-Tank Emissions)</t>
  </si>
  <si>
    <t>TOTE Fuel Oil (Well-to-Tank Emissions)</t>
  </si>
  <si>
    <t>TOTE Fuel Oil (Direct Vessel Emissions)</t>
  </si>
  <si>
    <t>Other Vessel Operations</t>
  </si>
  <si>
    <t>Other LNG (Direct Vessel Emissions)</t>
  </si>
  <si>
    <t>Other Pilot Fuel Oil (Well-to-Tank Emissions)</t>
  </si>
  <si>
    <t>Other Fuel Oil (Well-to-Tank Emissions)</t>
  </si>
  <si>
    <t>Other Fuel Oil (Direct Vessel Emissions)</t>
  </si>
  <si>
    <t>GHG Emissions
 (GBtu/ year)</t>
  </si>
  <si>
    <t>Adjust results to 355 days of operation instead of 365, 88.75 Mgal/year inestead of 91.25 Mgal/year</t>
  </si>
  <si>
    <t>IC Engine, GREET</t>
  </si>
  <si>
    <t>https://pugetsoundmaritimeairforum.org/2016-puget-sound-maritime-air-emissions-inventory/</t>
  </si>
  <si>
    <t xml:space="preserve">Table B.7: Greenhouse Gas Emission Factors for Auxiliary Engines, g/kW-hr </t>
  </si>
  <si>
    <t xml:space="preserve">Table B.3: Low-Load Adjustment Multipliers for Emission Factors </t>
  </si>
  <si>
    <t>Table B.7: Auxiliary Engine Emission Factors, g/kW-hr</t>
  </si>
  <si>
    <t>Source: 2012</t>
  </si>
  <si>
    <t>The North American ECA introduced in 2015, requiring 0.1% sulfur content in diesel fuel compared to heavy fuel oil with high sulfur content (2.7%) used by the
majority of vessels in 2005</t>
  </si>
  <si>
    <t xml:space="preserve"> Hotelling *</t>
  </si>
  <si>
    <t>*using upper limit</t>
  </si>
  <si>
    <t>Table B11 2016 Auxiliary Boiler Energy Defaults, kW</t>
  </si>
  <si>
    <t>Table B.18: 2016 Auxiliary Engine Power and Load Defaults, kW</t>
  </si>
  <si>
    <t>LNG emissions factors from "GHG and NOx Emissions from Gas Fueled Engines", SINTEF, 2017.  PM emissions based on EPA certification data of 2017 Wartsila DF engine (rated at 8MW).</t>
  </si>
  <si>
    <t>Implied by CO2 emissions factors, converted using CO2 emissions above</t>
  </si>
  <si>
    <t>Pilot Fuel for LNG</t>
  </si>
  <si>
    <t>Use of extra pilot fuel for LNG Marine vessel</t>
  </si>
  <si>
    <t>LNG incl. Pilot fuel</t>
  </si>
  <si>
    <t>Pilot fuel</t>
  </si>
  <si>
    <t>LNG Project</t>
  </si>
  <si>
    <r>
      <t>CO</t>
    </r>
    <r>
      <rPr>
        <vertAlign val="subscript"/>
        <sz val="11"/>
        <color indexed="8"/>
        <rFont val="Calibri"/>
        <family val="2"/>
      </rPr>
      <t>2</t>
    </r>
    <r>
      <rPr>
        <sz val="11"/>
        <color indexed="8"/>
        <rFont val="Calibri"/>
        <family val="2"/>
      </rPr>
      <t xml:space="preserve"> Emergency Genset</t>
    </r>
  </si>
  <si>
    <r>
      <t>Total CO</t>
    </r>
    <r>
      <rPr>
        <vertAlign val="subscript"/>
        <sz val="11"/>
        <color indexed="8"/>
        <rFont val="Calibri"/>
        <family val="2"/>
      </rPr>
      <t>2</t>
    </r>
  </si>
  <si>
    <r>
      <t>tonne CO</t>
    </r>
    <r>
      <rPr>
        <vertAlign val="subscript"/>
        <sz val="11"/>
        <color indexed="8"/>
        <rFont val="Calibri"/>
        <family val="2"/>
      </rPr>
      <t>2</t>
    </r>
  </si>
  <si>
    <r>
      <t>CO</t>
    </r>
    <r>
      <rPr>
        <vertAlign val="subscript"/>
        <sz val="11"/>
        <color indexed="8"/>
        <rFont val="Calibri"/>
        <family val="2"/>
      </rPr>
      <t>2</t>
    </r>
    <r>
      <rPr>
        <sz val="11"/>
        <color indexed="8"/>
        <rFont val="Calibri"/>
        <family val="2"/>
      </rPr>
      <t xml:space="preserve"> Separated </t>
    </r>
  </si>
  <si>
    <r>
      <t>CO</t>
    </r>
    <r>
      <rPr>
        <vertAlign val="subscript"/>
        <sz val="11"/>
        <color indexed="8"/>
        <rFont val="Calibri"/>
        <family val="2"/>
      </rPr>
      <t>2</t>
    </r>
    <r>
      <rPr>
        <sz val="11"/>
        <color indexed="8"/>
        <rFont val="Calibri"/>
        <family val="2"/>
      </rPr>
      <t xml:space="preserve"> Separated (non-combustion)</t>
    </r>
  </si>
  <si>
    <r>
      <t>Fugitives CH</t>
    </r>
    <r>
      <rPr>
        <vertAlign val="subscript"/>
        <sz val="11"/>
        <color indexed="8"/>
        <rFont val="Calibri"/>
        <family val="2"/>
      </rPr>
      <t>4</t>
    </r>
  </si>
  <si>
    <t>Sub-Total</t>
  </si>
  <si>
    <r>
      <t>N</t>
    </r>
    <r>
      <rPr>
        <b/>
        <vertAlign val="subscript"/>
        <sz val="9.5"/>
        <rFont val="Arial"/>
        <family val="2"/>
      </rPr>
      <t>2</t>
    </r>
    <r>
      <rPr>
        <b/>
        <sz val="9.5"/>
        <rFont val="Arial"/>
        <family val="2"/>
      </rPr>
      <t>O</t>
    </r>
    <r>
      <rPr>
        <sz val="9.5"/>
        <rFont val="Arial"/>
        <family val="2"/>
      </rPr>
      <t xml:space="preserve">
(tonne/ year)</t>
    </r>
  </si>
  <si>
    <r>
      <t>CO</t>
    </r>
    <r>
      <rPr>
        <b/>
        <vertAlign val="subscript"/>
        <sz val="11"/>
        <color indexed="8"/>
        <rFont val="Calibri"/>
        <family val="2"/>
      </rPr>
      <t>2</t>
    </r>
    <r>
      <rPr>
        <b/>
        <sz val="11"/>
        <color indexed="8"/>
        <rFont val="Calibri"/>
        <family val="2"/>
      </rPr>
      <t xml:space="preserve">e
</t>
    </r>
    <r>
      <rPr>
        <sz val="11"/>
        <color indexed="8"/>
        <rFont val="Calibri"/>
        <family val="2"/>
      </rPr>
      <t>(tonne/ year)</t>
    </r>
  </si>
  <si>
    <r>
      <t>CO</t>
    </r>
    <r>
      <rPr>
        <vertAlign val="subscript"/>
        <sz val="9"/>
        <rFont val="Arial"/>
        <family val="2"/>
      </rPr>
      <t>2</t>
    </r>
    <r>
      <rPr>
        <sz val="9"/>
        <rFont val="Arial"/>
        <family val="2"/>
      </rPr>
      <t>c
Emission
Factor (g/hp-hr)</t>
    </r>
  </si>
  <si>
    <r>
      <t>CO</t>
    </r>
    <r>
      <rPr>
        <vertAlign val="subscript"/>
        <sz val="9"/>
        <rFont val="Arial"/>
        <family val="2"/>
      </rPr>
      <t>2</t>
    </r>
    <r>
      <rPr>
        <sz val="9"/>
        <rFont val="Arial"/>
        <family val="2"/>
      </rPr>
      <t>c
(tonne/ year)</t>
    </r>
  </si>
  <si>
    <r>
      <t>CO</t>
    </r>
    <r>
      <rPr>
        <vertAlign val="subscript"/>
        <sz val="10"/>
        <rFont val="Arial"/>
        <family val="2"/>
      </rPr>
      <t>2</t>
    </r>
    <r>
      <rPr>
        <sz val="10"/>
        <rFont val="Arial"/>
        <family val="2"/>
      </rPr>
      <t xml:space="preserve">
(g/VMT)</t>
    </r>
  </si>
  <si>
    <r>
      <t>CH</t>
    </r>
    <r>
      <rPr>
        <vertAlign val="subscript"/>
        <sz val="10"/>
        <color rgb="FF000000"/>
        <rFont val="Arial"/>
        <family val="2"/>
      </rPr>
      <t>4</t>
    </r>
    <r>
      <rPr>
        <sz val="10"/>
        <color rgb="FF000000"/>
        <rFont val="Arial"/>
        <family val="2"/>
      </rPr>
      <t xml:space="preserve">
(g/VMT)</t>
    </r>
  </si>
  <si>
    <r>
      <t>N</t>
    </r>
    <r>
      <rPr>
        <vertAlign val="subscript"/>
        <sz val="10"/>
        <rFont val="Arial"/>
        <family val="2"/>
      </rPr>
      <t>2</t>
    </r>
    <r>
      <rPr>
        <sz val="10"/>
        <rFont val="Arial"/>
        <family val="2"/>
      </rPr>
      <t>O
(g/VMT)</t>
    </r>
  </si>
  <si>
    <r>
      <t>CO</t>
    </r>
    <r>
      <rPr>
        <vertAlign val="subscript"/>
        <sz val="10"/>
        <rFont val="Arial"/>
        <family val="2"/>
      </rPr>
      <t>2</t>
    </r>
    <r>
      <rPr>
        <sz val="10"/>
        <rFont val="Arial"/>
        <family val="2"/>
      </rPr>
      <t>c
(g/VMT)</t>
    </r>
  </si>
  <si>
    <r>
      <t>CO</t>
    </r>
    <r>
      <rPr>
        <vertAlign val="subscript"/>
        <sz val="10"/>
        <rFont val="Arial"/>
        <family val="2"/>
      </rPr>
      <t>2</t>
    </r>
    <r>
      <rPr>
        <sz val="10"/>
        <rFont val="Arial"/>
        <family val="2"/>
      </rPr>
      <t xml:space="preserve">
(tonne/ year)</t>
    </r>
  </si>
  <si>
    <r>
      <t>CH</t>
    </r>
    <r>
      <rPr>
        <vertAlign val="subscript"/>
        <sz val="10"/>
        <rFont val="Arial"/>
        <family val="2"/>
      </rPr>
      <t>4</t>
    </r>
    <r>
      <rPr>
        <sz val="10"/>
        <rFont val="Arial"/>
        <family val="2"/>
      </rPr>
      <t xml:space="preserve">
(tonne/ year)</t>
    </r>
  </si>
  <si>
    <r>
      <t>N</t>
    </r>
    <r>
      <rPr>
        <vertAlign val="subscript"/>
        <sz val="10"/>
        <rFont val="Arial"/>
        <family val="2"/>
      </rPr>
      <t>2</t>
    </r>
    <r>
      <rPr>
        <sz val="10"/>
        <rFont val="Arial"/>
        <family val="2"/>
      </rPr>
      <t>O
(tonne/ year)</t>
    </r>
  </si>
  <si>
    <r>
      <t>CO</t>
    </r>
    <r>
      <rPr>
        <vertAlign val="subscript"/>
        <sz val="10"/>
        <color rgb="FF000000"/>
        <rFont val="Arial"/>
        <family val="2"/>
      </rPr>
      <t>2</t>
    </r>
    <r>
      <rPr>
        <sz val="10"/>
        <color rgb="FF000000"/>
        <rFont val="Arial"/>
        <family val="2"/>
      </rPr>
      <t>e
(tonne/ year)</t>
    </r>
  </si>
  <si>
    <r>
      <t>Upstream CO</t>
    </r>
    <r>
      <rPr>
        <vertAlign val="subscript"/>
        <sz val="9"/>
        <rFont val="Arial"/>
        <family val="2"/>
      </rPr>
      <t>2</t>
    </r>
    <r>
      <rPr>
        <sz val="9"/>
        <rFont val="Arial"/>
        <family val="2"/>
      </rPr>
      <t xml:space="preserve">
(tonne/ year)</t>
    </r>
  </si>
  <si>
    <r>
      <t>Upstream CH</t>
    </r>
    <r>
      <rPr>
        <vertAlign val="subscript"/>
        <sz val="9"/>
        <color rgb="FF000000"/>
        <rFont val="Arial"/>
        <family val="2"/>
      </rPr>
      <t>4</t>
    </r>
    <r>
      <rPr>
        <sz val="9"/>
        <color rgb="FF000000"/>
        <rFont val="Arial"/>
        <family val="2"/>
      </rPr>
      <t xml:space="preserve">
(tonne/ year)</t>
    </r>
  </si>
  <si>
    <r>
      <t>Upstream N</t>
    </r>
    <r>
      <rPr>
        <vertAlign val="subscript"/>
        <sz val="9"/>
        <color rgb="FF000000"/>
        <rFont val="Arial"/>
        <family val="2"/>
      </rPr>
      <t>2</t>
    </r>
    <r>
      <rPr>
        <sz val="9"/>
        <color rgb="FF000000"/>
        <rFont val="Arial"/>
        <family val="2"/>
      </rPr>
      <t>O
(tonne/ year)</t>
    </r>
  </si>
  <si>
    <r>
      <t>Upstream CO</t>
    </r>
    <r>
      <rPr>
        <vertAlign val="subscript"/>
        <sz val="9"/>
        <rFont val="Arial"/>
        <family val="2"/>
      </rPr>
      <t>2</t>
    </r>
    <r>
      <rPr>
        <sz val="9"/>
        <rFont val="Arial"/>
        <family val="2"/>
      </rPr>
      <t>e
(tonne/ year)</t>
    </r>
  </si>
  <si>
    <r>
      <t>Total CO</t>
    </r>
    <r>
      <rPr>
        <vertAlign val="subscript"/>
        <sz val="9"/>
        <color rgb="FF000000"/>
        <rFont val="Arial"/>
        <family val="2"/>
      </rPr>
      <t>2</t>
    </r>
    <r>
      <rPr>
        <sz val="9"/>
        <color rgb="FF000000"/>
        <rFont val="Arial"/>
        <family val="2"/>
      </rPr>
      <t>e
(tonne/ year)</t>
    </r>
  </si>
  <si>
    <t>Car
VMT/ month</t>
  </si>
  <si>
    <t>Truck
VMT/ month</t>
  </si>
  <si>
    <t>Summary VMTs</t>
  </si>
  <si>
    <r>
      <t>CO</t>
    </r>
    <r>
      <rPr>
        <b/>
        <vertAlign val="subscript"/>
        <sz val="11"/>
        <color rgb="FF000000"/>
        <rFont val="Calibri"/>
        <family val="2"/>
      </rPr>
      <t>2</t>
    </r>
  </si>
  <si>
    <r>
      <t>CH</t>
    </r>
    <r>
      <rPr>
        <b/>
        <vertAlign val="subscript"/>
        <sz val="11"/>
        <color rgb="FF000000"/>
        <rFont val="Calibri"/>
        <family val="2"/>
      </rPr>
      <t>4</t>
    </r>
  </si>
  <si>
    <r>
      <t>N</t>
    </r>
    <r>
      <rPr>
        <b/>
        <vertAlign val="subscript"/>
        <sz val="11"/>
        <color rgb="FF000000"/>
        <rFont val="Calibri"/>
        <family val="2"/>
      </rPr>
      <t>2</t>
    </r>
    <r>
      <rPr>
        <b/>
        <sz val="11"/>
        <color rgb="FF000000"/>
        <rFont val="Calibri"/>
        <family val="2"/>
      </rPr>
      <t>O</t>
    </r>
  </si>
  <si>
    <r>
      <t>CO</t>
    </r>
    <r>
      <rPr>
        <b/>
        <vertAlign val="subscript"/>
        <sz val="11"/>
        <color rgb="FF000000"/>
        <rFont val="Calibri"/>
        <family val="2"/>
      </rPr>
      <t>2</t>
    </r>
    <r>
      <rPr>
        <b/>
        <sz val="11"/>
        <color rgb="FF000000"/>
        <rFont val="Calibri"/>
        <family val="2"/>
      </rPr>
      <t>e</t>
    </r>
  </si>
  <si>
    <t>Construction Workers Car</t>
  </si>
  <si>
    <t>Upstream Diesel Emergency</t>
  </si>
  <si>
    <t>Upstream Power LNG Vaporizer</t>
  </si>
  <si>
    <t>Emissions Rate (g/tonne MGO)</t>
  </si>
  <si>
    <t>Emissions Rate (g/mmBtu MGO, LHV)</t>
  </si>
  <si>
    <t>Fuel Consumed Within 200nm
(MT MGOe)</t>
  </si>
  <si>
    <t>Fuel Consumed Outside 200nm
(MT MGOe)</t>
  </si>
  <si>
    <t>Fuel Consumed
(MT MGOe)</t>
  </si>
  <si>
    <t>Emissions Rate (g/tonne MGOe)</t>
  </si>
  <si>
    <t>Emissions Rate (g/mmBtu MGOe, LHV)</t>
  </si>
  <si>
    <t>Calculated Loads</t>
  </si>
  <si>
    <t>Emission from flaring (combustion)</t>
  </si>
  <si>
    <t>Equipment</t>
  </si>
  <si>
    <t>Emergency  Generator</t>
  </si>
  <si>
    <t>Process</t>
  </si>
  <si>
    <t>LNG Bunkering and
 Vessel loading  Emissions</t>
  </si>
  <si>
    <t>Total LNG plant emission</t>
  </si>
  <si>
    <t>Equip. Leaks</t>
  </si>
  <si>
    <t xml:space="preserve">Vaporizer </t>
  </si>
  <si>
    <t xml:space="preserve">Pump - power </t>
  </si>
  <si>
    <t>TOTAL</t>
  </si>
  <si>
    <t>BUNKERING</t>
  </si>
  <si>
    <t>LNG PLANT</t>
  </si>
  <si>
    <r>
      <t>CH</t>
    </r>
    <r>
      <rPr>
        <b/>
        <vertAlign val="subscript"/>
        <sz val="11"/>
        <rFont val="Calibri"/>
        <family val="2"/>
        <scheme val="minor"/>
      </rPr>
      <t>4</t>
    </r>
    <r>
      <rPr>
        <b/>
        <sz val="11"/>
        <rFont val="Calibri"/>
        <family val="2"/>
        <scheme val="minor"/>
      </rPr>
      <t xml:space="preserve"> Emissions
(LNG Gallons/year)</t>
    </r>
  </si>
  <si>
    <t>Fugitives Ship/Barge Loading</t>
  </si>
  <si>
    <t>Fugitives - Bunker Vessel Storage</t>
  </si>
  <si>
    <t xml:space="preserve"> Sub - Total</t>
  </si>
  <si>
    <t xml:space="preserve">Total End Use </t>
  </si>
  <si>
    <r>
      <t xml:space="preserve"> CO</t>
    </r>
    <r>
      <rPr>
        <b/>
        <vertAlign val="subscript"/>
        <sz val="11"/>
        <rFont val="Calibri"/>
        <family val="2"/>
        <scheme val="minor"/>
      </rPr>
      <t>2</t>
    </r>
  </si>
  <si>
    <r>
      <t xml:space="preserve"> N</t>
    </r>
    <r>
      <rPr>
        <b/>
        <vertAlign val="subscript"/>
        <sz val="11"/>
        <rFont val="Calibri"/>
        <family val="2"/>
        <scheme val="minor"/>
      </rPr>
      <t>2</t>
    </r>
    <r>
      <rPr>
        <b/>
        <sz val="11"/>
        <rFont val="Calibri"/>
        <family val="2"/>
        <scheme val="minor"/>
      </rPr>
      <t>O</t>
    </r>
  </si>
  <si>
    <r>
      <t xml:space="preserve"> CH</t>
    </r>
    <r>
      <rPr>
        <b/>
        <vertAlign val="subscript"/>
        <sz val="11"/>
        <rFont val="Calibri"/>
        <family val="2"/>
        <scheme val="minor"/>
      </rPr>
      <t>4</t>
    </r>
  </si>
  <si>
    <r>
      <t>CO</t>
    </r>
    <r>
      <rPr>
        <b/>
        <vertAlign val="subscript"/>
        <sz val="11"/>
        <rFont val="Calibri"/>
        <family val="2"/>
        <scheme val="minor"/>
      </rPr>
      <t>2</t>
    </r>
    <r>
      <rPr>
        <b/>
        <sz val="11"/>
        <rFont val="Calibri"/>
        <family val="2"/>
        <scheme val="minor"/>
      </rPr>
      <t>c</t>
    </r>
  </si>
  <si>
    <r>
      <t>CO</t>
    </r>
    <r>
      <rPr>
        <b/>
        <vertAlign val="subscript"/>
        <sz val="11"/>
        <rFont val="Calibri"/>
        <family val="2"/>
        <scheme val="minor"/>
      </rPr>
      <t>2</t>
    </r>
    <r>
      <rPr>
        <b/>
        <sz val="11"/>
        <rFont val="Calibri"/>
        <family val="2"/>
        <scheme val="minor"/>
      </rPr>
      <t>e</t>
    </r>
  </si>
  <si>
    <r>
      <t xml:space="preserve"> NO</t>
    </r>
    <r>
      <rPr>
        <b/>
        <vertAlign val="subscript"/>
        <sz val="11"/>
        <rFont val="Calibri"/>
        <family val="2"/>
        <scheme val="minor"/>
      </rPr>
      <t>x</t>
    </r>
  </si>
  <si>
    <r>
      <t xml:space="preserve"> SO</t>
    </r>
    <r>
      <rPr>
        <b/>
        <vertAlign val="subscript"/>
        <sz val="11"/>
        <rFont val="Calibri"/>
        <family val="2"/>
        <scheme val="minor"/>
      </rPr>
      <t>2</t>
    </r>
  </si>
  <si>
    <t>NO LNG Project</t>
  </si>
  <si>
    <t>Diesel - End use</t>
  </si>
  <si>
    <t>Diesel - Upstream</t>
  </si>
  <si>
    <t>Diesel - Power pumping</t>
  </si>
  <si>
    <t>End Use Emissions Marine vessels</t>
  </si>
  <si>
    <t>End use
share</t>
  </si>
  <si>
    <t>Scenario Selection for End use Mix</t>
  </si>
  <si>
    <t>Pilot diesel Fuel for LNG</t>
  </si>
  <si>
    <t xml:space="preserve">Displaced Diesel </t>
  </si>
  <si>
    <t>Upstream Life Cycle (Equipment)</t>
  </si>
  <si>
    <t>Upstream Life Cycle (Material)</t>
  </si>
  <si>
    <t>Upstream Life cycle</t>
  </si>
  <si>
    <t>Power LNG production</t>
  </si>
  <si>
    <t xml:space="preserve">Diesel Emergency </t>
  </si>
  <si>
    <t>Power LNG Vaporizer  -Peak Shaving</t>
  </si>
  <si>
    <t>Emissions (tonne/year)</t>
  </si>
  <si>
    <t>LPG production</t>
  </si>
  <si>
    <t>Comparision to reported values</t>
  </si>
  <si>
    <t>Upstream inputs</t>
  </si>
  <si>
    <t>LNG Plant Operation</t>
  </si>
  <si>
    <t>LNG Product - End use share</t>
  </si>
  <si>
    <t>Energy/Electrcity Consumption  LNG Plant</t>
  </si>
  <si>
    <t>Power Consumption Vaporizer/
 Peak Shaving</t>
  </si>
  <si>
    <t>Code</t>
  </si>
  <si>
    <t>MA</t>
  </si>
  <si>
    <t>NW</t>
  </si>
  <si>
    <t>Used GEN MIX</t>
  </si>
  <si>
    <t>Selected GEN MIX</t>
  </si>
  <si>
    <t>INPUTS -  NO PROJECT</t>
  </si>
  <si>
    <t>Equipment  Capacity/Consumption</t>
  </si>
  <si>
    <t>kWh/1000 gal</t>
  </si>
  <si>
    <t>Power Consumption LNG plant</t>
  </si>
  <si>
    <t>Comments/Source</t>
  </si>
  <si>
    <t>LHV (based on mass ratio see INPUT</t>
  </si>
  <si>
    <t>Source: page 13, PES response</t>
  </si>
  <si>
    <t>Sub- Scenario</t>
  </si>
  <si>
    <t>LPG is flared</t>
  </si>
  <si>
    <t xml:space="preserve">Construction Material &amp; Power- UPSTREAM Emissions - </t>
  </si>
  <si>
    <t xml:space="preserve">Total power consumption during construction </t>
  </si>
  <si>
    <t>kWh</t>
  </si>
  <si>
    <t>Source: Response Tacoma LNG Supplementary SEIS Questions, july 07, 2018, page 5</t>
  </si>
  <si>
    <t>Waste Gas Heat Capacity</t>
  </si>
  <si>
    <t>Upstream Life Cycle (Power)</t>
  </si>
  <si>
    <t>Power Consumption LNG Construction</t>
  </si>
  <si>
    <t>GHG Emissions (tonnes)</t>
  </si>
  <si>
    <t>Power</t>
  </si>
  <si>
    <t>Upstream Emissions  Power (see sheet Upstream, B40)</t>
  </si>
  <si>
    <t>Displaced Activity</t>
  </si>
  <si>
    <t>M gal/year</t>
  </si>
  <si>
    <t>Dual Fuel Gas Turbine</t>
  </si>
  <si>
    <t>TOTE Marine</t>
  </si>
  <si>
    <t>Other Marine by Bunker Barge</t>
  </si>
  <si>
    <t>No activity planned</t>
  </si>
  <si>
    <t>Diesel Dual Fuel Peak Power</t>
  </si>
  <si>
    <t>No Peak Shaving - Diesel Dual Fuel</t>
  </si>
  <si>
    <t>Marine Diesel</t>
  </si>
  <si>
    <t>Dual Fuel Turbine</t>
  </si>
  <si>
    <t>Results</t>
  </si>
  <si>
    <t>For Scenario Description</t>
  </si>
  <si>
    <t>Petroleum</t>
  </si>
  <si>
    <t>ARB LNG Pathway document</t>
  </si>
  <si>
    <t>WAUP</t>
  </si>
  <si>
    <t>WAPP</t>
  </si>
  <si>
    <t>MAUP</t>
  </si>
  <si>
    <t>MAPP</t>
  </si>
  <si>
    <t>NWUP</t>
  </si>
  <si>
    <t>NWPP</t>
  </si>
  <si>
    <t>Pull Down</t>
  </si>
  <si>
    <t>LPG Flaring</t>
  </si>
  <si>
    <t>Waste Flare  LPG - Tacoma LNG plant</t>
  </si>
  <si>
    <t>Emission from LPG flaring</t>
  </si>
  <si>
    <t>Flared gas (ex. LPG)</t>
  </si>
  <si>
    <t xml:space="preserve">Flare Gas </t>
  </si>
  <si>
    <t>Flaring Tacoma</t>
  </si>
  <si>
    <t>WA.Gasoline Fuel</t>
  </si>
  <si>
    <t>WA Diesel Fuel</t>
  </si>
  <si>
    <t xml:space="preserve">WA </t>
  </si>
  <si>
    <t>Ethanol blending</t>
  </si>
  <si>
    <t>Gig  harbor Delivery</t>
  </si>
  <si>
    <t xml:space="preserve">Ethanol blending </t>
  </si>
  <si>
    <t>ENDUSE</t>
  </si>
  <si>
    <t>Gig harbor Delivery</t>
  </si>
  <si>
    <t>Distance for LNG delivery by Diesel Truck</t>
  </si>
  <si>
    <t>miles</t>
  </si>
  <si>
    <t>Truck capacity</t>
  </si>
  <si>
    <t>Capacity per trip</t>
  </si>
  <si>
    <t>gallons/trip</t>
  </si>
  <si>
    <t>Energy Consumption</t>
  </si>
  <si>
    <t>BTU/mile</t>
  </si>
  <si>
    <t>Number of trips</t>
  </si>
  <si>
    <t>Annual miles for delivery</t>
  </si>
  <si>
    <t>Distance to gig harbor</t>
  </si>
  <si>
    <t>No project</t>
  </si>
  <si>
    <t>miles/year</t>
  </si>
  <si>
    <t>miles/trip</t>
  </si>
  <si>
    <t>Diesel consumption per mile</t>
  </si>
  <si>
    <t>Total Diesel Consumption</t>
  </si>
  <si>
    <t>Gig Harbor Diesel Truck fuel</t>
  </si>
  <si>
    <t>Gig Harbor LNG Delivery</t>
  </si>
  <si>
    <t>Mgal/year</t>
  </si>
  <si>
    <t>Pathway Component</t>
  </si>
  <si>
    <t>Emissions (g/MMBTU)</t>
  </si>
  <si>
    <t>Plant-to-Tank LNG Combination Tractor</t>
  </si>
  <si>
    <t>Well-to-Wheels Diesel Combination Tractor</t>
  </si>
  <si>
    <t>Tank-to-Wheels LNG Combination Tractor</t>
  </si>
  <si>
    <t>Diesel tractor</t>
  </si>
  <si>
    <r>
      <t>N</t>
    </r>
    <r>
      <rPr>
        <b/>
        <vertAlign val="subscript"/>
        <sz val="11"/>
        <color rgb="FF000000"/>
        <rFont val="Calibri"/>
        <family val="2"/>
      </rPr>
      <t>2</t>
    </r>
    <r>
      <rPr>
        <b/>
        <sz val="11"/>
        <color indexed="8"/>
        <rFont val="Calibri"/>
        <family val="2"/>
      </rPr>
      <t>O</t>
    </r>
  </si>
  <si>
    <r>
      <t>CO</t>
    </r>
    <r>
      <rPr>
        <b/>
        <vertAlign val="subscript"/>
        <sz val="11"/>
        <color rgb="FF000000"/>
        <rFont val="Calibri"/>
        <family val="2"/>
      </rPr>
      <t>2e</t>
    </r>
  </si>
  <si>
    <r>
      <t>NO</t>
    </r>
    <r>
      <rPr>
        <b/>
        <vertAlign val="subscript"/>
        <sz val="11"/>
        <color rgb="FF212121"/>
        <rFont val="Calibri"/>
        <family val="2"/>
      </rPr>
      <t>x</t>
    </r>
  </si>
  <si>
    <r>
      <t>CH</t>
    </r>
    <r>
      <rPr>
        <b/>
        <vertAlign val="subscript"/>
        <sz val="11"/>
        <color rgb="FF212121"/>
        <rFont val="Calibri"/>
        <family val="2"/>
      </rPr>
      <t>4</t>
    </r>
  </si>
  <si>
    <r>
      <t>N</t>
    </r>
    <r>
      <rPr>
        <b/>
        <vertAlign val="subscript"/>
        <sz val="11"/>
        <color rgb="FF212121"/>
        <rFont val="Calibri"/>
        <family val="2"/>
      </rPr>
      <t>2</t>
    </r>
    <r>
      <rPr>
        <b/>
        <sz val="11"/>
        <color rgb="FF212121"/>
        <rFont val="Calibri"/>
        <family val="2"/>
      </rPr>
      <t>O</t>
    </r>
  </si>
  <si>
    <r>
      <t>CO</t>
    </r>
    <r>
      <rPr>
        <b/>
        <vertAlign val="subscript"/>
        <sz val="11"/>
        <color rgb="FF212121"/>
        <rFont val="Calibri"/>
        <family val="2"/>
      </rPr>
      <t>2</t>
    </r>
  </si>
  <si>
    <r>
      <t>CO</t>
    </r>
    <r>
      <rPr>
        <b/>
        <vertAlign val="subscript"/>
        <sz val="11"/>
        <color rgb="FF212121"/>
        <rFont val="Calibri"/>
        <family val="2"/>
      </rPr>
      <t>2C</t>
    </r>
  </si>
  <si>
    <r>
      <t>CO</t>
    </r>
    <r>
      <rPr>
        <b/>
        <vertAlign val="subscript"/>
        <sz val="11"/>
        <color rgb="FF000000"/>
        <rFont val="Calibri"/>
        <family val="2"/>
      </rPr>
      <t>2</t>
    </r>
    <r>
      <rPr>
        <b/>
        <sz val="11"/>
        <color indexed="8"/>
        <rFont val="Calibri"/>
        <family val="2"/>
      </rPr>
      <t>c</t>
    </r>
  </si>
  <si>
    <t>Fugitives - Truck to Ship</t>
  </si>
  <si>
    <r>
      <t>CH</t>
    </r>
    <r>
      <rPr>
        <vertAlign val="subscript"/>
        <sz val="11"/>
        <rFont val="Calibri"/>
        <family val="2"/>
        <scheme val="minor"/>
      </rPr>
      <t>4</t>
    </r>
    <r>
      <rPr>
        <sz val="11"/>
        <rFont val="Calibri"/>
        <family val="2"/>
        <scheme val="minor"/>
      </rPr>
      <t xml:space="preserve"> Emissions
(g/mmBTU)</t>
    </r>
  </si>
  <si>
    <r>
      <t>CO</t>
    </r>
    <r>
      <rPr>
        <vertAlign val="subscript"/>
        <sz val="11"/>
        <rFont val="Calibri"/>
        <family val="2"/>
        <scheme val="minor"/>
      </rPr>
      <t>2e</t>
    </r>
    <r>
      <rPr>
        <sz val="11"/>
        <rFont val="Calibri"/>
        <family val="2"/>
        <scheme val="minor"/>
      </rPr>
      <t xml:space="preserve"> Emissions
(g/mmBTU)</t>
    </r>
  </si>
  <si>
    <r>
      <t>CH</t>
    </r>
    <r>
      <rPr>
        <b/>
        <vertAlign val="subscript"/>
        <sz val="11"/>
        <rFont val="Calibri"/>
        <family val="2"/>
        <scheme val="minor"/>
      </rPr>
      <t>4</t>
    </r>
    <r>
      <rPr>
        <b/>
        <sz val="11"/>
        <rFont val="Calibri"/>
        <family val="2"/>
        <scheme val="minor"/>
      </rPr>
      <t xml:space="preserve"> Emissions
(tonne/ year)</t>
    </r>
  </si>
  <si>
    <t>Total End Use Diesel /Fuel Oil/LNG</t>
  </si>
  <si>
    <t>Upstream Diesel  production</t>
  </si>
  <si>
    <t>Gig  harbor Diesel truck fuel</t>
  </si>
  <si>
    <t>Upstream LNG/Diesel/Bunker fuel  production</t>
  </si>
  <si>
    <t>Natural Gas upstream WA</t>
  </si>
  <si>
    <t>Natural Gas upstream BC  FORTIS GIG HARBOR</t>
  </si>
  <si>
    <t>Natural Gas upstream BC</t>
  </si>
  <si>
    <t>Emissions g/mmBTU (LHV)</t>
  </si>
  <si>
    <t>gal/year (365)</t>
  </si>
  <si>
    <t>Check</t>
  </si>
  <si>
    <t>If Capacity is 500.000 gal/day</t>
  </si>
  <si>
    <t xml:space="preserve">a factor of 2 is applaied </t>
  </si>
  <si>
    <r>
      <t xml:space="preserve">
CH</t>
    </r>
    <r>
      <rPr>
        <b/>
        <vertAlign val="subscript"/>
        <sz val="11"/>
        <rFont val="Calibri"/>
        <family val="2"/>
        <scheme val="minor"/>
      </rPr>
      <t>4</t>
    </r>
    <r>
      <rPr>
        <b/>
        <sz val="11"/>
        <rFont val="Calibri"/>
        <family val="2"/>
        <scheme val="minor"/>
      </rPr>
      <t xml:space="preserve"> (g/mmBTU delivered)</t>
    </r>
  </si>
  <si>
    <r>
      <t>CO</t>
    </r>
    <r>
      <rPr>
        <b/>
        <vertAlign val="subscript"/>
        <sz val="11"/>
        <rFont val="Calibri"/>
        <family val="2"/>
        <scheme val="minor"/>
      </rPr>
      <t>2e</t>
    </r>
    <r>
      <rPr>
        <b/>
        <sz val="11"/>
        <rFont val="Calibri"/>
        <family val="2"/>
        <scheme val="minor"/>
      </rPr>
      <t xml:space="preserve">
(g/mmBTU delivered)</t>
    </r>
  </si>
  <si>
    <r>
      <t>CO</t>
    </r>
    <r>
      <rPr>
        <b/>
        <vertAlign val="subscript"/>
        <sz val="11"/>
        <rFont val="Calibri"/>
        <family val="2"/>
        <scheme val="minor"/>
      </rPr>
      <t>2e</t>
    </r>
    <r>
      <rPr>
        <b/>
        <sz val="11"/>
        <rFont val="Calibri"/>
        <family val="2"/>
        <scheme val="minor"/>
      </rPr>
      <t xml:space="preserve"> Emissions
(tonne/year)</t>
    </r>
  </si>
  <si>
    <t>Fugitive Emissions</t>
  </si>
  <si>
    <t>Transmission</t>
  </si>
  <si>
    <r>
      <t>LNG pretreatment CO</t>
    </r>
    <r>
      <rPr>
        <b/>
        <vertAlign val="subscript"/>
        <sz val="11"/>
        <color rgb="FF000000"/>
        <rFont val="Calibri"/>
        <family val="2"/>
      </rPr>
      <t>2</t>
    </r>
    <r>
      <rPr>
        <b/>
        <sz val="11"/>
        <color indexed="8"/>
        <rFont val="Calibri"/>
        <family val="2"/>
      </rPr>
      <t xml:space="preserve"> seperation efficiency</t>
    </r>
  </si>
  <si>
    <t xml:space="preserve"> End Use LNG</t>
  </si>
  <si>
    <t>Flaring (combustion)</t>
  </si>
  <si>
    <t>Flaring from LPG (combustion)</t>
  </si>
  <si>
    <t>Vaporizing onside peak shaving</t>
  </si>
  <si>
    <t>Other Marine LNG  (by Bunker Barge)</t>
  </si>
  <si>
    <t>Vaporizer -On-site Peak Shaving</t>
  </si>
  <si>
    <t>Upstream On-road trucking</t>
  </si>
  <si>
    <t>Upstream Other Marine Diesel  (by Bunker Barge)</t>
  </si>
  <si>
    <t>TOTE Marine Diesel</t>
  </si>
  <si>
    <t>Other Marine Diesel  (by Bunker Barge)</t>
  </si>
  <si>
    <t>Gig harbor Diesel truck fuel</t>
  </si>
  <si>
    <t>Diesel Storage On-road trucking</t>
  </si>
  <si>
    <t>Other Marine Diesel</t>
  </si>
  <si>
    <t>On-road trucking</t>
  </si>
  <si>
    <t>NET 0</t>
  </si>
  <si>
    <t>Boiler primary  fuel is  NG. However, the fuel gas mix can include compressed boil-off gas (BOG) . BID response p.9</t>
  </si>
  <si>
    <t>Heater fired by NG and boil off gas (BOG). BID response p8.- 9 page 12 PSE-BID</t>
  </si>
  <si>
    <t>Using Gas composition and given separation efficiecy</t>
  </si>
  <si>
    <t>Using gas composition calculation and EF of LPG boiler (no flar data)</t>
  </si>
  <si>
    <t>Flaring is used to close C-Balance</t>
  </si>
  <si>
    <t>Using given inventoru see Sheet Fugitives</t>
  </si>
  <si>
    <t>See: BID p 12, and also BID REPORT, ATTACHMENT F (1 page)</t>
  </si>
  <si>
    <t>Response Tacoma LNG Supplementary SEIS Questions, July 07, 2018, page 5</t>
  </si>
  <si>
    <t>Flare LPG</t>
  </si>
  <si>
    <t>Total WA. Gasoline Fuel</t>
  </si>
  <si>
    <t xml:space="preserve">Total Upstream </t>
  </si>
  <si>
    <t>Mass Input/Output: Based on 500,000 gal/day</t>
  </si>
  <si>
    <r>
      <t>CO</t>
    </r>
    <r>
      <rPr>
        <vertAlign val="subscript"/>
        <sz val="11"/>
        <color indexed="8"/>
        <rFont val="Calibri"/>
        <family val="2"/>
      </rPr>
      <t>2</t>
    </r>
  </si>
  <si>
    <t xml:space="preserve">Carbon Mass balance </t>
  </si>
  <si>
    <t>Diesel Genset</t>
  </si>
  <si>
    <t xml:space="preserve">Diesel Truck </t>
  </si>
  <si>
    <t>Maneuvering</t>
  </si>
  <si>
    <t>Specific Emission   g/mmBtu (LNG product)</t>
  </si>
  <si>
    <t>Total LNG delivery to Gig Harbor per year</t>
  </si>
  <si>
    <t>General inputs</t>
  </si>
  <si>
    <t xml:space="preserve">Calculation of Annual  Diesel Truck Consumption </t>
  </si>
  <si>
    <t>Diesel Consumption</t>
  </si>
  <si>
    <t>Tractor engine</t>
  </si>
  <si>
    <t>Annual Fuel delivery to tractors</t>
  </si>
  <si>
    <t>Total  LNG Tacoma -to-Wheels</t>
  </si>
  <si>
    <t>LNG Project - LNG Tractor</t>
  </si>
  <si>
    <t>Power Total during construction (kWh)</t>
  </si>
  <si>
    <t>Vent/flare</t>
  </si>
  <si>
    <t>Pretreatment fired NG</t>
  </si>
  <si>
    <t>Pretreatment Vent</t>
  </si>
  <si>
    <t>LPG flaring</t>
  </si>
  <si>
    <t>C2/C5+</t>
  </si>
  <si>
    <t>Gig Harbor LNG</t>
  </si>
  <si>
    <t>Gig Harbor Delivery</t>
  </si>
  <si>
    <t>LNG End Use</t>
  </si>
  <si>
    <t>LNG Heater Capacity</t>
  </si>
  <si>
    <t>LPG in Waste Gas</t>
  </si>
  <si>
    <t>Waste Gas, Mass Balance</t>
  </si>
  <si>
    <t>Non Action</t>
  </si>
  <si>
    <t>Explain losses</t>
  </si>
  <si>
    <t>L</t>
  </si>
  <si>
    <t>loss</t>
  </si>
  <si>
    <t>g</t>
  </si>
  <si>
    <t>GREET</t>
  </si>
  <si>
    <t>(mmBtu/hr)</t>
  </si>
  <si>
    <t>Calculated</t>
  </si>
  <si>
    <t>Source: Capacity, NG use 2018-05-25 PSE Submittal ATTACHMENT F page 118</t>
  </si>
  <si>
    <t>Source: Capacity, NG use 2018-05-25 PSE Submittal ATTACHMENT F page 119</t>
  </si>
  <si>
    <t>Source: Capacity, NG use 2018-05-25 PSE Submittal ATTACHMENT F page 120</t>
  </si>
  <si>
    <t>Source: Capacity, NG use 2018-05-25 PSE Submittal  page 12</t>
  </si>
  <si>
    <t xml:space="preserve"> (gal/h)</t>
  </si>
  <si>
    <t>Diesel genrator</t>
  </si>
  <si>
    <t xml:space="preserve">WPG: Water Propylene Glycol </t>
  </si>
  <si>
    <t>Source: LCA assumption 8760h/yr-240h/year (pipeline used by the vaporizer)</t>
  </si>
  <si>
    <t>NG Boiler</t>
  </si>
  <si>
    <t>LNG Tacoma</t>
  </si>
  <si>
    <t>LNG Tacoma End Use</t>
  </si>
  <si>
    <t>Short tables</t>
  </si>
  <si>
    <t>see also https://www.marad.dot.gov/wp-content/uploads/pdf/Methane-emissions-from-LNG-bunkering-20151124-final.pdf</t>
  </si>
  <si>
    <t>Source: 2018-05-25 PSE Submittal  page 78, table LNG Bunkering Emissions</t>
  </si>
  <si>
    <t>Source: 2018-05-25 PSE Submittal  page 79, tables TOTE Vessel Emissions</t>
  </si>
  <si>
    <t>NG Upstream</t>
  </si>
  <si>
    <t>Direct LNG Plant</t>
  </si>
  <si>
    <t>TOTE Marine Diesel Pilot fuel</t>
  </si>
  <si>
    <t>Truck-to-Ship Bunkering Pilot Fuel</t>
  </si>
  <si>
    <t>Other Marine Diesel  Pilot Fuel</t>
  </si>
  <si>
    <t>Gig harbor LNG</t>
  </si>
  <si>
    <t>Gig  harbor LNG</t>
  </si>
  <si>
    <t>T 4.2</t>
  </si>
  <si>
    <t>Upstream Life Cycle</t>
  </si>
  <si>
    <t xml:space="preserve">Net Emissions </t>
  </si>
  <si>
    <t>Tacoma LNG</t>
  </si>
  <si>
    <t>No Action Alternative</t>
  </si>
  <si>
    <t>GHG Emissions (tonne/year)</t>
  </si>
  <si>
    <t>Net Emissions</t>
  </si>
  <si>
    <t>Emissions (tonne/yr)</t>
  </si>
  <si>
    <t>D</t>
  </si>
  <si>
    <t>Gig harbor NG &amp; LNG production</t>
  </si>
  <si>
    <t>Old value</t>
  </si>
  <si>
    <t>from BID</t>
  </si>
  <si>
    <t>g/mmBtu, check</t>
  </si>
  <si>
    <t>Upstream GHG Emissions for Tacoma LNG</t>
  </si>
  <si>
    <t>Use Rate</t>
  </si>
  <si>
    <t>GREET2_2017</t>
  </si>
  <si>
    <t>Direct Combustion Emission Rate</t>
  </si>
  <si>
    <t>Boiler, NG</t>
  </si>
  <si>
    <t>NG - fired NG</t>
  </si>
  <si>
    <t>To LNG</t>
  </si>
  <si>
    <t>Waste Gas</t>
  </si>
  <si>
    <t>(g CO2/mmBtu), LHV</t>
  </si>
  <si>
    <t>Actual result based on LNG composition</t>
  </si>
  <si>
    <t>Flare Check</t>
  </si>
  <si>
    <t>Waste Gas Flaring</t>
  </si>
  <si>
    <t>Type in</t>
  </si>
  <si>
    <t>TA</t>
  </si>
  <si>
    <t>TAUP</t>
  </si>
  <si>
    <t>TAPP</t>
  </si>
  <si>
    <t>Pretreatment CO2</t>
  </si>
  <si>
    <t>Included above</t>
  </si>
  <si>
    <t>LNG Pretreatment Boiler</t>
  </si>
  <si>
    <t>Natural Gas Extraction and processing</t>
  </si>
  <si>
    <t>Distribution</t>
  </si>
  <si>
    <t>2 x</t>
  </si>
  <si>
    <t>Flare waste Gas</t>
  </si>
  <si>
    <t>Propane Volume</t>
  </si>
  <si>
    <t>kg/day</t>
  </si>
  <si>
    <t>Emission Factor (g/mmBtu), LHV</t>
  </si>
  <si>
    <t>Waste gas for heater</t>
  </si>
  <si>
    <t>Pwr Mix</t>
  </si>
  <si>
    <t>Natural Gas Upstream</t>
  </si>
  <si>
    <t>GHGenius</t>
  </si>
  <si>
    <t>Life Cycle Step</t>
  </si>
  <si>
    <t>Total Emissions (Tacoma LNG)</t>
  </si>
  <si>
    <t>Input Natural Gas</t>
  </si>
  <si>
    <r>
      <t>The carbon balance accounts for the hydocarbons and CO</t>
    </r>
    <r>
      <rPr>
        <vertAlign val="subscript"/>
        <sz val="14"/>
        <color indexed="8"/>
        <rFont val="Calibri"/>
        <family val="2"/>
      </rPr>
      <t>2</t>
    </r>
    <r>
      <rPr>
        <sz val="14"/>
        <color indexed="8"/>
        <rFont val="Calibri"/>
        <family val="2"/>
      </rPr>
      <t xml:space="preserve"> in the natural gas such that the carbon entering the LNG system is equal to the carbon </t>
    </r>
  </si>
  <si>
    <t>LNG  for Peak shaving</t>
  </si>
  <si>
    <t>MJ/gal</t>
  </si>
  <si>
    <t>NG Feed (lb/day)</t>
  </si>
  <si>
    <t>ratio
NG/LNG</t>
  </si>
  <si>
    <t>LHV, Btu/gal</t>
  </si>
  <si>
    <t>Emissions (t/year)</t>
  </si>
  <si>
    <t>NEW LNG Plant</t>
  </si>
  <si>
    <t>EER</t>
  </si>
  <si>
    <t>Slip</t>
  </si>
  <si>
    <t>Marine Fuel + Operations losses</t>
  </si>
  <si>
    <t>Info for Table</t>
  </si>
  <si>
    <t xml:space="preserve"> Enduse Scenario</t>
  </si>
  <si>
    <t>ktonne/year</t>
  </si>
  <si>
    <t>with Loss Factor</t>
  </si>
  <si>
    <t xml:space="preserve"> NG Btu/gal LNG</t>
  </si>
  <si>
    <t>EER for Marine</t>
  </si>
  <si>
    <t>NG</t>
  </si>
  <si>
    <t>No Action</t>
  </si>
  <si>
    <t>Pilot Fuel</t>
  </si>
  <si>
    <t>Marine by Truck</t>
  </si>
  <si>
    <t>LNG Plant and Fugitives</t>
  </si>
  <si>
    <t>Bunkering CH4 Capture</t>
  </si>
  <si>
    <t>Energy %</t>
  </si>
  <si>
    <t>loss factor</t>
  </si>
  <si>
    <t>loss facor</t>
  </si>
  <si>
    <t>Btu/mile</t>
  </si>
  <si>
    <t>GWh/year</t>
  </si>
  <si>
    <t>Scenario A 250,000 gal/d</t>
  </si>
  <si>
    <t>Scenario B 500,000 gal/d</t>
  </si>
  <si>
    <t>For Plotting</t>
  </si>
  <si>
    <t>17</t>
  </si>
  <si>
    <t>Source: PSE-BID</t>
  </si>
  <si>
    <t>1 if Bunker Barge Only for Scenario A</t>
  </si>
  <si>
    <t>Scenario A Volume Data</t>
  </si>
  <si>
    <t>PSE Estimate</t>
  </si>
  <si>
    <t>Upstream Life Cycle Data.  Source: GHGenius for BC, GREET NA Natural Gas, PSE FEIS for BC inventory</t>
  </si>
  <si>
    <t>BC Inventory</t>
  </si>
  <si>
    <r>
      <t>CO</t>
    </r>
    <r>
      <rPr>
        <b/>
        <vertAlign val="subscript"/>
        <sz val="11"/>
        <rFont val="Calibri"/>
        <family val="2"/>
      </rPr>
      <t>2e</t>
    </r>
  </si>
  <si>
    <t>Natural Gas upstream from PSE for Lower Sensitivity</t>
  </si>
  <si>
    <t>Range</t>
  </si>
  <si>
    <t>1 to 1.015</t>
  </si>
  <si>
    <t>NET 0 difference</t>
  </si>
  <si>
    <t>Tacoma LNG Emissions</t>
  </si>
  <si>
    <t>New ships have 0.1% loss</t>
  </si>
  <si>
    <r>
      <t>CO</t>
    </r>
    <r>
      <rPr>
        <b/>
        <vertAlign val="subscript"/>
        <sz val="11"/>
        <color indexed="8"/>
        <rFont val="Calibri"/>
        <family val="2"/>
      </rPr>
      <t>2</t>
    </r>
    <r>
      <rPr>
        <b/>
        <sz val="11"/>
        <color indexed="8"/>
        <rFont val="Calibri"/>
        <family val="2"/>
      </rPr>
      <t>e FEIS</t>
    </r>
  </si>
  <si>
    <t>FEIS uses EF provided by CB&amp;I and flare vendor   See EXCEL 2018  05-25 Tacoma LNG Project Greenhouse Gas Summary SHEET  GHG Summary A52</t>
  </si>
  <si>
    <t>uses EF of 53.06 kg/mmBtu for NG See EXCEL 2018  05-25 Tacoma LNG Project Greenhouse Gas Summary SHEET  GHG Summary L8</t>
  </si>
  <si>
    <t>From PSE</t>
  </si>
  <si>
    <t>LNG Output</t>
  </si>
  <si>
    <t>from PSE</t>
  </si>
  <si>
    <r>
      <t>Vaporizer Flue Gas CO</t>
    </r>
    <r>
      <rPr>
        <vertAlign val="subscript"/>
        <sz val="11"/>
        <color indexed="8"/>
        <rFont val="Calibri Light"/>
        <family val="2"/>
      </rPr>
      <t>2</t>
    </r>
  </si>
  <si>
    <t>t/t from mass bal</t>
  </si>
  <si>
    <t>t/t from PSE</t>
  </si>
  <si>
    <t>in the combustion gas, fugitive emissions and LNG. Carbon in the Flared gas ex. LPG is determined by difference. Inputs to the analysis include</t>
  </si>
  <si>
    <t>overall NG to LNG mass balance, and fired pretreament NG. Waste gas to flare is based on elemental composition and mass flows.</t>
  </si>
  <si>
    <t>Active Flow Sheet on the right</t>
  </si>
  <si>
    <t>This way   ----&gt;</t>
  </si>
  <si>
    <t>Yes</t>
  </si>
  <si>
    <t>Unit</t>
  </si>
  <si>
    <t>lb/lb LNG</t>
  </si>
  <si>
    <t>Electricity</t>
  </si>
  <si>
    <t>kWh/1000 gal LNG</t>
  </si>
  <si>
    <t>Energy Efficiency</t>
  </si>
  <si>
    <t>Marine vessel bunkering, truck CH4</t>
  </si>
  <si>
    <t>Marine Vessel Bunkering, truck</t>
  </si>
  <si>
    <t>Bunkering and Transfer Fugitives</t>
  </si>
  <si>
    <t>WA MGO Fuel</t>
  </si>
  <si>
    <t>U.S. Ultra Low Sulfur Diesel</t>
  </si>
  <si>
    <t>Energy efficiency</t>
  </si>
  <si>
    <t>Urban emission share</t>
  </si>
  <si>
    <t>Loss factor</t>
  </si>
  <si>
    <t>Share of feedstock input as feed (the remaining input as process fuel)</t>
  </si>
  <si>
    <t xml:space="preserve">Shares of process fuels </t>
  </si>
  <si>
    <t xml:space="preserve">     Residual oil</t>
  </si>
  <si>
    <t xml:space="preserve">     Diesel fuel</t>
  </si>
  <si>
    <t xml:space="preserve">     Natural gas</t>
  </si>
  <si>
    <t xml:space="preserve">     Electricity</t>
  </si>
  <si>
    <t xml:space="preserve">     Feed loss</t>
  </si>
  <si>
    <t xml:space="preserve">     Natural gas: process fuel</t>
  </si>
  <si>
    <t xml:space="preserve">     Feedstock loss</t>
  </si>
  <si>
    <t>Water consumption</t>
  </si>
  <si>
    <t>NG Liquefaction: As an Intermediate Fuel</t>
  </si>
  <si>
    <t>Btu/gal, LHV</t>
  </si>
  <si>
    <t>Leak Recovery</t>
  </si>
  <si>
    <t xml:space="preserve">     Fired propane, hydrocarbons</t>
  </si>
  <si>
    <t>g LNG /mmBtu</t>
  </si>
  <si>
    <t>GREET Parameter</t>
  </si>
  <si>
    <t>Total MGO</t>
  </si>
  <si>
    <t>M Gal/y</t>
  </si>
  <si>
    <t>Diesel for non-road engines/ MGO</t>
  </si>
  <si>
    <t>tonne/y</t>
  </si>
  <si>
    <t>ppm wt Sulfur</t>
  </si>
  <si>
    <t>tonne additional sulfur in MGO</t>
  </si>
  <si>
    <t>Mole H2/mole S</t>
  </si>
  <si>
    <t>H2 MW</t>
  </si>
  <si>
    <t>S MW</t>
  </si>
  <si>
    <t>tonne H2</t>
  </si>
  <si>
    <t>GBtu/y</t>
  </si>
  <si>
    <t>Btu/kg</t>
  </si>
  <si>
    <t>GBtu/y hydrogen</t>
  </si>
  <si>
    <t>Total energy</t>
  </si>
  <si>
    <t>Fossil fuels</t>
  </si>
  <si>
    <t>CO2 (w/ C in VOC &amp; CO)</t>
  </si>
  <si>
    <t>GHGs</t>
  </si>
  <si>
    <t>G. Hydrogen for Use in Renewable Diesel Production</t>
  </si>
  <si>
    <t>WTP</t>
  </si>
  <si>
    <t>PTW</t>
  </si>
  <si>
    <t>From WA_GREET Hydrogen Sheet</t>
  </si>
  <si>
    <t>Avoided</t>
  </si>
  <si>
    <t>Reduced H2</t>
  </si>
  <si>
    <t>Reduced NG</t>
  </si>
  <si>
    <t>Avoided hydrotreating</t>
  </si>
  <si>
    <t>https://www.engineeringtoolbox.com/specific-heat-fluids-d_151.html</t>
  </si>
  <si>
    <t>kJ/(kg-K)</t>
  </si>
  <si>
    <t>for decane</t>
  </si>
  <si>
    <t>for 1000 ppm S</t>
  </si>
  <si>
    <t>MJ/MJ MGO</t>
  </si>
  <si>
    <t>Total Avoided</t>
  </si>
  <si>
    <t>MGO</t>
  </si>
  <si>
    <t>MGO - Upstream</t>
  </si>
  <si>
    <t>MGO fuel</t>
  </si>
  <si>
    <t>MGO Fuel</t>
  </si>
  <si>
    <t>Displaced MGO Fuel</t>
  </si>
  <si>
    <t>Assume barge delivers MGO for displaced emissions</t>
  </si>
  <si>
    <t>gMGO/kWh</t>
  </si>
  <si>
    <t xml:space="preserve">Table B.2: Emission Factors for OGV Main Engines Using MGO, g/kW-hr </t>
  </si>
  <si>
    <t>Sulfur emissions rates for Low Pressure DF LNG engines based on SINEF report (Table 5.1) indicating 95-98% SOx reductions from LNG operation relative to MGO.  Assume pilot fuel is MGO with a 0.5% sulfur content based on 2020 global sulfur cap</t>
  </si>
  <si>
    <t>Table B.12: Auxiliary Boiler Emission Factors using MGO, g/kW-hr</t>
  </si>
  <si>
    <t>Table B.12: Auxiliary Boiler GHG Emission Factors using MGO, g/kW-hr</t>
  </si>
  <si>
    <t xml:space="preserve">Table B.2: GHG Emission Factors for OGV Main Engines Using MGO, g/kW-hr </t>
  </si>
  <si>
    <t>Input for 250,000 gal /day</t>
  </si>
  <si>
    <t>Total Fuel Consumed
(tonne MGOe)</t>
  </si>
  <si>
    <t>MJ/kW-hr</t>
  </si>
  <si>
    <t>Select Main engine type consistent with fuel</t>
  </si>
  <si>
    <t>LNG, prior assumption</t>
  </si>
  <si>
    <t>Source: 2013 POLB Emissions Inventory, Adjusted to MGO properties</t>
  </si>
  <si>
    <t>CO2 emissions for LNG based on ratios of carbon-per-BTU for MGO and LNG, as given in ANL GREET's fuel properties worksheet</t>
  </si>
  <si>
    <t>CO2C</t>
  </si>
  <si>
    <t>MJ/kWh</t>
  </si>
  <si>
    <t>Aggregate (g/mmBtu MGOe, LHV)</t>
  </si>
  <si>
    <t>Total C</t>
  </si>
  <si>
    <r>
      <t>CO</t>
    </r>
    <r>
      <rPr>
        <b/>
        <vertAlign val="subscript"/>
        <sz val="11"/>
        <rFont val="Calibri"/>
        <family val="2"/>
        <scheme val="minor"/>
      </rPr>
      <t>2</t>
    </r>
    <r>
      <rPr>
        <b/>
        <sz val="11"/>
        <rFont val="Calibri"/>
        <family val="2"/>
        <scheme val="minor"/>
      </rPr>
      <t>cT</t>
    </r>
  </si>
  <si>
    <t>GHGenius, HHV Basis</t>
  </si>
  <si>
    <t>Fuel ------&gt;</t>
  </si>
  <si>
    <t>CNG</t>
  </si>
  <si>
    <t>Feedstock ------&gt;</t>
  </si>
  <si>
    <t xml:space="preserve"> Fuel dispensing</t>
  </si>
  <si>
    <t xml:space="preserve"> Fuel distribution and storage</t>
  </si>
  <si>
    <t xml:space="preserve"> Fuel production</t>
  </si>
  <si>
    <t xml:space="preserve"> Feedstock transmission</t>
  </si>
  <si>
    <t xml:space="preserve"> Feedstock recovery</t>
  </si>
  <si>
    <t xml:space="preserve"> Feedstock upgrading</t>
  </si>
  <si>
    <t xml:space="preserve"> Land-use changes, cultivation*</t>
  </si>
  <si>
    <t xml:space="preserve"> Fertilizer manufacture</t>
  </si>
  <si>
    <t xml:space="preserve"> Gas leaks and flares**</t>
  </si>
  <si>
    <t xml:space="preserve"> Emissions displaced</t>
  </si>
  <si>
    <t>GHG Results (g/mmBtu, HHV), Scenario Year 2020 for BC</t>
  </si>
  <si>
    <t>GHGenius, LHV Basis</t>
  </si>
  <si>
    <t>Modest transmission difference</t>
  </si>
  <si>
    <t>Upstream Gig  Harbor LNG</t>
  </si>
  <si>
    <t>GHGenius4.0</t>
  </si>
  <si>
    <t>Fuel dispensing</t>
  </si>
  <si>
    <t>Fuel distribution and storage</t>
  </si>
  <si>
    <t>Fuel production</t>
  </si>
  <si>
    <t>Feedstock transmission</t>
  </si>
  <si>
    <t>Feedstock recovery</t>
  </si>
  <si>
    <t>Feedstock upgrading</t>
  </si>
  <si>
    <t>Land-use changes, cultivation*</t>
  </si>
  <si>
    <t>Fertilizer manufacture</t>
  </si>
  <si>
    <t>Gas leaks and flares**</t>
  </si>
  <si>
    <t>CO2, H2S removed from NG^</t>
  </si>
  <si>
    <t>Emissions displaced - co-products</t>
  </si>
  <si>
    <t>% Removal</t>
  </si>
  <si>
    <t xml:space="preserve"> CO2c</t>
  </si>
  <si>
    <t>CO2 Total</t>
  </si>
  <si>
    <t>CO2cT</t>
  </si>
  <si>
    <t>LNG Transportation and Distribution: As a Transportation Fuel</t>
  </si>
  <si>
    <t>LNG Storage: As a Transportation Fuel</t>
  </si>
  <si>
    <t>Comparison of GREET values with Tacoma LNG</t>
  </si>
  <si>
    <t>LNG Storage and Distribution</t>
  </si>
  <si>
    <t>Boil off before recovery (g/mmBtu)</t>
  </si>
  <si>
    <t>Energy use: Btu/mmBtu of fuel throughput</t>
  </si>
  <si>
    <t>Peak Shaving</t>
  </si>
  <si>
    <t>LNG Truck</t>
  </si>
  <si>
    <t>95% basecase</t>
  </si>
  <si>
    <t>NG Use Rate (lb/lb LNG)</t>
  </si>
  <si>
    <r>
      <t>CH</t>
    </r>
    <r>
      <rPr>
        <vertAlign val="subscript"/>
        <sz val="14"/>
        <color indexed="8"/>
        <rFont val="Arial Narrow"/>
        <family val="2"/>
      </rPr>
      <t>4</t>
    </r>
    <r>
      <rPr>
        <sz val="10"/>
        <color indexed="8"/>
        <rFont val="Arial"/>
        <family val="2"/>
      </rPr>
      <t xml:space="preserve"> Leakage</t>
    </r>
  </si>
  <si>
    <r>
      <t>CH</t>
    </r>
    <r>
      <rPr>
        <vertAlign val="subscript"/>
        <sz val="14"/>
        <color indexed="8"/>
        <rFont val="Arial Narrow"/>
        <family val="2"/>
      </rPr>
      <t>4</t>
    </r>
    <r>
      <rPr>
        <sz val="10"/>
        <color indexed="8"/>
        <rFont val="Arial"/>
        <family val="2"/>
      </rPr>
      <t xml:space="preserve"> Leakage (g/mmBtu LNG)</t>
    </r>
  </si>
  <si>
    <t>LNG - NAA</t>
  </si>
  <si>
    <r>
      <t>CO</t>
    </r>
    <r>
      <rPr>
        <vertAlign val="subscript"/>
        <sz val="8"/>
        <color indexed="8"/>
        <rFont val="Arial"/>
        <family val="2"/>
      </rPr>
      <t>2</t>
    </r>
    <r>
      <rPr>
        <sz val="8"/>
        <color indexed="8"/>
        <rFont val="Arial"/>
        <family val="2"/>
      </rPr>
      <t>e</t>
    </r>
  </si>
  <si>
    <r>
      <t xml:space="preserve"> CO</t>
    </r>
    <r>
      <rPr>
        <vertAlign val="subscript"/>
        <sz val="9"/>
        <rFont val="Arial"/>
        <family val="2"/>
      </rPr>
      <t>2</t>
    </r>
    <r>
      <rPr>
        <sz val="9"/>
        <rFont val="Arial"/>
        <family val="2"/>
      </rPr>
      <t>, H</t>
    </r>
    <r>
      <rPr>
        <vertAlign val="subscript"/>
        <sz val="9"/>
        <rFont val="Arial"/>
        <family val="2"/>
      </rPr>
      <t>2</t>
    </r>
    <r>
      <rPr>
        <sz val="9"/>
        <rFont val="Arial"/>
        <family val="2"/>
      </rPr>
      <t>S removed from NG^</t>
    </r>
  </si>
  <si>
    <r>
      <t>CH</t>
    </r>
    <r>
      <rPr>
        <b/>
        <vertAlign val="subscript"/>
        <sz val="8"/>
        <color indexed="8"/>
        <rFont val="Arial"/>
        <family val="2"/>
      </rPr>
      <t>4</t>
    </r>
  </si>
  <si>
    <r>
      <t>N</t>
    </r>
    <r>
      <rPr>
        <b/>
        <vertAlign val="subscript"/>
        <sz val="8"/>
        <color indexed="8"/>
        <rFont val="Arial"/>
        <family val="2"/>
      </rPr>
      <t>2</t>
    </r>
    <r>
      <rPr>
        <b/>
        <sz val="8"/>
        <color indexed="8"/>
        <rFont val="Arial"/>
        <family val="2"/>
      </rPr>
      <t>O</t>
    </r>
  </si>
  <si>
    <r>
      <t>CO</t>
    </r>
    <r>
      <rPr>
        <vertAlign val="subscript"/>
        <sz val="8"/>
        <color indexed="8"/>
        <rFont val="Arial"/>
        <family val="2"/>
      </rPr>
      <t>2</t>
    </r>
    <r>
      <rPr>
        <sz val="8"/>
        <color indexed="8"/>
        <rFont val="Arial"/>
        <family val="2"/>
      </rPr>
      <t>+CH</t>
    </r>
    <r>
      <rPr>
        <vertAlign val="subscript"/>
        <sz val="8"/>
        <color indexed="8"/>
        <rFont val="Arial"/>
        <family val="2"/>
      </rPr>
      <t>4</t>
    </r>
  </si>
  <si>
    <r>
      <t>CO</t>
    </r>
    <r>
      <rPr>
        <vertAlign val="subscript"/>
        <sz val="8"/>
        <color indexed="8"/>
        <rFont val="Arial"/>
        <family val="2"/>
      </rPr>
      <t>2</t>
    </r>
    <r>
      <rPr>
        <sz val="8"/>
        <color indexed="8"/>
        <rFont val="Arial"/>
        <family val="2"/>
      </rPr>
      <t>+N</t>
    </r>
    <r>
      <rPr>
        <vertAlign val="subscript"/>
        <sz val="8"/>
        <color indexed="8"/>
        <rFont val="Arial"/>
        <family val="2"/>
      </rPr>
      <t>2</t>
    </r>
    <r>
      <rPr>
        <sz val="8"/>
        <color indexed="8"/>
        <rFont val="Arial"/>
        <family val="2"/>
      </rPr>
      <t>O</t>
    </r>
  </si>
  <si>
    <t>GHGenius, v4, 2018, region not updated</t>
  </si>
  <si>
    <t>GREET1_2017, for WA</t>
  </si>
  <si>
    <t>GREET1_2018</t>
  </si>
  <si>
    <t>Natural Gas to Liquefied Natural Gas (as a transportation fuel)</t>
  </si>
  <si>
    <t>Feedstock</t>
  </si>
  <si>
    <t>GREET1_2018 Results</t>
  </si>
  <si>
    <t>4.3) CH4 leakage rate for each stage in conventional NG and shale gas pathways</t>
  </si>
  <si>
    <t xml:space="preserve">  1 -- EPA 2018;  2 -- EDF 2018;  3 -- User defined</t>
  </si>
  <si>
    <t>Used in calculation: EPA 2018</t>
  </si>
  <si>
    <t>EPA 2018</t>
  </si>
  <si>
    <t>EDF 2018</t>
  </si>
  <si>
    <t>vol. % of CH4 over NG throughput 
(EPA 2018)</t>
  </si>
  <si>
    <t>Conventional NG</t>
  </si>
  <si>
    <t>Shale gas</t>
  </si>
  <si>
    <t xml:space="preserve">Recovery - CH4 Leakage and Venting </t>
  </si>
  <si>
    <t>g CH4/mmBtu NG</t>
  </si>
  <si>
    <t>Recovery - Completion CH4 Venting</t>
  </si>
  <si>
    <t>N/A</t>
  </si>
  <si>
    <t>Recovery - Workover CH4 Venting</t>
  </si>
  <si>
    <t>Recovery - Liquid Unloading CH4 Venting</t>
  </si>
  <si>
    <t>Well Equipment - CH4 Venting and Leakage</t>
  </si>
  <si>
    <t>Processing - CH4 Venting and Leakage</t>
  </si>
  <si>
    <t>Transmission and Storage - CH4 Venting and Leakage</t>
  </si>
  <si>
    <t>g CH4/mmBtu NG/680 miles</t>
  </si>
  <si>
    <t>Distribution - CH4 Venting and Leakage</t>
  </si>
  <si>
    <t>4.4) Flaring energy and CO2 emission rate for recovery and processing in conventional NG and shale gas pathways</t>
  </si>
  <si>
    <t>Recovery - Flaring</t>
  </si>
  <si>
    <t>Btu NG/mmBtu NG</t>
  </si>
  <si>
    <t>Recovery - Venting</t>
  </si>
  <si>
    <t>g CO2/mmBtu NG</t>
  </si>
  <si>
    <t>Processing - Flaring</t>
  </si>
  <si>
    <t>Processing - Venting</t>
  </si>
  <si>
    <t>% of NG</t>
  </si>
  <si>
    <r>
      <t>CO</t>
    </r>
    <r>
      <rPr>
        <b/>
        <vertAlign val="subscript"/>
        <sz val="8"/>
        <color indexed="8"/>
        <rFont val="Arial"/>
        <family val="2"/>
      </rPr>
      <t>2</t>
    </r>
    <r>
      <rPr>
        <b/>
        <sz val="8"/>
        <color indexed="8"/>
        <rFont val="Arial"/>
        <family val="2"/>
      </rPr>
      <t>c</t>
    </r>
  </si>
  <si>
    <t xml:space="preserve">      Results for CNG from v4.03a</t>
  </si>
  <si>
    <t>Alberta</t>
  </si>
  <si>
    <r>
      <t>a</t>
    </r>
    <r>
      <rPr>
        <sz val="10"/>
        <color indexed="8"/>
        <rFont val="Calibri"/>
        <family val="2"/>
      </rPr>
      <t>GHGenius also shows results to Industry with a lower transport distance. Gas leaks and flares are zero in v5.</t>
    </r>
  </si>
  <si>
    <r>
      <t xml:space="preserve">Model Result </t>
    </r>
    <r>
      <rPr>
        <b/>
        <vertAlign val="superscript"/>
        <sz val="9"/>
        <color indexed="8"/>
        <rFont val="Arial"/>
        <family val="2"/>
      </rPr>
      <t>a</t>
    </r>
  </si>
  <si>
    <t>GHGenius v5.0c</t>
  </si>
  <si>
    <t>GREET1 _2018</t>
  </si>
  <si>
    <t>Step</t>
  </si>
  <si>
    <t>Fracking Chemicals</t>
  </si>
  <si>
    <t>Fracking Water</t>
  </si>
  <si>
    <t>Well Pad Construction</t>
  </si>
  <si>
    <t>Preproduction</t>
  </si>
  <si>
    <t>Fugitive Emissions and Well Completion</t>
  </si>
  <si>
    <t>Compression Fuel</t>
  </si>
  <si>
    <t>Fugitive transmission</t>
  </si>
  <si>
    <t>Well Drilling</t>
  </si>
  <si>
    <t>Flaring</t>
  </si>
  <si>
    <t>Plant Energy</t>
  </si>
  <si>
    <t>Vented CO2</t>
  </si>
  <si>
    <t>Fugitive at Plant</t>
  </si>
  <si>
    <t>Liquid Unloading</t>
  </si>
  <si>
    <t>Workover</t>
  </si>
  <si>
    <t xml:space="preserve"> --</t>
  </si>
  <si>
    <t>Fugitive at Well</t>
  </si>
  <si>
    <t>g/MMBtu</t>
  </si>
  <si>
    <t>Conventional</t>
  </si>
  <si>
    <t>Shale</t>
  </si>
  <si>
    <t>Trans &amp; Stor</t>
  </si>
  <si>
    <t>Trans &amp; stor leakage</t>
  </si>
  <si>
    <t>NA NG Recovery</t>
  </si>
  <si>
    <t>Recovery Leakage</t>
  </si>
  <si>
    <t>NG NG Processing</t>
  </si>
  <si>
    <t>Processing Leakage</t>
  </si>
  <si>
    <t>Conv</t>
  </si>
  <si>
    <t>Blend</t>
  </si>
  <si>
    <t>CO2 (w/VOC &amp; CO)</t>
  </si>
  <si>
    <t>GHGs,g/MJ</t>
  </si>
  <si>
    <r>
      <t xml:space="preserve">Production/Processing </t>
    </r>
    <r>
      <rPr>
        <vertAlign val="superscript"/>
        <sz val="11"/>
        <color indexed="8"/>
        <rFont val="Calibri"/>
        <family val="2"/>
      </rPr>
      <t>a</t>
    </r>
  </si>
  <si>
    <t>EDF</t>
  </si>
  <si>
    <t>Methane Slip</t>
  </si>
  <si>
    <t>g/kWh</t>
  </si>
  <si>
    <t>5.3 baseline</t>
  </si>
  <si>
    <t>Aggregate Value</t>
  </si>
  <si>
    <t>kWhe/mmBtu</t>
  </si>
  <si>
    <t>mmBtu Fuel gas/yr</t>
  </si>
  <si>
    <t>Pump Power, /kWh</t>
  </si>
  <si>
    <t>Power (kWh/1000 gal) regasified</t>
  </si>
  <si>
    <t>g/MJ</t>
  </si>
  <si>
    <r>
      <t>CH</t>
    </r>
    <r>
      <rPr>
        <vertAlign val="subscript"/>
        <sz val="11"/>
        <rFont val="Calibri"/>
        <family val="2"/>
        <scheme val="minor"/>
      </rPr>
      <t>4</t>
    </r>
    <r>
      <rPr>
        <sz val="11"/>
        <rFont val="Calibri"/>
        <family val="2"/>
        <scheme val="minor"/>
      </rPr>
      <t xml:space="preserve"> Emissions
(g/mmBtu)</t>
    </r>
  </si>
  <si>
    <r>
      <t>CO</t>
    </r>
    <r>
      <rPr>
        <vertAlign val="subscript"/>
        <sz val="11"/>
        <rFont val="Calibri"/>
        <family val="2"/>
        <scheme val="minor"/>
      </rPr>
      <t>2e</t>
    </r>
    <r>
      <rPr>
        <sz val="11"/>
        <rFont val="Calibri"/>
        <family val="2"/>
        <scheme val="minor"/>
      </rPr>
      <t xml:space="preserve"> Emissions
(g/mmBtu)</t>
    </r>
  </si>
  <si>
    <t>Btu/day</t>
  </si>
  <si>
    <t>Yaritani</t>
  </si>
  <si>
    <t>BC v4.0a</t>
  </si>
  <si>
    <t>MMBtu/d, HHV</t>
  </si>
  <si>
    <t>Small Industrial Boiler LNG</t>
  </si>
  <si>
    <t>Natural Gas for Peak Usage</t>
  </si>
  <si>
    <t>No Peak Shaving - Natural Gas Boiler</t>
  </si>
  <si>
    <t>Natural Gas for Peak Use</t>
  </si>
  <si>
    <t xml:space="preserve"> LNG Peak Shaving</t>
  </si>
  <si>
    <t>Annual throughput, 60 hours of peak shaving</t>
  </si>
  <si>
    <t>Restated</t>
  </si>
  <si>
    <t>Table is redundant</t>
  </si>
  <si>
    <t>Boiler/Residential Fuel</t>
  </si>
  <si>
    <t>could be LNG</t>
  </si>
  <si>
    <t>LHV, Btu/lb</t>
  </si>
  <si>
    <t>LHV, mmBtu/d</t>
  </si>
  <si>
    <t>of LNG energy</t>
  </si>
  <si>
    <t>Average Annual</t>
  </si>
  <si>
    <t>NG combustion</t>
  </si>
  <si>
    <r>
      <rPr>
        <vertAlign val="superscript"/>
        <sz val="11"/>
        <color indexed="8"/>
        <rFont val="Calibri"/>
        <family val="2"/>
      </rPr>
      <t>a</t>
    </r>
    <r>
      <rPr>
        <sz val="11"/>
        <color indexed="8"/>
        <rFont val="Calibri"/>
        <family val="2"/>
      </rPr>
      <t>Values adjusted to account for rounding</t>
    </r>
  </si>
  <si>
    <r>
      <t>GHG Emissions (g CO</t>
    </r>
    <r>
      <rPr>
        <b/>
        <vertAlign val="subscript"/>
        <sz val="11"/>
        <color indexed="8"/>
        <rFont val="Calibri"/>
        <family val="2"/>
      </rPr>
      <t>2</t>
    </r>
    <r>
      <rPr>
        <b/>
        <sz val="11"/>
        <color indexed="8"/>
        <rFont val="Calibri"/>
        <family val="2"/>
      </rPr>
      <t>e/MJ Natural Gas), LHV</t>
    </r>
  </si>
  <si>
    <t>reduced direct GHG emissions due to fuel properties</t>
  </si>
  <si>
    <t>See Active calculations to the right ------------------------------------------------------------&gt;</t>
  </si>
  <si>
    <t>CO2 emissions are tied to the EER</t>
  </si>
  <si>
    <t>since fuel properties of engines</t>
  </si>
  <si>
    <t>are variable</t>
  </si>
  <si>
    <t>Note that EER matches</t>
  </si>
  <si>
    <t>Marine Fuel</t>
  </si>
  <si>
    <r>
      <t xml:space="preserve">Source: </t>
    </r>
    <r>
      <rPr>
        <i/>
        <sz val="12"/>
        <color rgb="FFFF0000"/>
        <rFont val="Calibri"/>
        <family val="2"/>
        <scheme val="minor"/>
      </rPr>
      <t>UPDATED</t>
    </r>
    <r>
      <rPr>
        <i/>
        <sz val="12"/>
        <rFont val="Calibri"/>
        <family val="2"/>
        <scheme val="minor"/>
      </rPr>
      <t xml:space="preserve"> 2016 Puget Sound Maritime Air Emissions Inventory, Published Feb 2018 APPENDIX B: OGV EMISSIONS ESTIMATING METHODOLOGY (unless otherwise noted below table)</t>
    </r>
  </si>
  <si>
    <t>Efficiency Calculated for GREET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</si>
</sst>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_(* \(#,##0.00\);_(* &quot;-&quot;??_);_(@_)"/>
    <numFmt numFmtId="164" formatCode="_(* #,##0.0_);_(* \(#,##0.0\);_(* &quot;-&quot;??_);_(@_)"/>
    <numFmt numFmtId="165" formatCode="_(* #,##0_);_(* \(#,##0\);_(* &quot;-&quot;??_);_(@_)"/>
    <numFmt numFmtId="166" formatCode="0.000"/>
    <numFmt numFmtId="167" formatCode="0.0"/>
    <numFmt numFmtId="168" formatCode="0.0%"/>
    <numFmt numFmtId="169" formatCode="#,##0.0"/>
    <numFmt numFmtId="170" formatCode="#,##0.000"/>
    <numFmt numFmtId="171" formatCode="0.00000"/>
    <numFmt numFmtId="172" formatCode="0.000000"/>
    <numFmt numFmtId="173" formatCode="0.0000"/>
    <numFmt numFmtId="174" formatCode="0_)"/>
    <numFmt numFmtId="175" formatCode="0.000000000000"/>
    <numFmt numFmtId="176" formatCode="#,##0.0000000"/>
    <numFmt numFmtId="177" formatCode="0.0E+00"/>
    <numFmt numFmtId="178" formatCode="#,##0.0000"/>
    <numFmt numFmtId="179" formatCode="#,##0.00000"/>
    <numFmt numFmtId="180" formatCode="0.0000%"/>
    <numFmt numFmtId="181" formatCode="0.000%"/>
    <numFmt numFmtId="182" formatCode="0.00000000"/>
    <numFmt numFmtId="183" formatCode="#,##0_ ;[Red]\-#,##0\ "/>
    <numFmt numFmtId="184" formatCode="#,##0.00_ ;[Red]\-#,##0.00\ "/>
    <numFmt numFmtId="185" formatCode="#,##0.000_ ;[Red]\-#,##0.000\ "/>
    <numFmt numFmtId="186" formatCode="#,##0.0000000000000"/>
  </numFmts>
  <fonts count="192">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Arial"/>
      <family val="2"/>
    </font>
    <font>
      <b/>
      <sz val="11"/>
      <color indexed="63"/>
      <name val="Calibri"/>
      <family val="2"/>
    </font>
    <font>
      <sz val="10"/>
      <name val="Helv"/>
      <family val="2"/>
    </font>
    <font>
      <b/>
      <sz val="18"/>
      <color indexed="56"/>
      <name val="Cambria"/>
      <family val="2"/>
    </font>
    <font>
      <b/>
      <sz val="11"/>
      <color indexed="8"/>
      <name val="Calibri"/>
      <family val="2"/>
    </font>
    <font>
      <sz val="8"/>
      <name val="Calibri"/>
      <family val="2"/>
    </font>
    <font>
      <b/>
      <sz val="12"/>
      <name val="Arial"/>
      <family val="2"/>
    </font>
    <font>
      <sz val="12"/>
      <name val="Arial"/>
      <family val="2"/>
    </font>
    <font>
      <sz val="8"/>
      <name val="Arial"/>
      <family val="2"/>
    </font>
    <font>
      <b/>
      <sz val="8"/>
      <name val="Arial"/>
      <family val="2"/>
    </font>
    <font>
      <b/>
      <vertAlign val="subscript"/>
      <sz val="8"/>
      <name val="Arial"/>
      <family val="2"/>
    </font>
    <font>
      <sz val="11"/>
      <color indexed="8"/>
      <name val="Arial"/>
      <family val="2"/>
    </font>
    <font>
      <b/>
      <sz val="8"/>
      <color indexed="8"/>
      <name val="Arial"/>
      <family val="2"/>
    </font>
    <font>
      <b/>
      <sz val="8"/>
      <color indexed="12"/>
      <name val="Arial"/>
      <family val="2"/>
    </font>
    <font>
      <b/>
      <vertAlign val="superscript"/>
      <sz val="8"/>
      <name val="Arial"/>
      <family val="2"/>
    </font>
    <font>
      <sz val="8"/>
      <color indexed="8"/>
      <name val="Arial"/>
      <family val="2"/>
    </font>
    <font>
      <b/>
      <sz val="11"/>
      <color indexed="8"/>
      <name val="Arial"/>
      <family val="2"/>
    </font>
    <font>
      <b/>
      <sz val="9"/>
      <name val="Arial"/>
      <family val="2"/>
    </font>
    <font>
      <sz val="9"/>
      <name val="Arial"/>
      <family val="2"/>
    </font>
    <font>
      <sz val="8"/>
      <color indexed="81"/>
      <name val="Tahoma"/>
      <family val="2"/>
    </font>
    <font>
      <sz val="8"/>
      <color indexed="81"/>
      <name val="Arial"/>
      <family val="2"/>
    </font>
    <font>
      <sz val="9"/>
      <color indexed="81"/>
      <name val="Tahoma"/>
      <family val="2"/>
    </font>
    <font>
      <b/>
      <sz val="10"/>
      <color indexed="81"/>
      <name val="Tahoma"/>
      <family val="2"/>
    </font>
    <font>
      <sz val="10"/>
      <color indexed="81"/>
      <name val="Tahoma"/>
      <family val="2"/>
    </font>
    <font>
      <b/>
      <sz val="8"/>
      <color indexed="81"/>
      <name val="Tahoma"/>
      <family val="2"/>
    </font>
    <font>
      <b/>
      <sz val="9"/>
      <color indexed="81"/>
      <name val="Tahoma"/>
      <family val="2"/>
    </font>
    <font>
      <u/>
      <sz val="11"/>
      <color indexed="8"/>
      <name val="Calibri"/>
      <family val="2"/>
    </font>
    <font>
      <sz val="11"/>
      <name val="Calibri"/>
      <family val="2"/>
    </font>
    <font>
      <sz val="9"/>
      <color indexed="8"/>
      <name val="Arial"/>
      <family val="2"/>
    </font>
    <font>
      <vertAlign val="subscript"/>
      <sz val="9"/>
      <name val="Arial"/>
      <family val="2"/>
    </font>
    <font>
      <u/>
      <sz val="10"/>
      <color indexed="12"/>
      <name val="Arial"/>
      <family val="2"/>
    </font>
    <font>
      <sz val="10"/>
      <color indexed="8"/>
      <name val="Calibri"/>
      <family val="2"/>
    </font>
    <font>
      <b/>
      <sz val="11"/>
      <name val="Arial"/>
      <family val="2"/>
    </font>
    <font>
      <b/>
      <sz val="10"/>
      <name val="Arial"/>
      <family val="2"/>
    </font>
    <font>
      <b/>
      <vertAlign val="subscript"/>
      <sz val="11"/>
      <color indexed="8"/>
      <name val="Calibri"/>
      <family val="2"/>
    </font>
    <font>
      <sz val="11"/>
      <color rgb="FFFF0000"/>
      <name val="Calibri"/>
      <family val="2"/>
    </font>
    <font>
      <sz val="11"/>
      <color rgb="FF000000"/>
      <name val="Calibri"/>
      <family val="2"/>
    </font>
    <font>
      <u/>
      <sz val="11"/>
      <color rgb="FF000000"/>
      <name val="Calibri"/>
      <family val="2"/>
    </font>
    <font>
      <b/>
      <sz val="11"/>
      <color rgb="FF000000"/>
      <name val="Calibri"/>
      <family val="2"/>
    </font>
    <font>
      <sz val="11"/>
      <color indexed="8"/>
      <name val="Times New Roman"/>
      <family val="1"/>
    </font>
    <font>
      <sz val="11"/>
      <color theme="0" tint="-0.249977111117893"/>
      <name val="Calibri"/>
      <family val="2"/>
    </font>
    <font>
      <b/>
      <sz val="11"/>
      <color theme="0" tint="-0.249977111117893"/>
      <name val="Calibri"/>
      <family val="2"/>
    </font>
    <font>
      <u/>
      <sz val="11"/>
      <color theme="0" tint="-0.249977111117893"/>
      <name val="Calibri"/>
      <family val="2"/>
    </font>
    <font>
      <b/>
      <sz val="11"/>
      <color rgb="FFFF0000"/>
      <name val="Calibri"/>
      <family val="2"/>
    </font>
    <font>
      <sz val="11"/>
      <color theme="4" tint="-0.249977111117893"/>
      <name val="Calibri"/>
      <family val="2"/>
    </font>
    <font>
      <b/>
      <sz val="11"/>
      <name val="Calibri"/>
      <family val="2"/>
    </font>
    <font>
      <sz val="11"/>
      <color theme="0" tint="-0.34998626667073579"/>
      <name val="Calibri"/>
      <family val="2"/>
    </font>
    <font>
      <sz val="8.5"/>
      <color indexed="8"/>
      <name val="Calibri"/>
      <family val="2"/>
    </font>
    <font>
      <b/>
      <sz val="10"/>
      <name val="Calibri"/>
      <family val="2"/>
      <scheme val="minor"/>
    </font>
    <font>
      <sz val="11"/>
      <color indexed="8"/>
      <name val="Calibri"/>
      <family val="2"/>
      <scheme val="minor"/>
    </font>
    <font>
      <sz val="10"/>
      <color indexed="8"/>
      <name val="Calibri"/>
      <family val="2"/>
      <scheme val="minor"/>
    </font>
    <font>
      <sz val="8"/>
      <color rgb="FFFF0000"/>
      <name val="Arial"/>
      <family val="2"/>
    </font>
    <font>
      <sz val="11"/>
      <color rgb="FF000000"/>
      <name val="Times New Roman"/>
      <family val="1"/>
    </font>
    <font>
      <b/>
      <u/>
      <sz val="9"/>
      <name val="Arial"/>
      <family val="2"/>
    </font>
    <font>
      <sz val="11"/>
      <color theme="4" tint="-0.499984740745262"/>
      <name val="Calibri"/>
      <family val="2"/>
    </font>
    <font>
      <sz val="9"/>
      <color theme="4" tint="-0.499984740745262"/>
      <name val="Arial"/>
      <family val="2"/>
    </font>
    <font>
      <sz val="11"/>
      <color rgb="FF0070C0"/>
      <name val="Calibri"/>
      <family val="2"/>
    </font>
    <font>
      <sz val="10"/>
      <color rgb="FF0070C0"/>
      <name val="Times New Roman"/>
      <family val="1"/>
    </font>
    <font>
      <b/>
      <sz val="11"/>
      <color theme="4" tint="-0.249977111117893"/>
      <name val="Calibri"/>
      <family val="2"/>
    </font>
    <font>
      <b/>
      <sz val="14"/>
      <color indexed="8"/>
      <name val="Calibri"/>
      <family val="2"/>
    </font>
    <font>
      <b/>
      <sz val="14"/>
      <color indexed="8"/>
      <name val="Calibri"/>
      <family val="2"/>
      <scheme val="minor"/>
    </font>
    <font>
      <b/>
      <sz val="11"/>
      <color indexed="8"/>
      <name val="Calibri"/>
      <family val="2"/>
      <scheme val="minor"/>
    </font>
    <font>
      <sz val="11"/>
      <color indexed="62"/>
      <name val="Calibri"/>
      <family val="2"/>
      <scheme val="minor"/>
    </font>
    <font>
      <b/>
      <sz val="11"/>
      <name val="Calibri"/>
      <family val="2"/>
      <scheme val="minor"/>
    </font>
    <font>
      <sz val="11"/>
      <name val="Calibri"/>
      <family val="2"/>
      <scheme val="minor"/>
    </font>
    <font>
      <sz val="11"/>
      <color indexed="12"/>
      <name val="Calibri"/>
      <family val="2"/>
      <scheme val="minor"/>
    </font>
    <font>
      <b/>
      <vertAlign val="subscript"/>
      <sz val="11"/>
      <name val="Calibri"/>
      <family val="2"/>
      <scheme val="minor"/>
    </font>
    <font>
      <sz val="11"/>
      <color theme="4" tint="-0.249977111117893"/>
      <name val="Calibri"/>
      <family val="2"/>
      <scheme val="minor"/>
    </font>
    <font>
      <sz val="9"/>
      <color theme="4" tint="-0.249977111117893"/>
      <name val="Arial"/>
      <family val="2"/>
    </font>
    <font>
      <sz val="11"/>
      <color theme="4"/>
      <name val="Calibri"/>
      <family val="2"/>
    </font>
    <font>
      <sz val="5.5"/>
      <color indexed="8"/>
      <name val="Calibri"/>
      <family val="2"/>
    </font>
    <font>
      <b/>
      <sz val="9"/>
      <color indexed="8"/>
      <name val="Calibri"/>
      <family val="2"/>
    </font>
    <font>
      <b/>
      <sz val="11"/>
      <color theme="1"/>
      <name val="Calibri"/>
      <family val="2"/>
      <scheme val="minor"/>
    </font>
    <font>
      <sz val="11"/>
      <color rgb="FF7030A0"/>
      <name val="Calibri"/>
      <family val="2"/>
      <scheme val="minor"/>
    </font>
    <font>
      <sz val="8"/>
      <color theme="1"/>
      <name val="Arial"/>
      <family val="2"/>
    </font>
    <font>
      <b/>
      <sz val="11"/>
      <color rgb="FF7030A0"/>
      <name val="Calibri"/>
      <family val="2"/>
      <scheme val="minor"/>
    </font>
    <font>
      <sz val="10"/>
      <name val="Century"/>
      <family val="1"/>
    </font>
    <font>
      <b/>
      <vertAlign val="superscript"/>
      <sz val="11"/>
      <name val="Calibri"/>
      <family val="2"/>
      <scheme val="minor"/>
    </font>
    <font>
      <b/>
      <vertAlign val="superscript"/>
      <sz val="11"/>
      <color theme="1"/>
      <name val="Calibri"/>
      <family val="2"/>
      <scheme val="minor"/>
    </font>
    <font>
      <vertAlign val="superscript"/>
      <sz val="11"/>
      <color rgb="FF7030A0"/>
      <name val="Calibri"/>
      <family val="2"/>
      <scheme val="minor"/>
    </font>
    <font>
      <sz val="11"/>
      <color rgb="FF006100"/>
      <name val="Calibri"/>
      <family val="2"/>
      <scheme val="minor"/>
    </font>
    <font>
      <vertAlign val="superscript"/>
      <sz val="11"/>
      <name val="Calibri"/>
      <family val="2"/>
      <scheme val="minor"/>
    </font>
    <font>
      <sz val="11"/>
      <color rgb="FFFF0000"/>
      <name val="Calibri"/>
      <family val="2"/>
      <scheme val="minor"/>
    </font>
    <font>
      <vertAlign val="superscript"/>
      <sz val="11"/>
      <color theme="1"/>
      <name val="Calibri"/>
      <family val="2"/>
      <scheme val="minor"/>
    </font>
    <font>
      <sz val="11"/>
      <name val="CG Times"/>
      <family val="2"/>
    </font>
    <font>
      <sz val="11"/>
      <color rgb="FF0070C0"/>
      <name val="Calibri"/>
      <family val="2"/>
      <scheme val="minor"/>
    </font>
    <font>
      <sz val="10"/>
      <name val="CG Times (WN)"/>
      <family val="2"/>
    </font>
    <font>
      <sz val="11"/>
      <name val="Symbol"/>
      <family val="1"/>
      <charset val="2"/>
    </font>
    <font>
      <sz val="12"/>
      <name val="CG Times (WN)"/>
      <family val="2"/>
    </font>
    <font>
      <sz val="9"/>
      <name val="Calibri"/>
      <family val="2"/>
      <scheme val="minor"/>
    </font>
    <font>
      <vertAlign val="subscript"/>
      <sz val="11"/>
      <name val="Calibri"/>
      <family val="2"/>
      <scheme val="minor"/>
    </font>
    <font>
      <sz val="10"/>
      <color rgb="FF000000"/>
      <name val="Times New Roman"/>
      <family val="1"/>
    </font>
    <font>
      <sz val="10"/>
      <color rgb="FF000000"/>
      <name val="Arial"/>
      <family val="2"/>
    </font>
    <font>
      <sz val="8"/>
      <color rgb="FF000000"/>
      <name val="Arial"/>
      <family val="2"/>
    </font>
    <font>
      <b/>
      <sz val="10"/>
      <color rgb="FF000000"/>
      <name val="Arial"/>
      <family val="2"/>
    </font>
    <font>
      <sz val="9"/>
      <color rgb="FF000000"/>
      <name val="Arial"/>
      <family val="2"/>
    </font>
    <font>
      <b/>
      <sz val="12"/>
      <color rgb="FF000000"/>
      <name val="Arial"/>
      <family val="2"/>
    </font>
    <font>
      <sz val="9.5"/>
      <color rgb="FF000000"/>
      <name val="Arial"/>
      <family val="2"/>
    </font>
    <font>
      <sz val="9.5"/>
      <name val="Arial"/>
      <family val="2"/>
    </font>
    <font>
      <vertAlign val="subscript"/>
      <sz val="9.5"/>
      <name val="Arial"/>
      <family val="2"/>
    </font>
    <font>
      <b/>
      <sz val="9.5"/>
      <color rgb="FF000000"/>
      <name val="Arial"/>
      <family val="2"/>
    </font>
    <font>
      <sz val="10"/>
      <color theme="4" tint="-0.249977111117893"/>
      <name val="Arial"/>
      <family val="2"/>
    </font>
    <font>
      <sz val="10"/>
      <color theme="4" tint="-0.499984740745262"/>
      <name val="Arial"/>
      <family val="2"/>
    </font>
    <font>
      <sz val="9"/>
      <color theme="1"/>
      <name val="Arial"/>
      <family val="2"/>
    </font>
    <font>
      <u/>
      <sz val="11"/>
      <color rgb="FFFF0000"/>
      <name val="Calibri"/>
      <family val="2"/>
    </font>
    <font>
      <b/>
      <sz val="14"/>
      <color rgb="FFFF0000"/>
      <name val="Calibri"/>
      <family val="2"/>
      <scheme val="minor"/>
    </font>
    <font>
      <u/>
      <sz val="11"/>
      <color theme="10"/>
      <name val="Calibri"/>
      <family val="2"/>
      <scheme val="minor"/>
    </font>
    <font>
      <b/>
      <sz val="18"/>
      <name val="Calibri"/>
      <family val="2"/>
      <scheme val="minor"/>
    </font>
    <font>
      <b/>
      <sz val="14"/>
      <name val="Calibri"/>
      <family val="2"/>
      <scheme val="minor"/>
    </font>
    <font>
      <i/>
      <sz val="11"/>
      <name val="Calibri"/>
      <family val="2"/>
      <scheme val="minor"/>
    </font>
    <font>
      <b/>
      <i/>
      <sz val="12"/>
      <name val="Calibri"/>
      <family val="2"/>
      <scheme val="minor"/>
    </font>
    <font>
      <sz val="18"/>
      <name val="Calibri"/>
      <family val="2"/>
      <scheme val="minor"/>
    </font>
    <font>
      <i/>
      <sz val="12"/>
      <name val="Calibri"/>
      <family val="2"/>
      <scheme val="minor"/>
    </font>
    <font>
      <u/>
      <sz val="11"/>
      <name val="Calibri"/>
      <family val="2"/>
      <scheme val="minor"/>
    </font>
    <font>
      <sz val="11"/>
      <color theme="4" tint="-0.499984740745262"/>
      <name val="Calibri"/>
      <family val="2"/>
      <scheme val="minor"/>
    </font>
    <font>
      <b/>
      <sz val="16"/>
      <name val="Calibri"/>
      <family val="2"/>
      <scheme val="minor"/>
    </font>
    <font>
      <i/>
      <sz val="12"/>
      <color indexed="8"/>
      <name val="Times New Roman"/>
      <family val="1"/>
    </font>
    <font>
      <b/>
      <sz val="11"/>
      <color theme="0" tint="-0.249977111117893"/>
      <name val="Calibri"/>
      <family val="2"/>
      <scheme val="minor"/>
    </font>
    <font>
      <b/>
      <sz val="10"/>
      <color indexed="8"/>
      <name val="Calibri"/>
      <family val="2"/>
    </font>
    <font>
      <b/>
      <sz val="14"/>
      <color theme="1"/>
      <name val="Calibri"/>
      <family val="2"/>
      <scheme val="minor"/>
    </font>
    <font>
      <i/>
      <sz val="11"/>
      <color theme="1"/>
      <name val="Calibri"/>
      <family val="2"/>
      <scheme val="minor"/>
    </font>
    <font>
      <b/>
      <sz val="11"/>
      <color theme="0"/>
      <name val="Calibri"/>
      <family val="2"/>
      <scheme val="minor"/>
    </font>
    <font>
      <sz val="11"/>
      <color theme="0" tint="-0.14999847407452621"/>
      <name val="Calibri"/>
      <family val="2"/>
    </font>
    <font>
      <b/>
      <sz val="11"/>
      <color theme="0" tint="-0.14999847407452621"/>
      <name val="Calibri"/>
      <family val="2"/>
      <scheme val="minor"/>
    </font>
    <font>
      <i/>
      <sz val="11"/>
      <color theme="0" tint="-0.14999847407452621"/>
      <name val="Calibri"/>
      <family val="2"/>
      <scheme val="minor"/>
    </font>
    <font>
      <i/>
      <sz val="12"/>
      <color rgb="FFFF0000"/>
      <name val="Calibri"/>
      <family val="2"/>
      <scheme val="minor"/>
    </font>
    <font>
      <sz val="10"/>
      <color rgb="FFFF0000"/>
      <name val="Calibri"/>
      <family val="2"/>
      <scheme val="minor"/>
    </font>
    <font>
      <vertAlign val="subscript"/>
      <sz val="11"/>
      <color indexed="8"/>
      <name val="Calibri"/>
      <family val="2"/>
    </font>
    <font>
      <b/>
      <vertAlign val="subscript"/>
      <sz val="9.5"/>
      <name val="Arial"/>
      <family val="2"/>
    </font>
    <font>
      <b/>
      <sz val="9.5"/>
      <name val="Arial"/>
      <family val="2"/>
    </font>
    <font>
      <i/>
      <sz val="9"/>
      <name val="Arial"/>
      <family val="2"/>
    </font>
    <font>
      <vertAlign val="subscript"/>
      <sz val="10"/>
      <name val="Arial"/>
      <family val="2"/>
    </font>
    <font>
      <vertAlign val="subscript"/>
      <sz val="10"/>
      <color rgb="FF000000"/>
      <name val="Arial"/>
      <family val="2"/>
    </font>
    <font>
      <vertAlign val="subscript"/>
      <sz val="9"/>
      <color rgb="FF000000"/>
      <name val="Arial"/>
      <family val="2"/>
    </font>
    <font>
      <b/>
      <vertAlign val="subscript"/>
      <sz val="11"/>
      <color rgb="FF000000"/>
      <name val="Calibri"/>
      <family val="2"/>
    </font>
    <font>
      <b/>
      <sz val="12"/>
      <name val="Calibri"/>
      <family val="2"/>
      <scheme val="minor"/>
    </font>
    <font>
      <b/>
      <sz val="16"/>
      <color indexed="8"/>
      <name val="Calibri"/>
      <family val="2"/>
    </font>
    <font>
      <u/>
      <sz val="11"/>
      <name val="Calibri"/>
      <family val="2"/>
    </font>
    <font>
      <sz val="11"/>
      <color rgb="FF008000"/>
      <name val="Calibri"/>
      <family val="2"/>
    </font>
    <font>
      <b/>
      <sz val="11"/>
      <color theme="4"/>
      <name val="Calibri"/>
      <family val="2"/>
    </font>
    <font>
      <b/>
      <u/>
      <sz val="12"/>
      <name val="Arial"/>
      <family val="2"/>
    </font>
    <font>
      <b/>
      <sz val="11"/>
      <color rgb="FF0070C0"/>
      <name val="Calibri"/>
      <family val="2"/>
    </font>
    <font>
      <sz val="11"/>
      <color rgb="FF0070C0"/>
      <name val="Times New Roman"/>
      <family val="1"/>
    </font>
    <font>
      <sz val="10"/>
      <color theme="4" tint="-0.249977111117893"/>
      <name val="Calibri"/>
      <family val="2"/>
    </font>
    <font>
      <b/>
      <sz val="10"/>
      <color theme="4" tint="-0.249977111117893"/>
      <name val="Calibri"/>
      <family val="2"/>
    </font>
    <font>
      <sz val="10"/>
      <color theme="4" tint="-0.249977111117893"/>
      <name val="Calibri"/>
      <family val="2"/>
      <scheme val="minor"/>
    </font>
    <font>
      <b/>
      <sz val="10"/>
      <color theme="4" tint="-0.249977111117893"/>
      <name val="Calibri"/>
      <family val="2"/>
      <scheme val="minor"/>
    </font>
    <font>
      <b/>
      <sz val="12"/>
      <color rgb="FF000000"/>
      <name val="Calibri"/>
      <family val="2"/>
      <scheme val="minor"/>
    </font>
    <font>
      <b/>
      <sz val="11"/>
      <color rgb="FF212121"/>
      <name val="Calibri"/>
      <family val="2"/>
    </font>
    <font>
      <sz val="11"/>
      <color theme="1"/>
      <name val="Calibri"/>
      <family val="2"/>
    </font>
    <font>
      <b/>
      <vertAlign val="subscript"/>
      <sz val="11"/>
      <color rgb="FF212121"/>
      <name val="Calibri"/>
      <family val="2"/>
    </font>
    <font>
      <b/>
      <u/>
      <sz val="14"/>
      <color indexed="8"/>
      <name val="Calibri"/>
      <family val="2"/>
    </font>
    <font>
      <b/>
      <sz val="12"/>
      <color indexed="8"/>
      <name val="Calibri"/>
      <family val="2"/>
    </font>
    <font>
      <sz val="8"/>
      <color indexed="8"/>
      <name val="Calibri"/>
      <family val="2"/>
    </font>
    <font>
      <b/>
      <sz val="11"/>
      <color theme="1"/>
      <name val="Calibri"/>
      <family val="2"/>
    </font>
    <font>
      <sz val="12"/>
      <color indexed="8"/>
      <name val="Calibri"/>
      <family val="2"/>
    </font>
    <font>
      <sz val="14"/>
      <color indexed="8"/>
      <name val="Calibri"/>
      <family val="2"/>
    </font>
    <font>
      <b/>
      <sz val="8"/>
      <color indexed="8"/>
      <name val="Calibri"/>
      <family val="2"/>
    </font>
    <font>
      <vertAlign val="subscript"/>
      <sz val="14"/>
      <color indexed="8"/>
      <name val="Calibri"/>
      <family val="2"/>
    </font>
    <font>
      <b/>
      <vertAlign val="subscript"/>
      <sz val="11"/>
      <name val="Calibri"/>
      <family val="2"/>
    </font>
    <font>
      <sz val="11"/>
      <color theme="1" tint="0.34998626667073579"/>
      <name val="Calibri"/>
      <family val="2"/>
    </font>
    <font>
      <b/>
      <sz val="11"/>
      <color theme="1" tint="0.34998626667073579"/>
      <name val="Calibri"/>
      <family val="2"/>
    </font>
    <font>
      <vertAlign val="subscript"/>
      <sz val="11"/>
      <color indexed="8"/>
      <name val="Calibri Light"/>
      <family val="2"/>
    </font>
    <font>
      <sz val="11"/>
      <color rgb="FF000000"/>
      <name val="Calibri"/>
      <family val="2"/>
      <scheme val="minor"/>
    </font>
    <font>
      <b/>
      <sz val="10"/>
      <color indexed="8"/>
      <name val="Arial"/>
      <family val="2"/>
    </font>
    <font>
      <sz val="10"/>
      <color indexed="8"/>
      <name val="Arial"/>
      <family val="2"/>
    </font>
    <font>
      <vertAlign val="subscript"/>
      <sz val="14"/>
      <color indexed="8"/>
      <name val="Arial Narrow"/>
      <family val="2"/>
    </font>
    <font>
      <b/>
      <sz val="9"/>
      <color indexed="8"/>
      <name val="Arial"/>
      <family val="2"/>
    </font>
    <font>
      <vertAlign val="subscript"/>
      <sz val="8"/>
      <color indexed="8"/>
      <name val="Arial"/>
      <family val="2"/>
    </font>
    <font>
      <b/>
      <vertAlign val="subscript"/>
      <sz val="8"/>
      <color indexed="8"/>
      <name val="Arial"/>
      <family val="2"/>
    </font>
    <font>
      <vertAlign val="superscript"/>
      <sz val="10"/>
      <color indexed="8"/>
      <name val="Calibri"/>
      <family val="2"/>
    </font>
    <font>
      <b/>
      <vertAlign val="superscript"/>
      <sz val="9"/>
      <color indexed="8"/>
      <name val="Arial"/>
      <family val="2"/>
    </font>
    <font>
      <vertAlign val="superscript"/>
      <sz val="11"/>
      <color indexed="8"/>
      <name val="Calibri"/>
      <family val="2"/>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13"/>
        <bgColor indexed="64"/>
      </patternFill>
    </fill>
    <fill>
      <patternFill patternType="solid">
        <fgColor indexed="11"/>
        <bgColor indexed="9"/>
      </patternFill>
    </fill>
    <fill>
      <patternFill patternType="solid">
        <fgColor indexed="46"/>
        <bgColor indexed="64"/>
      </patternFill>
    </fill>
    <fill>
      <patternFill patternType="solid">
        <fgColor indexed="42"/>
        <bgColor indexed="64"/>
      </patternFill>
    </fill>
    <fill>
      <patternFill patternType="solid">
        <fgColor indexed="11"/>
        <bgColor indexed="64"/>
      </patternFill>
    </fill>
    <fill>
      <patternFill patternType="solid">
        <fgColor indexed="42"/>
        <bgColor indexed="9"/>
      </patternFill>
    </fill>
    <fill>
      <patternFill patternType="solid">
        <fgColor indexed="13"/>
        <bgColor indexed="9"/>
      </patternFill>
    </fill>
    <fill>
      <patternFill patternType="solid">
        <fgColor indexed="5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rgb="FFC6EFCE"/>
        <bgColor indexed="64"/>
      </patternFill>
    </fill>
    <fill>
      <patternFill patternType="solid">
        <fgColor theme="4" tint="0.59999389629810485"/>
        <bgColor indexed="64"/>
      </patternFill>
    </fill>
    <fill>
      <patternFill patternType="solid">
        <fgColor theme="4" tint="0.59999389629810485"/>
        <bgColor indexed="9"/>
      </patternFill>
    </fill>
    <fill>
      <patternFill patternType="solid">
        <fgColor theme="4" tint="0.59993285927915285"/>
        <bgColor indexed="64"/>
      </patternFill>
    </fill>
    <fill>
      <patternFill patternType="solid">
        <fgColor theme="4" tint="-0.24991607409894101"/>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CCFFCC"/>
        <bgColor indexed="64"/>
      </patternFill>
    </fill>
    <fill>
      <patternFill patternType="solid">
        <fgColor indexed="29"/>
        <bgColor indexed="64"/>
      </patternFill>
    </fill>
    <fill>
      <patternFill patternType="solid">
        <fgColor rgb="FF92D050"/>
        <bgColor indexed="64"/>
      </patternFill>
    </fill>
    <fill>
      <patternFill patternType="solid">
        <fgColor rgb="FF00B05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1" tint="0.249977111117893"/>
        <bgColor indexed="64"/>
      </patternFill>
    </fill>
  </fills>
  <borders count="13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double">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diagonal/>
    </border>
    <border>
      <left/>
      <right/>
      <top/>
      <bottom style="medium">
        <color auto="1"/>
      </bottom>
      <diagonal/>
    </border>
    <border>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theme="0"/>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style="thin">
        <color auto="1"/>
      </bottom>
      <diagonal/>
    </border>
    <border>
      <left style="thin">
        <color theme="0"/>
      </left>
      <right style="thin">
        <color auto="1"/>
      </right>
      <top style="thin">
        <color auto="1"/>
      </top>
      <bottom style="thin">
        <color theme="0"/>
      </bottom>
      <diagonal/>
    </border>
    <border>
      <left style="thin">
        <color theme="0"/>
      </left>
      <right style="thin">
        <color auto="1"/>
      </right>
      <top style="thin">
        <color theme="0"/>
      </top>
      <bottom style="thin">
        <color auto="1"/>
      </bottom>
      <diagonal/>
    </border>
    <border>
      <left/>
      <right style="thin">
        <color auto="1"/>
      </right>
      <top/>
      <bottom style="double">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auto="1"/>
      </left>
      <right/>
      <top style="thin">
        <color auto="1"/>
      </top>
      <bottom style="thin">
        <color auto="1"/>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thin">
        <color indexed="64"/>
      </bottom>
      <diagonal/>
    </border>
    <border>
      <left/>
      <right/>
      <top style="thin">
        <color auto="1"/>
      </top>
      <bottom/>
      <diagonal/>
    </border>
  </borders>
  <cellStyleXfs count="10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0" borderId="2" applyNumberFormat="0" applyFill="0" applyAlignment="0" applyProtection="0"/>
    <xf numFmtId="0" fontId="10" fillId="21" borderId="3" applyNumberFormat="0" applyAlignment="0" applyProtection="0"/>
    <xf numFmtId="43" fontId="4" fillId="0" borderId="0" applyFont="0" applyFill="0" applyBorder="0" applyAlignment="0" applyProtection="0"/>
    <xf numFmtId="43" fontId="11" fillId="0" borderId="0" applyFont="0" applyFill="0" applyBorder="0" applyAlignment="0" applyProtection="0"/>
    <xf numFmtId="0" fontId="4" fillId="22" borderId="4" applyNumberFormat="0" applyFont="0" applyAlignment="0" applyProtection="0"/>
    <xf numFmtId="0" fontId="12" fillId="7" borderId="1" applyNumberFormat="0" applyAlignment="0" applyProtection="0"/>
    <xf numFmtId="0" fontId="13"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49" fillId="0" borderId="0" applyNumberFormat="0" applyFill="0" applyBorder="0" applyAlignment="0" applyProtection="0">
      <alignment vertical="top"/>
      <protection locked="0"/>
    </xf>
    <xf numFmtId="0" fontId="12" fillId="7" borderId="1" applyNumberFormat="0" applyAlignment="0" applyProtection="0"/>
    <xf numFmtId="0" fontId="7" fillId="3" borderId="0" applyNumberFormat="0" applyBorder="0" applyAlignment="0" applyProtection="0"/>
    <xf numFmtId="0" fontId="9" fillId="0" borderId="2" applyNumberFormat="0" applyFill="0" applyAlignment="0" applyProtection="0"/>
    <xf numFmtId="0" fontId="18" fillId="23" borderId="0" applyNumberFormat="0" applyBorder="0" applyAlignment="0" applyProtection="0"/>
    <xf numFmtId="0" fontId="18" fillId="23" borderId="0" applyNumberFormat="0" applyBorder="0" applyAlignment="0" applyProtection="0"/>
    <xf numFmtId="0" fontId="19" fillId="0" borderId="0"/>
    <xf numFmtId="0" fontId="4" fillId="0" borderId="0"/>
    <xf numFmtId="0" fontId="11" fillId="0" borderId="0"/>
    <xf numFmtId="0" fontId="4" fillId="0" borderId="0"/>
    <xf numFmtId="0" fontId="19" fillId="0" borderId="0"/>
    <xf numFmtId="0" fontId="4" fillId="22" borderId="4" applyNumberFormat="0" applyFont="0" applyAlignment="0" applyProtection="0"/>
    <xf numFmtId="0" fontId="20" fillId="20" borderId="8" applyNumberFormat="0" applyAlignment="0" applyProtection="0"/>
    <xf numFmtId="9" fontId="11" fillId="0" borderId="0" applyFont="0" applyFill="0" applyBorder="0" applyAlignment="0" applyProtection="0"/>
    <xf numFmtId="174" fontId="21" fillId="0" borderId="0"/>
    <xf numFmtId="9" fontId="4" fillId="0" borderId="0" applyFont="0" applyFill="0" applyBorder="0" applyAlignment="0" applyProtection="0"/>
    <xf numFmtId="0" fontId="14" fillId="4" borderId="0" applyNumberFormat="0" applyBorder="0" applyAlignment="0" applyProtection="0"/>
    <xf numFmtId="11" fontId="21" fillId="0" borderId="0" applyFont="0" applyFill="0" applyBorder="0" applyAlignment="0" applyProtection="0"/>
    <xf numFmtId="0" fontId="20" fillId="20" borderId="8" applyNumberFormat="0" applyAlignment="0" applyProtection="0"/>
    <xf numFmtId="0" fontId="1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23" fillId="0" borderId="9" applyNumberFormat="0" applyFill="0" applyAlignment="0" applyProtection="0"/>
    <xf numFmtId="0" fontId="10" fillId="21" borderId="3" applyNumberFormat="0" applyAlignment="0" applyProtection="0"/>
    <xf numFmtId="0" fontId="6" fillId="0" borderId="0" applyNumberFormat="0" applyFill="0" applyBorder="0" applyAlignment="0" applyProtection="0"/>
    <xf numFmtId="0" fontId="3" fillId="0" borderId="0"/>
    <xf numFmtId="3" fontId="93" fillId="0" borderId="0"/>
    <xf numFmtId="0" fontId="95" fillId="0" borderId="0">
      <alignment vertical="center"/>
    </xf>
    <xf numFmtId="0" fontId="99" fillId="39" borderId="0" applyNumberFormat="0" applyBorder="0" applyAlignment="0" applyProtection="0"/>
    <xf numFmtId="0" fontId="103" fillId="0" borderId="0"/>
    <xf numFmtId="0" fontId="11" fillId="0" borderId="0"/>
    <xf numFmtId="0" fontId="105" fillId="0" borderId="0"/>
    <xf numFmtId="0" fontId="107" fillId="0" borderId="0"/>
    <xf numFmtId="0" fontId="11" fillId="0" borderId="0"/>
    <xf numFmtId="0" fontId="110" fillId="0" borderId="0"/>
    <xf numFmtId="0" fontId="110" fillId="0" borderId="0"/>
    <xf numFmtId="0" fontId="2" fillId="0" borderId="0"/>
    <xf numFmtId="0" fontId="125" fillId="0" borderId="0" applyNumberFormat="0" applyFill="0" applyBorder="0" applyAlignment="0" applyProtection="0"/>
    <xf numFmtId="9" fontId="2" fillId="0" borderId="0" applyFont="0" applyFill="0" applyBorder="0" applyAlignment="0" applyProtection="0"/>
    <xf numFmtId="0" fontId="11" fillId="0" borderId="0"/>
    <xf numFmtId="9" fontId="4" fillId="0" borderId="0" applyFont="0" applyFill="0" applyBorder="0" applyAlignment="0" applyProtection="0"/>
    <xf numFmtId="0" fontId="11" fillId="0" borderId="0"/>
  </cellStyleXfs>
  <cellXfs count="1989">
    <xf numFmtId="0" fontId="0" fillId="0" borderId="0" xfId="0"/>
    <xf numFmtId="0" fontId="25" fillId="24" borderId="0" xfId="0" applyFont="1" applyFill="1" applyAlignment="1">
      <alignment horizontal="left"/>
    </xf>
    <xf numFmtId="0" fontId="26" fillId="24" borderId="0" xfId="0" applyFont="1" applyFill="1"/>
    <xf numFmtId="0" fontId="26" fillId="0" borderId="0" xfId="0" applyFont="1"/>
    <xf numFmtId="0" fontId="25" fillId="24" borderId="0" xfId="0" applyFont="1" applyFill="1" applyAlignment="1">
      <alignment horizontal="center"/>
    </xf>
    <xf numFmtId="0" fontId="27" fillId="24" borderId="10" xfId="0" applyFont="1" applyFill="1" applyBorder="1" applyAlignment="1">
      <alignment horizontal="center"/>
    </xf>
    <xf numFmtId="0" fontId="26" fillId="24" borderId="0" xfId="0" applyFont="1" applyFill="1" applyAlignment="1">
      <alignment horizontal="center"/>
    </xf>
    <xf numFmtId="0" fontId="28" fillId="24" borderId="11" xfId="0" applyFont="1" applyFill="1" applyBorder="1"/>
    <xf numFmtId="0" fontId="28" fillId="24" borderId="12" xfId="0" applyFont="1" applyFill="1" applyBorder="1" applyAlignment="1">
      <alignment horizontal="right"/>
    </xf>
    <xf numFmtId="0" fontId="28" fillId="24" borderId="13" xfId="0" applyFont="1" applyFill="1" applyBorder="1" applyAlignment="1">
      <alignment horizontal="right"/>
    </xf>
    <xf numFmtId="0" fontId="28" fillId="24" borderId="13" xfId="0" applyFont="1" applyFill="1" applyBorder="1" applyAlignment="1">
      <alignment horizontal="center"/>
    </xf>
    <xf numFmtId="0" fontId="28" fillId="24" borderId="14" xfId="0" applyFont="1" applyFill="1" applyBorder="1" applyAlignment="1">
      <alignment horizontal="center"/>
    </xf>
    <xf numFmtId="0" fontId="28" fillId="24" borderId="11" xfId="0" applyFont="1" applyFill="1" applyBorder="1" applyAlignment="1">
      <alignment wrapText="1"/>
    </xf>
    <xf numFmtId="0" fontId="28" fillId="0" borderId="12" xfId="0" applyFont="1" applyBorder="1"/>
    <xf numFmtId="0" fontId="30" fillId="0" borderId="12" xfId="0" applyFont="1" applyBorder="1"/>
    <xf numFmtId="0" fontId="30" fillId="0" borderId="13" xfId="0" applyFont="1" applyBorder="1"/>
    <xf numFmtId="0" fontId="27" fillId="0" borderId="11" xfId="0" applyFont="1" applyBorder="1"/>
    <xf numFmtId="0" fontId="28" fillId="24" borderId="12" xfId="0" applyFont="1" applyFill="1" applyBorder="1" applyAlignment="1">
      <alignment horizontal="center" wrapText="1"/>
    </xf>
    <xf numFmtId="0" fontId="31" fillId="0" borderId="11" xfId="0" applyFont="1" applyBorder="1" applyAlignment="1">
      <alignment horizontal="left"/>
    </xf>
    <xf numFmtId="0" fontId="27" fillId="24" borderId="11" xfId="0" applyFont="1" applyFill="1" applyBorder="1"/>
    <xf numFmtId="0" fontId="27" fillId="24" borderId="13" xfId="0" applyFont="1" applyFill="1" applyBorder="1"/>
    <xf numFmtId="0" fontId="27" fillId="24" borderId="0" xfId="0" applyFont="1" applyFill="1"/>
    <xf numFmtId="0" fontId="27" fillId="0" borderId="0" xfId="0" applyFont="1"/>
    <xf numFmtId="0" fontId="28" fillId="24" borderId="15" xfId="0" applyFont="1" applyFill="1" applyBorder="1"/>
    <xf numFmtId="0" fontId="28" fillId="24" borderId="0" xfId="0" applyFont="1" applyFill="1" applyAlignment="1">
      <alignment horizontal="right" wrapText="1"/>
    </xf>
    <xf numFmtId="0" fontId="28" fillId="24" borderId="0" xfId="0" applyFont="1" applyFill="1" applyAlignment="1">
      <alignment horizontal="right"/>
    </xf>
    <xf numFmtId="0" fontId="28" fillId="24" borderId="16" xfId="0" applyFont="1" applyFill="1" applyBorder="1" applyAlignment="1">
      <alignment horizontal="right"/>
    </xf>
    <xf numFmtId="0" fontId="28" fillId="24" borderId="17" xfId="0" applyFont="1" applyFill="1" applyBorder="1" applyAlignment="1">
      <alignment horizontal="right" wrapText="1"/>
    </xf>
    <xf numFmtId="0" fontId="27" fillId="24" borderId="15" xfId="0" applyFont="1" applyFill="1" applyBorder="1" applyAlignment="1">
      <alignment horizontal="center" wrapText="1"/>
    </xf>
    <xf numFmtId="0" fontId="27" fillId="24" borderId="0" xfId="0" applyFont="1" applyFill="1" applyAlignment="1">
      <alignment horizontal="center" wrapText="1"/>
    </xf>
    <xf numFmtId="0" fontId="27" fillId="0" borderId="16" xfId="0" applyFont="1" applyBorder="1"/>
    <xf numFmtId="0" fontId="28" fillId="24" borderId="15" xfId="0" applyFont="1" applyFill="1" applyBorder="1" applyAlignment="1">
      <alignment horizontal="center" wrapText="1"/>
    </xf>
    <xf numFmtId="0" fontId="28" fillId="24" borderId="16" xfId="0" applyFont="1" applyFill="1" applyBorder="1" applyAlignment="1">
      <alignment horizontal="center"/>
    </xf>
    <xf numFmtId="0" fontId="27" fillId="24" borderId="15" xfId="0" applyFont="1" applyFill="1" applyBorder="1"/>
    <xf numFmtId="0" fontId="27" fillId="24" borderId="16" xfId="0" applyFont="1" applyFill="1" applyBorder="1"/>
    <xf numFmtId="0" fontId="28" fillId="0" borderId="18" xfId="0" applyFont="1" applyBorder="1"/>
    <xf numFmtId="0" fontId="28" fillId="25" borderId="10" xfId="0" applyFont="1" applyFill="1" applyBorder="1" applyAlignment="1">
      <alignment horizontal="right"/>
    </xf>
    <xf numFmtId="0" fontId="27" fillId="24" borderId="10" xfId="0" applyFont="1" applyFill="1" applyBorder="1" applyAlignment="1">
      <alignment horizontal="left"/>
    </xf>
    <xf numFmtId="0" fontId="28" fillId="24" borderId="10" xfId="0" applyFont="1" applyFill="1" applyBorder="1" applyAlignment="1">
      <alignment horizontal="right"/>
    </xf>
    <xf numFmtId="0" fontId="27" fillId="24" borderId="10" xfId="0" applyFont="1" applyFill="1" applyBorder="1"/>
    <xf numFmtId="0" fontId="27" fillId="24" borderId="19" xfId="0" applyFont="1" applyFill="1" applyBorder="1"/>
    <xf numFmtId="0" fontId="27" fillId="24" borderId="20" xfId="0" applyFont="1" applyFill="1" applyBorder="1" applyAlignment="1">
      <alignment horizontal="center"/>
    </xf>
    <xf numFmtId="0" fontId="28" fillId="24" borderId="18" xfId="0" applyFont="1" applyFill="1" applyBorder="1" applyAlignment="1">
      <alignment horizontal="center" wrapText="1"/>
    </xf>
    <xf numFmtId="0" fontId="28" fillId="24" borderId="10" xfId="0" applyFont="1" applyFill="1" applyBorder="1" applyAlignment="1">
      <alignment horizontal="center" wrapText="1"/>
    </xf>
    <xf numFmtId="0" fontId="27" fillId="0" borderId="10" xfId="0" applyFont="1" applyBorder="1"/>
    <xf numFmtId="0" fontId="27" fillId="24" borderId="18" xfId="0" applyFont="1" applyFill="1" applyBorder="1" applyAlignment="1">
      <alignment horizontal="left"/>
    </xf>
    <xf numFmtId="0" fontId="28" fillId="24" borderId="21" xfId="0" applyFont="1" applyFill="1" applyBorder="1"/>
    <xf numFmtId="0" fontId="28" fillId="24" borderId="22" xfId="0" applyFont="1" applyFill="1" applyBorder="1" applyAlignment="1">
      <alignment horizontal="right"/>
    </xf>
    <xf numFmtId="0" fontId="27" fillId="24" borderId="22" xfId="0" applyFont="1" applyFill="1" applyBorder="1"/>
    <xf numFmtId="0" fontId="27" fillId="24" borderId="23" xfId="0" applyFont="1" applyFill="1" applyBorder="1"/>
    <xf numFmtId="0" fontId="28" fillId="24" borderId="24" xfId="0" applyFont="1" applyFill="1" applyBorder="1"/>
    <xf numFmtId="0" fontId="28" fillId="24" borderId="24" xfId="0" applyFont="1" applyFill="1" applyBorder="1" applyAlignment="1">
      <alignment horizontal="center" wrapText="1"/>
    </xf>
    <xf numFmtId="0" fontId="28" fillId="24" borderId="21" xfId="0" applyFont="1" applyFill="1" applyBorder="1" applyAlignment="1">
      <alignment horizontal="center"/>
    </xf>
    <xf numFmtId="0" fontId="28" fillId="24" borderId="22" xfId="0" applyFont="1" applyFill="1" applyBorder="1" applyAlignment="1">
      <alignment horizontal="center"/>
    </xf>
    <xf numFmtId="0" fontId="28" fillId="24" borderId="23" xfId="0" applyFont="1" applyFill="1" applyBorder="1" applyAlignment="1">
      <alignment horizontal="center"/>
    </xf>
    <xf numFmtId="0" fontId="28" fillId="24" borderId="25" xfId="0" applyFont="1" applyFill="1" applyBorder="1" applyAlignment="1">
      <alignment horizontal="center" wrapText="1"/>
    </xf>
    <xf numFmtId="0" fontId="28" fillId="24" borderId="26" xfId="0" applyFont="1" applyFill="1" applyBorder="1" applyAlignment="1">
      <alignment horizontal="center"/>
    </xf>
    <xf numFmtId="165" fontId="27" fillId="24" borderId="0" xfId="49" applyNumberFormat="1" applyFont="1" applyFill="1"/>
    <xf numFmtId="165" fontId="27" fillId="26" borderId="0" xfId="49" applyNumberFormat="1" applyFont="1" applyFill="1"/>
    <xf numFmtId="168" fontId="27" fillId="26" borderId="0" xfId="102" applyNumberFormat="1" applyFont="1" applyFill="1"/>
    <xf numFmtId="3" fontId="27" fillId="25" borderId="16" xfId="49" applyNumberFormat="1" applyFont="1" applyFill="1" applyBorder="1"/>
    <xf numFmtId="172" fontId="27" fillId="24" borderId="17" xfId="49" applyNumberFormat="1" applyFont="1" applyFill="1" applyBorder="1"/>
    <xf numFmtId="1" fontId="27" fillId="24" borderId="17" xfId="49" applyNumberFormat="1" applyFont="1" applyFill="1" applyBorder="1" applyAlignment="1">
      <alignment horizontal="center"/>
    </xf>
    <xf numFmtId="165" fontId="27" fillId="24" borderId="15" xfId="49" applyNumberFormat="1" applyFont="1" applyFill="1" applyBorder="1"/>
    <xf numFmtId="167" fontId="27" fillId="24" borderId="16" xfId="0" applyNumberFormat="1" applyFont="1" applyFill="1" applyBorder="1" applyAlignment="1">
      <alignment horizontal="center"/>
    </xf>
    <xf numFmtId="167" fontId="27" fillId="24" borderId="15" xfId="0" applyNumberFormat="1" applyFont="1" applyFill="1" applyBorder="1" applyAlignment="1">
      <alignment horizontal="center"/>
    </xf>
    <xf numFmtId="3" fontId="27" fillId="24" borderId="0" xfId="0" applyNumberFormat="1" applyFont="1" applyFill="1" applyAlignment="1">
      <alignment horizontal="center" wrapText="1"/>
    </xf>
    <xf numFmtId="2" fontId="27" fillId="24" borderId="0" xfId="0" applyNumberFormat="1" applyFont="1" applyFill="1" applyAlignment="1">
      <alignment horizontal="center" wrapText="1"/>
    </xf>
    <xf numFmtId="170" fontId="27" fillId="24" borderId="27" xfId="0" applyNumberFormat="1" applyFont="1" applyFill="1" applyBorder="1" applyAlignment="1">
      <alignment horizontal="center" wrapText="1"/>
    </xf>
    <xf numFmtId="3" fontId="27" fillId="0" borderId="16" xfId="49" applyNumberFormat="1" applyFont="1" applyBorder="1"/>
    <xf numFmtId="172" fontId="27" fillId="24" borderId="0" xfId="49" applyNumberFormat="1" applyFont="1" applyFill="1"/>
    <xf numFmtId="0" fontId="27" fillId="0" borderId="15" xfId="0" applyFont="1" applyBorder="1"/>
    <xf numFmtId="165" fontId="27" fillId="27" borderId="0" xfId="49" applyNumberFormat="1" applyFont="1" applyFill="1"/>
    <xf numFmtId="168" fontId="27" fillId="27" borderId="0" xfId="102" applyNumberFormat="1" applyFont="1" applyFill="1" applyAlignment="1">
      <alignment horizontal="right"/>
    </xf>
    <xf numFmtId="165" fontId="27" fillId="28" borderId="0" xfId="49" applyNumberFormat="1" applyFont="1" applyFill="1"/>
    <xf numFmtId="168" fontId="27" fillId="28" borderId="0" xfId="102" applyNumberFormat="1" applyFont="1" applyFill="1"/>
    <xf numFmtId="1" fontId="27" fillId="28" borderId="16" xfId="102" applyNumberFormat="1" applyFont="1" applyFill="1" applyBorder="1"/>
    <xf numFmtId="0" fontId="27" fillId="28" borderId="0" xfId="0" applyFont="1" applyFill="1"/>
    <xf numFmtId="168" fontId="27" fillId="24" borderId="0" xfId="102" applyNumberFormat="1" applyFont="1" applyFill="1" applyAlignment="1">
      <alignment horizontal="right"/>
    </xf>
    <xf numFmtId="3" fontId="27" fillId="24" borderId="16" xfId="49" applyNumberFormat="1" applyFont="1" applyFill="1" applyBorder="1"/>
    <xf numFmtId="172" fontId="27" fillId="24" borderId="16" xfId="49" applyNumberFormat="1" applyFont="1" applyFill="1" applyBorder="1"/>
    <xf numFmtId="165" fontId="27" fillId="29" borderId="0" xfId="49" applyNumberFormat="1" applyFont="1" applyFill="1"/>
    <xf numFmtId="165" fontId="27" fillId="0" borderId="0" xfId="49" applyNumberFormat="1" applyFont="1"/>
    <xf numFmtId="168" fontId="27" fillId="25" borderId="0" xfId="102" applyNumberFormat="1" applyFont="1" applyFill="1"/>
    <xf numFmtId="3" fontId="27" fillId="25" borderId="0" xfId="0" applyNumberFormat="1" applyFont="1" applyFill="1" applyAlignment="1">
      <alignment horizontal="right"/>
    </xf>
    <xf numFmtId="165" fontId="27" fillId="25" borderId="0" xfId="49" applyNumberFormat="1" applyFont="1" applyFill="1"/>
    <xf numFmtId="168" fontId="27" fillId="25" borderId="0" xfId="0" applyNumberFormat="1" applyFont="1" applyFill="1" applyAlignment="1">
      <alignment horizontal="right"/>
    </xf>
    <xf numFmtId="168" fontId="27" fillId="24" borderId="0" xfId="102" applyNumberFormat="1" applyFont="1" applyFill="1"/>
    <xf numFmtId="165" fontId="27" fillId="30" borderId="0" xfId="49" applyNumberFormat="1" applyFont="1" applyFill="1"/>
    <xf numFmtId="0" fontId="27" fillId="24" borderId="15" xfId="0" applyFont="1" applyFill="1" applyBorder="1" applyAlignment="1">
      <alignment horizontal="center"/>
    </xf>
    <xf numFmtId="167" fontId="27" fillId="27" borderId="0" xfId="0" applyNumberFormat="1" applyFont="1" applyFill="1" applyAlignment="1">
      <alignment horizontal="center" vertical="center"/>
    </xf>
    <xf numFmtId="3" fontId="27" fillId="27" borderId="0" xfId="0" applyNumberFormat="1" applyFont="1" applyFill="1" applyAlignment="1">
      <alignment horizontal="center" wrapText="1"/>
    </xf>
    <xf numFmtId="168" fontId="27" fillId="30" borderId="0" xfId="102" applyNumberFormat="1" applyFont="1" applyFill="1"/>
    <xf numFmtId="2" fontId="27" fillId="24" borderId="0" xfId="0" applyNumberFormat="1" applyFont="1" applyFill="1" applyAlignment="1">
      <alignment horizontal="center"/>
    </xf>
    <xf numFmtId="167" fontId="27" fillId="24" borderId="0" xfId="0" applyNumberFormat="1" applyFont="1" applyFill="1" applyAlignment="1">
      <alignment horizontal="center"/>
    </xf>
    <xf numFmtId="0" fontId="27" fillId="24" borderId="18" xfId="0" applyFont="1" applyFill="1" applyBorder="1"/>
    <xf numFmtId="165" fontId="27" fillId="24" borderId="10" xfId="49" applyNumberFormat="1" applyFont="1" applyFill="1" applyBorder="1"/>
    <xf numFmtId="165" fontId="27" fillId="25" borderId="10" xfId="49" applyNumberFormat="1" applyFont="1" applyFill="1" applyBorder="1"/>
    <xf numFmtId="168" fontId="27" fillId="24" borderId="10" xfId="102" applyNumberFormat="1" applyFont="1" applyFill="1" applyBorder="1"/>
    <xf numFmtId="3" fontId="27" fillId="25" borderId="19" xfId="49" applyNumberFormat="1" applyFont="1" applyFill="1" applyBorder="1"/>
    <xf numFmtId="172" fontId="27" fillId="24" borderId="20" xfId="49" applyNumberFormat="1" applyFont="1" applyFill="1" applyBorder="1"/>
    <xf numFmtId="1" fontId="27" fillId="24" borderId="20" xfId="49" applyNumberFormat="1" applyFont="1" applyFill="1" applyBorder="1" applyAlignment="1">
      <alignment horizontal="center"/>
    </xf>
    <xf numFmtId="165" fontId="27" fillId="24" borderId="18" xfId="49" applyNumberFormat="1" applyFont="1" applyFill="1" applyBorder="1"/>
    <xf numFmtId="2" fontId="27" fillId="24" borderId="10" xfId="0" applyNumberFormat="1" applyFont="1" applyFill="1" applyBorder="1" applyAlignment="1">
      <alignment horizontal="center"/>
    </xf>
    <xf numFmtId="167" fontId="27" fillId="24" borderId="19" xfId="0" applyNumberFormat="1" applyFont="1" applyFill="1" applyBorder="1" applyAlignment="1">
      <alignment horizontal="center"/>
    </xf>
    <xf numFmtId="167" fontId="27" fillId="24" borderId="18" xfId="0" applyNumberFormat="1" applyFont="1" applyFill="1" applyBorder="1" applyAlignment="1">
      <alignment horizontal="center"/>
    </xf>
    <xf numFmtId="167" fontId="27" fillId="24" borderId="10" xfId="0" applyNumberFormat="1" applyFont="1" applyFill="1" applyBorder="1" applyAlignment="1">
      <alignment horizontal="center"/>
    </xf>
    <xf numFmtId="2" fontId="27" fillId="24" borderId="10" xfId="0" applyNumberFormat="1" applyFont="1" applyFill="1" applyBorder="1" applyAlignment="1">
      <alignment horizontal="center" wrapText="1"/>
    </xf>
    <xf numFmtId="165" fontId="28" fillId="24" borderId="22" xfId="49" applyNumberFormat="1" applyFont="1" applyFill="1" applyBorder="1" applyAlignment="1">
      <alignment horizontal="right"/>
    </xf>
    <xf numFmtId="168" fontId="28" fillId="24" borderId="22" xfId="102" applyNumberFormat="1" applyFont="1" applyFill="1" applyBorder="1"/>
    <xf numFmtId="3" fontId="27" fillId="24" borderId="23" xfId="49" applyNumberFormat="1" applyFont="1" applyFill="1" applyBorder="1"/>
    <xf numFmtId="3" fontId="28" fillId="24" borderId="24" xfId="49" applyNumberFormat="1" applyFont="1" applyFill="1" applyBorder="1"/>
    <xf numFmtId="2" fontId="27" fillId="24" borderId="28" xfId="0" applyNumberFormat="1" applyFont="1" applyFill="1" applyBorder="1" applyAlignment="1">
      <alignment horizontal="center"/>
    </xf>
    <xf numFmtId="0" fontId="28" fillId="24" borderId="25" xfId="0" applyFont="1" applyFill="1" applyBorder="1" applyAlignment="1">
      <alignment horizontal="center"/>
    </xf>
    <xf numFmtId="0" fontId="28" fillId="24" borderId="0" xfId="0" applyFont="1" applyFill="1"/>
    <xf numFmtId="0" fontId="28" fillId="0" borderId="0" xfId="0" applyFont="1"/>
    <xf numFmtId="2" fontId="27" fillId="30" borderId="0" xfId="49" applyNumberFormat="1" applyFont="1" applyFill="1"/>
    <xf numFmtId="43" fontId="27" fillId="31" borderId="0" xfId="49" applyFont="1" applyFill="1"/>
    <xf numFmtId="164" fontId="27" fillId="26" borderId="0" xfId="49" applyNumberFormat="1" applyFont="1" applyFill="1"/>
    <xf numFmtId="168" fontId="27" fillId="29" borderId="0" xfId="102" applyNumberFormat="1" applyFont="1" applyFill="1"/>
    <xf numFmtId="43" fontId="27" fillId="24" borderId="0" xfId="49" applyFont="1" applyFill="1"/>
    <xf numFmtId="43" fontId="27" fillId="0" borderId="0" xfId="49" applyFont="1"/>
    <xf numFmtId="168" fontId="27" fillId="0" borderId="0" xfId="102" applyNumberFormat="1" applyFont="1"/>
    <xf numFmtId="165" fontId="27" fillId="0" borderId="10" xfId="49" applyNumberFormat="1" applyFont="1" applyBorder="1"/>
    <xf numFmtId="165" fontId="27" fillId="24" borderId="22" xfId="49" applyNumberFormat="1" applyFont="1" applyFill="1" applyBorder="1"/>
    <xf numFmtId="168" fontId="27" fillId="24" borderId="22" xfId="102" applyNumberFormat="1" applyFont="1" applyFill="1" applyBorder="1"/>
    <xf numFmtId="165" fontId="27" fillId="32" borderId="15" xfId="49" applyNumberFormat="1" applyFont="1" applyFill="1" applyBorder="1"/>
    <xf numFmtId="165" fontId="27" fillId="32" borderId="0" xfId="49" applyNumberFormat="1" applyFont="1" applyFill="1"/>
    <xf numFmtId="3" fontId="27" fillId="24" borderId="16" xfId="0" applyNumberFormat="1" applyFont="1" applyFill="1" applyBorder="1" applyAlignment="1">
      <alignment horizontal="center"/>
    </xf>
    <xf numFmtId="0" fontId="27" fillId="24" borderId="0" xfId="0" applyFont="1" applyFill="1" applyAlignment="1">
      <alignment horizontal="center"/>
    </xf>
    <xf numFmtId="172" fontId="27" fillId="24" borderId="10" xfId="0" applyNumberFormat="1" applyFont="1" applyFill="1" applyBorder="1"/>
    <xf numFmtId="3" fontId="27" fillId="24" borderId="19" xfId="0" applyNumberFormat="1" applyFont="1" applyFill="1" applyBorder="1" applyAlignment="1">
      <alignment horizontal="center"/>
    </xf>
    <xf numFmtId="0" fontId="28" fillId="24" borderId="28" xfId="0" applyFont="1" applyFill="1" applyBorder="1" applyAlignment="1">
      <alignment horizontal="center"/>
    </xf>
    <xf numFmtId="169" fontId="27" fillId="24" borderId="0" xfId="0" applyNumberFormat="1" applyFont="1" applyFill="1" applyAlignment="1">
      <alignment horizontal="center" wrapText="1"/>
    </xf>
    <xf numFmtId="0" fontId="28" fillId="24" borderId="29" xfId="0" applyFont="1" applyFill="1" applyBorder="1" applyAlignment="1">
      <alignment horizontal="center"/>
    </xf>
    <xf numFmtId="3" fontId="27" fillId="24" borderId="10" xfId="0" applyNumberFormat="1" applyFont="1" applyFill="1" applyBorder="1" applyAlignment="1">
      <alignment horizontal="center" wrapText="1"/>
    </xf>
    <xf numFmtId="0" fontId="11" fillId="24" borderId="0" xfId="0" applyFont="1" applyFill="1"/>
    <xf numFmtId="0" fontId="11" fillId="0" borderId="0" xfId="0" applyFont="1"/>
    <xf numFmtId="0" fontId="30" fillId="24" borderId="0" xfId="0" applyFont="1" applyFill="1"/>
    <xf numFmtId="0" fontId="36" fillId="24" borderId="31" xfId="68" applyFont="1" applyFill="1" applyBorder="1" applyAlignment="1">
      <alignment horizontal="right"/>
    </xf>
    <xf numFmtId="2" fontId="35" fillId="33" borderId="22" xfId="0" applyNumberFormat="1" applyFont="1" applyFill="1" applyBorder="1"/>
    <xf numFmtId="2" fontId="35" fillId="33" borderId="22" xfId="0" applyNumberFormat="1" applyFont="1" applyFill="1" applyBorder="1" applyAlignment="1">
      <alignment horizontal="center"/>
    </xf>
    <xf numFmtId="0" fontId="30" fillId="0" borderId="0" xfId="0" applyFont="1"/>
    <xf numFmtId="173" fontId="27" fillId="24" borderId="15" xfId="0" applyNumberFormat="1" applyFont="1" applyFill="1" applyBorder="1" applyAlignment="1">
      <alignment horizontal="center"/>
    </xf>
    <xf numFmtId="167" fontId="0" fillId="0" borderId="0" xfId="0" applyNumberFormat="1"/>
    <xf numFmtId="0" fontId="23" fillId="0" borderId="31" xfId="0" applyFont="1" applyBorder="1"/>
    <xf numFmtId="0" fontId="0" fillId="0" borderId="0" xfId="0" applyAlignment="1">
      <alignment horizontal="right"/>
    </xf>
    <xf numFmtId="0" fontId="45" fillId="0" borderId="0" xfId="0" applyFont="1"/>
    <xf numFmtId="3" fontId="0" fillId="0" borderId="0" xfId="0" applyNumberFormat="1"/>
    <xf numFmtId="0" fontId="0" fillId="0" borderId="0" xfId="0" applyAlignment="1">
      <alignment horizontal="left" indent="1"/>
    </xf>
    <xf numFmtId="0" fontId="0" fillId="0" borderId="0" xfId="0" applyAlignment="1">
      <alignment horizontal="center"/>
    </xf>
    <xf numFmtId="2" fontId="0" fillId="0" borderId="0" xfId="0" applyNumberFormat="1" applyAlignment="1">
      <alignment horizontal="center"/>
    </xf>
    <xf numFmtId="0" fontId="23" fillId="0" borderId="0" xfId="0" applyFont="1"/>
    <xf numFmtId="2" fontId="0" fillId="0" borderId="0" xfId="0" applyNumberFormat="1"/>
    <xf numFmtId="0" fontId="23" fillId="0" borderId="31" xfId="0" applyFont="1" applyBorder="1" applyAlignment="1">
      <alignment horizontal="center"/>
    </xf>
    <xf numFmtId="0" fontId="0" fillId="0" borderId="0" xfId="0" applyAlignment="1">
      <alignment wrapText="1"/>
    </xf>
    <xf numFmtId="0" fontId="0" fillId="0" borderId="0" xfId="0" applyAlignment="1">
      <alignment horizontal="center" wrapText="1"/>
    </xf>
    <xf numFmtId="0" fontId="23" fillId="0" borderId="31" xfId="0" applyFont="1" applyBorder="1" applyAlignment="1">
      <alignment horizontal="center" wrapText="1"/>
    </xf>
    <xf numFmtId="0" fontId="0" fillId="0" borderId="33" xfId="0" applyBorder="1"/>
    <xf numFmtId="0" fontId="47" fillId="24" borderId="33" xfId="0" applyFont="1" applyFill="1" applyBorder="1" applyAlignment="1">
      <alignment horizontal="right"/>
    </xf>
    <xf numFmtId="0" fontId="47" fillId="24" borderId="31" xfId="0" applyFont="1" applyFill="1" applyBorder="1" applyAlignment="1">
      <alignment horizontal="center"/>
    </xf>
    <xf numFmtId="0" fontId="37" fillId="24" borderId="0" xfId="0" applyFont="1" applyFill="1" applyAlignment="1">
      <alignment horizontal="right"/>
    </xf>
    <xf numFmtId="0" fontId="37" fillId="24" borderId="22" xfId="0" applyFont="1" applyFill="1" applyBorder="1" applyAlignment="1">
      <alignment horizontal="right"/>
    </xf>
    <xf numFmtId="0" fontId="0" fillId="0" borderId="22" xfId="0" applyBorder="1"/>
    <xf numFmtId="3" fontId="0" fillId="0" borderId="0" xfId="0" applyNumberFormat="1" applyAlignment="1">
      <alignment horizontal="center"/>
    </xf>
    <xf numFmtId="3" fontId="0" fillId="0" borderId="22" xfId="0" applyNumberFormat="1" applyBorder="1" applyAlignment="1">
      <alignment horizontal="center"/>
    </xf>
    <xf numFmtId="0" fontId="0" fillId="0" borderId="42" xfId="0" applyBorder="1"/>
    <xf numFmtId="0" fontId="0" fillId="0" borderId="22" xfId="0" applyBorder="1" applyAlignment="1">
      <alignment horizontal="left" indent="1"/>
    </xf>
    <xf numFmtId="0" fontId="28" fillId="24" borderId="23" xfId="0" applyFont="1" applyFill="1" applyBorder="1" applyAlignment="1">
      <alignment horizontal="center" wrapText="1"/>
    </xf>
    <xf numFmtId="0" fontId="46" fillId="0" borderId="0" xfId="0" applyFont="1"/>
    <xf numFmtId="0" fontId="23" fillId="0" borderId="31" xfId="0" applyFont="1" applyBorder="1" applyAlignment="1">
      <alignment horizontal="left"/>
    </xf>
    <xf numFmtId="0" fontId="51" fillId="0" borderId="0" xfId="0" applyFont="1"/>
    <xf numFmtId="0" fontId="52" fillId="0" borderId="40" xfId="0" applyFont="1" applyBorder="1" applyAlignment="1">
      <alignment horizontal="center"/>
    </xf>
    <xf numFmtId="0" fontId="52" fillId="0" borderId="40" xfId="0" applyFont="1" applyBorder="1" applyAlignment="1">
      <alignment horizontal="right" wrapText="1"/>
    </xf>
    <xf numFmtId="0" fontId="52" fillId="0" borderId="41" xfId="0" applyFont="1" applyBorder="1"/>
    <xf numFmtId="0" fontId="52" fillId="0" borderId="36" xfId="0" applyFont="1" applyBorder="1"/>
    <xf numFmtId="0" fontId="50" fillId="0" borderId="41" xfId="0" applyFont="1" applyBorder="1"/>
    <xf numFmtId="0" fontId="50" fillId="0" borderId="0" xfId="0" applyFont="1"/>
    <xf numFmtId="0" fontId="0" fillId="0" borderId="0" xfId="0" applyAlignment="1">
      <alignment vertical="center"/>
    </xf>
    <xf numFmtId="169" fontId="0" fillId="0" borderId="0" xfId="0" applyNumberFormat="1" applyAlignment="1">
      <alignment horizontal="center"/>
    </xf>
    <xf numFmtId="164" fontId="27" fillId="24" borderId="0" xfId="0" applyNumberFormat="1" applyFont="1" applyFill="1"/>
    <xf numFmtId="0" fontId="45" fillId="0" borderId="0" xfId="0" applyFont="1" applyAlignment="1">
      <alignment vertical="center"/>
    </xf>
    <xf numFmtId="0" fontId="23" fillId="35" borderId="31" xfId="0" applyFont="1" applyFill="1" applyBorder="1"/>
    <xf numFmtId="0" fontId="0" fillId="35" borderId="0" xfId="0" applyFill="1"/>
    <xf numFmtId="4" fontId="0" fillId="0" borderId="0" xfId="0" applyNumberFormat="1" applyAlignment="1">
      <alignment horizontal="center"/>
    </xf>
    <xf numFmtId="0" fontId="23" fillId="0" borderId="31" xfId="0" applyFont="1" applyBorder="1" applyAlignment="1">
      <alignment horizontal="center" vertical="center" wrapText="1"/>
    </xf>
    <xf numFmtId="0" fontId="52" fillId="0" borderId="40" xfId="0" applyFont="1" applyBorder="1" applyAlignment="1">
      <alignment horizontal="center" wrapText="1"/>
    </xf>
    <xf numFmtId="0" fontId="23" fillId="35" borderId="31" xfId="0" applyFont="1" applyFill="1" applyBorder="1" applyAlignment="1">
      <alignment horizontal="center"/>
    </xf>
    <xf numFmtId="0" fontId="23" fillId="35" borderId="31" xfId="0" applyFont="1" applyFill="1" applyBorder="1" applyAlignment="1">
      <alignment horizontal="center" wrapText="1"/>
    </xf>
    <xf numFmtId="0" fontId="45" fillId="35" borderId="0" xfId="0" applyFont="1" applyFill="1"/>
    <xf numFmtId="0" fontId="0" fillId="35" borderId="0" xfId="0" applyFill="1" applyAlignment="1">
      <alignment horizontal="left" indent="1"/>
    </xf>
    <xf numFmtId="2" fontId="0" fillId="35" borderId="0" xfId="0" applyNumberFormat="1" applyFill="1" applyAlignment="1">
      <alignment horizontal="center"/>
    </xf>
    <xf numFmtId="3" fontId="0" fillId="35" borderId="0" xfId="0" applyNumberFormat="1" applyFill="1" applyAlignment="1">
      <alignment horizontal="center"/>
    </xf>
    <xf numFmtId="0" fontId="0" fillId="35" borderId="0" xfId="0" applyFill="1" applyAlignment="1">
      <alignment horizontal="center"/>
    </xf>
    <xf numFmtId="2" fontId="45" fillId="35" borderId="0" xfId="0" applyNumberFormat="1" applyFont="1" applyFill="1" applyAlignment="1">
      <alignment horizontal="center"/>
    </xf>
    <xf numFmtId="4" fontId="0" fillId="35" borderId="0" xfId="0" applyNumberFormat="1" applyFill="1" applyAlignment="1">
      <alignment horizontal="center"/>
    </xf>
    <xf numFmtId="3" fontId="59" fillId="0" borderId="0" xfId="0" applyNumberFormat="1" applyFont="1" applyAlignment="1">
      <alignment horizontal="center"/>
    </xf>
    <xf numFmtId="0" fontId="59" fillId="0" borderId="0" xfId="0" applyFont="1"/>
    <xf numFmtId="0" fontId="61" fillId="0" borderId="0" xfId="0" applyFont="1"/>
    <xf numFmtId="0" fontId="60" fillId="0" borderId="0" xfId="0" applyFont="1" applyAlignment="1">
      <alignment horizontal="center"/>
    </xf>
    <xf numFmtId="0" fontId="59" fillId="0" borderId="0" xfId="0" applyFont="1" applyAlignment="1">
      <alignment horizontal="left" indent="1"/>
    </xf>
    <xf numFmtId="0" fontId="59" fillId="0" borderId="0" xfId="0" applyFont="1" applyAlignment="1">
      <alignment horizontal="center"/>
    </xf>
    <xf numFmtId="169" fontId="59" fillId="0" borderId="0" xfId="0" applyNumberFormat="1" applyFont="1" applyAlignment="1">
      <alignment horizontal="center"/>
    </xf>
    <xf numFmtId="0" fontId="59" fillId="0" borderId="22" xfId="0" applyFont="1" applyBorder="1" applyAlignment="1">
      <alignment horizontal="left" indent="1"/>
    </xf>
    <xf numFmtId="0" fontId="59" fillId="0" borderId="22" xfId="0" applyFont="1" applyBorder="1" applyAlignment="1">
      <alignment horizontal="center"/>
    </xf>
    <xf numFmtId="3" fontId="59" fillId="0" borderId="22" xfId="0" applyNumberFormat="1" applyFont="1" applyBorder="1" applyAlignment="1">
      <alignment horizontal="center"/>
    </xf>
    <xf numFmtId="169" fontId="59" fillId="0" borderId="22" xfId="0" applyNumberFormat="1" applyFont="1" applyBorder="1" applyAlignment="1">
      <alignment horizontal="center"/>
    </xf>
    <xf numFmtId="0" fontId="23" fillId="0" borderId="31" xfId="0" applyFont="1" applyBorder="1" applyAlignment="1">
      <alignment vertical="center"/>
    </xf>
    <xf numFmtId="0" fontId="23" fillId="35" borderId="0" xfId="0" applyFont="1" applyFill="1"/>
    <xf numFmtId="0" fontId="0" fillId="35" borderId="22" xfId="0" applyFill="1" applyBorder="1"/>
    <xf numFmtId="0" fontId="0" fillId="35" borderId="0" xfId="0" applyFill="1" applyAlignment="1">
      <alignment horizontal="left" vertical="center" indent="1"/>
    </xf>
    <xf numFmtId="0" fontId="0" fillId="35" borderId="22" xfId="0" applyFill="1" applyBorder="1" applyAlignment="1">
      <alignment horizontal="left" vertical="center" indent="1"/>
    </xf>
    <xf numFmtId="0" fontId="23" fillId="35" borderId="33" xfId="0" applyFont="1" applyFill="1" applyBorder="1"/>
    <xf numFmtId="3" fontId="46" fillId="35" borderId="0" xfId="0" applyNumberFormat="1" applyFont="1" applyFill="1" applyAlignment="1">
      <alignment horizontal="center"/>
    </xf>
    <xf numFmtId="0" fontId="27" fillId="35" borderId="15" xfId="0" applyFont="1" applyFill="1" applyBorder="1"/>
    <xf numFmtId="0" fontId="23" fillId="35" borderId="44" xfId="0" applyFont="1" applyFill="1" applyBorder="1"/>
    <xf numFmtId="0" fontId="23" fillId="35" borderId="44" xfId="0" applyFont="1" applyFill="1" applyBorder="1" applyAlignment="1">
      <alignment horizontal="center"/>
    </xf>
    <xf numFmtId="10" fontId="46" fillId="35" borderId="0" xfId="102" applyNumberFormat="1" applyFont="1" applyFill="1"/>
    <xf numFmtId="0" fontId="63" fillId="35" borderId="0" xfId="0" applyFont="1" applyFill="1" applyAlignment="1">
      <alignment horizontal="center"/>
    </xf>
    <xf numFmtId="0" fontId="63" fillId="35" borderId="0" xfId="0" applyFont="1" applyFill="1"/>
    <xf numFmtId="10" fontId="46" fillId="35" borderId="39" xfId="102" applyNumberFormat="1" applyFont="1" applyFill="1" applyBorder="1"/>
    <xf numFmtId="3" fontId="0" fillId="0" borderId="0" xfId="0" applyNumberFormat="1" applyAlignment="1">
      <alignment horizontal="right"/>
    </xf>
    <xf numFmtId="0" fontId="23" fillId="0" borderId="0" xfId="0" applyFont="1" applyAlignment="1">
      <alignment horizontal="left" vertical="center" indent="1"/>
    </xf>
    <xf numFmtId="3" fontId="23" fillId="0" borderId="0" xfId="0" applyNumberFormat="1" applyFont="1" applyAlignment="1">
      <alignment horizontal="right"/>
    </xf>
    <xf numFmtId="2" fontId="23" fillId="0" borderId="0" xfId="0" applyNumberFormat="1" applyFont="1" applyAlignment="1">
      <alignment horizontal="center"/>
    </xf>
    <xf numFmtId="0" fontId="23" fillId="0" borderId="33" xfId="0" applyFont="1" applyBorder="1" applyAlignment="1">
      <alignment horizontal="left" vertical="center" indent="1"/>
    </xf>
    <xf numFmtId="3" fontId="23" fillId="0" borderId="33" xfId="0" applyNumberFormat="1" applyFont="1" applyBorder="1" applyAlignment="1">
      <alignment horizontal="right"/>
    </xf>
    <xf numFmtId="0" fontId="45" fillId="35" borderId="45" xfId="0" applyFont="1" applyFill="1" applyBorder="1"/>
    <xf numFmtId="169" fontId="0" fillId="35" borderId="0" xfId="0" applyNumberFormat="1" applyFill="1" applyAlignment="1">
      <alignment horizontal="center"/>
    </xf>
    <xf numFmtId="0" fontId="46" fillId="35" borderId="0" xfId="0" applyFont="1" applyFill="1" applyAlignment="1">
      <alignment horizontal="left" indent="1"/>
    </xf>
    <xf numFmtId="169" fontId="46" fillId="35" borderId="0" xfId="0" applyNumberFormat="1" applyFont="1" applyFill="1" applyAlignment="1">
      <alignment horizontal="center"/>
    </xf>
    <xf numFmtId="0" fontId="0" fillId="35" borderId="22" xfId="0" applyFill="1" applyBorder="1" applyAlignment="1">
      <alignment horizontal="left" indent="1"/>
    </xf>
    <xf numFmtId="3" fontId="0" fillId="35" borderId="22" xfId="0" applyNumberFormat="1" applyFill="1" applyBorder="1" applyAlignment="1">
      <alignment horizontal="center"/>
    </xf>
    <xf numFmtId="169" fontId="0" fillId="35" borderId="22" xfId="0" applyNumberFormat="1" applyFill="1" applyBorder="1" applyAlignment="1">
      <alignment horizontal="center"/>
    </xf>
    <xf numFmtId="170" fontId="52" fillId="0" borderId="35" xfId="0" applyNumberFormat="1" applyFont="1" applyBorder="1"/>
    <xf numFmtId="3" fontId="52" fillId="0" borderId="0" xfId="0" applyNumberFormat="1" applyFont="1"/>
    <xf numFmtId="0" fontId="23" fillId="35" borderId="42" xfId="0" applyFont="1" applyFill="1" applyBorder="1"/>
    <xf numFmtId="0" fontId="0" fillId="35" borderId="31" xfId="0" applyFill="1" applyBorder="1" applyAlignment="1">
      <alignment horizontal="left" indent="1"/>
    </xf>
    <xf numFmtId="3" fontId="0" fillId="0" borderId="31" xfId="0" applyNumberFormat="1" applyBorder="1" applyAlignment="1">
      <alignment horizontal="center"/>
    </xf>
    <xf numFmtId="170" fontId="0" fillId="0" borderId="31" xfId="0" applyNumberFormat="1" applyBorder="1" applyAlignment="1">
      <alignment horizontal="center"/>
    </xf>
    <xf numFmtId="0" fontId="0" fillId="0" borderId="0" xfId="0" applyAlignment="1">
      <alignment horizontal="center" vertical="center"/>
    </xf>
    <xf numFmtId="0" fontId="23" fillId="35" borderId="22" xfId="0" applyFont="1" applyFill="1" applyBorder="1"/>
    <xf numFmtId="0" fontId="0" fillId="35" borderId="43" xfId="0" applyFill="1" applyBorder="1" applyAlignment="1">
      <alignment horizontal="left" indent="1"/>
    </xf>
    <xf numFmtId="170" fontId="0" fillId="35" borderId="43" xfId="0" applyNumberFormat="1" applyFill="1" applyBorder="1" applyAlignment="1">
      <alignment horizontal="center"/>
    </xf>
    <xf numFmtId="0" fontId="23" fillId="35" borderId="42" xfId="0" applyFont="1" applyFill="1" applyBorder="1" applyAlignment="1">
      <alignment horizontal="center"/>
    </xf>
    <xf numFmtId="0" fontId="66" fillId="0" borderId="0" xfId="0" applyFont="1" applyAlignment="1">
      <alignment horizontal="left" vertical="center" indent="15"/>
    </xf>
    <xf numFmtId="170" fontId="0" fillId="35" borderId="22" xfId="0" applyNumberFormat="1" applyFill="1" applyBorder="1" applyAlignment="1">
      <alignment horizontal="center"/>
    </xf>
    <xf numFmtId="169" fontId="50" fillId="0" borderId="33" xfId="0" applyNumberFormat="1" applyFont="1" applyBorder="1"/>
    <xf numFmtId="169" fontId="50" fillId="0" borderId="34" xfId="0" applyNumberFormat="1" applyFont="1" applyBorder="1"/>
    <xf numFmtId="0" fontId="67" fillId="0" borderId="35" xfId="0" applyFont="1" applyBorder="1"/>
    <xf numFmtId="0" fontId="69" fillId="0" borderId="0" xfId="0" applyFont="1"/>
    <xf numFmtId="169" fontId="0" fillId="35" borderId="0" xfId="0" applyNumberFormat="1" applyFill="1" applyAlignment="1">
      <alignment horizontal="right" indent="1"/>
    </xf>
    <xf numFmtId="0" fontId="37" fillId="0" borderId="0" xfId="0" applyFont="1"/>
    <xf numFmtId="0" fontId="37" fillId="35" borderId="0" xfId="0" applyFont="1" applyFill="1"/>
    <xf numFmtId="3" fontId="23" fillId="0" borderId="0" xfId="0" applyNumberFormat="1" applyFont="1"/>
    <xf numFmtId="2" fontId="25" fillId="35" borderId="0" xfId="0" applyNumberFormat="1" applyFont="1" applyFill="1"/>
    <xf numFmtId="167" fontId="0" fillId="35" borderId="0" xfId="0" applyNumberFormat="1" applyFill="1"/>
    <xf numFmtId="0" fontId="54" fillId="0" borderId="0" xfId="0" applyFont="1"/>
    <xf numFmtId="3" fontId="46" fillId="35" borderId="0" xfId="0" applyNumberFormat="1" applyFont="1" applyFill="1"/>
    <xf numFmtId="0" fontId="0" fillId="35" borderId="0" xfId="0" applyFill="1" applyAlignment="1">
      <alignment horizontal="left"/>
    </xf>
    <xf numFmtId="3" fontId="63" fillId="0" borderId="0" xfId="0" applyNumberFormat="1" applyFont="1"/>
    <xf numFmtId="3" fontId="0" fillId="35" borderId="0" xfId="0" applyNumberFormat="1" applyFill="1"/>
    <xf numFmtId="171" fontId="0" fillId="35" borderId="0" xfId="0" applyNumberFormat="1" applyFill="1"/>
    <xf numFmtId="0" fontId="0" fillId="35" borderId="33" xfId="0" applyFill="1" applyBorder="1"/>
    <xf numFmtId="3" fontId="0" fillId="35" borderId="0" xfId="0" applyNumberFormat="1" applyFill="1" applyAlignment="1">
      <alignment horizontal="right" indent="1"/>
    </xf>
    <xf numFmtId="3" fontId="0" fillId="35" borderId="0" xfId="0" applyNumberFormat="1" applyFill="1" applyAlignment="1">
      <alignment horizontal="right"/>
    </xf>
    <xf numFmtId="3" fontId="23" fillId="35" borderId="33" xfId="0" applyNumberFormat="1" applyFont="1" applyFill="1" applyBorder="1" applyAlignment="1">
      <alignment horizontal="right"/>
    </xf>
    <xf numFmtId="0" fontId="23" fillId="0" borderId="33" xfId="0" applyFont="1" applyBorder="1"/>
    <xf numFmtId="0" fontId="0" fillId="0" borderId="0" xfId="0" applyAlignment="1">
      <alignment horizontal="left" vertical="center" indent="2"/>
    </xf>
    <xf numFmtId="0" fontId="23" fillId="0" borderId="47" xfId="0" applyFont="1" applyBorder="1"/>
    <xf numFmtId="0" fontId="23" fillId="0" borderId="0" xfId="0" applyFont="1" applyAlignment="1">
      <alignment vertical="center"/>
    </xf>
    <xf numFmtId="0" fontId="23" fillId="0" borderId="0" xfId="0" applyFont="1" applyAlignment="1">
      <alignment horizontal="center" vertical="center" wrapText="1"/>
    </xf>
    <xf numFmtId="0" fontId="23" fillId="0" borderId="0" xfId="0" applyFont="1" applyAlignment="1">
      <alignment horizontal="left" vertical="center" indent="2"/>
    </xf>
    <xf numFmtId="10" fontId="4" fillId="0" borderId="33" xfId="102" applyNumberFormat="1" applyBorder="1" applyAlignment="1">
      <alignment horizontal="right"/>
    </xf>
    <xf numFmtId="0" fontId="50" fillId="0" borderId="33" xfId="0" applyFont="1" applyBorder="1" applyAlignment="1">
      <alignment horizontal="left" vertical="center" indent="1"/>
    </xf>
    <xf numFmtId="0" fontId="45" fillId="0" borderId="42" xfId="0" applyFont="1" applyBorder="1"/>
    <xf numFmtId="0" fontId="0" fillId="0" borderId="44" xfId="0" applyBorder="1"/>
    <xf numFmtId="3" fontId="37" fillId="35" borderId="40" xfId="0" applyNumberFormat="1" applyFont="1" applyFill="1" applyBorder="1" applyAlignment="1">
      <alignment horizontal="center"/>
    </xf>
    <xf numFmtId="0" fontId="36" fillId="35" borderId="40" xfId="0" applyFont="1" applyFill="1" applyBorder="1" applyAlignment="1">
      <alignment horizontal="center"/>
    </xf>
    <xf numFmtId="167" fontId="37" fillId="35" borderId="40" xfId="0" applyNumberFormat="1" applyFont="1" applyFill="1" applyBorder="1" applyAlignment="1">
      <alignment horizontal="center"/>
    </xf>
    <xf numFmtId="0" fontId="23" fillId="35" borderId="31" xfId="0" applyFont="1" applyFill="1" applyBorder="1" applyAlignment="1">
      <alignment vertical="center" wrapText="1"/>
    </xf>
    <xf numFmtId="0" fontId="23" fillId="35" borderId="31" xfId="0" applyFont="1" applyFill="1" applyBorder="1" applyAlignment="1">
      <alignment wrapText="1"/>
    </xf>
    <xf numFmtId="0" fontId="0" fillId="35" borderId="43" xfId="0" applyFill="1" applyBorder="1"/>
    <xf numFmtId="3" fontId="73" fillId="35" borderId="43" xfId="0" applyNumberFormat="1" applyFont="1" applyFill="1" applyBorder="1"/>
    <xf numFmtId="3" fontId="0" fillId="35" borderId="43" xfId="0" applyNumberFormat="1" applyFill="1" applyBorder="1"/>
    <xf numFmtId="2" fontId="74" fillId="35" borderId="40" xfId="0" applyNumberFormat="1" applyFont="1" applyFill="1" applyBorder="1" applyAlignment="1">
      <alignment horizontal="center"/>
    </xf>
    <xf numFmtId="173" fontId="74" fillId="35" borderId="40" xfId="0" applyNumberFormat="1" applyFont="1" applyFill="1" applyBorder="1" applyAlignment="1">
      <alignment horizontal="center"/>
    </xf>
    <xf numFmtId="167" fontId="74" fillId="35" borderId="40" xfId="0" applyNumberFormat="1" applyFont="1" applyFill="1" applyBorder="1" applyAlignment="1">
      <alignment horizontal="center"/>
    </xf>
    <xf numFmtId="10" fontId="74" fillId="35" borderId="40" xfId="102" applyNumberFormat="1" applyFont="1" applyFill="1" applyBorder="1" applyAlignment="1">
      <alignment horizontal="center"/>
    </xf>
    <xf numFmtId="167" fontId="0" fillId="35" borderId="43" xfId="0" applyNumberFormat="1" applyFill="1" applyBorder="1" applyAlignment="1">
      <alignment horizontal="center"/>
    </xf>
    <xf numFmtId="169" fontId="0" fillId="35" borderId="43" xfId="0" applyNumberFormat="1" applyFill="1" applyBorder="1" applyAlignment="1">
      <alignment horizontal="center"/>
    </xf>
    <xf numFmtId="1" fontId="65" fillId="35" borderId="0" xfId="0" applyNumberFormat="1" applyFont="1" applyFill="1" applyAlignment="1">
      <alignment horizontal="center"/>
    </xf>
    <xf numFmtId="0" fontId="0" fillId="35" borderId="45" xfId="0" applyFill="1" applyBorder="1"/>
    <xf numFmtId="1" fontId="0" fillId="35" borderId="45" xfId="0" applyNumberFormat="1" applyFill="1" applyBorder="1" applyAlignment="1">
      <alignment horizontal="center"/>
    </xf>
    <xf numFmtId="0" fontId="0" fillId="35" borderId="0" xfId="0" applyFill="1" applyAlignment="1">
      <alignment horizontal="left" indent="3"/>
    </xf>
    <xf numFmtId="0" fontId="57" fillId="35" borderId="31" xfId="0" applyFont="1" applyFill="1" applyBorder="1" applyAlignment="1">
      <alignment horizontal="center" vertical="center"/>
    </xf>
    <xf numFmtId="0" fontId="55" fillId="35" borderId="0" xfId="0" applyFont="1" applyFill="1" applyAlignment="1">
      <alignment vertical="center"/>
    </xf>
    <xf numFmtId="0" fontId="56" fillId="35" borderId="0" xfId="0" applyFont="1" applyFill="1" applyAlignment="1">
      <alignment vertical="center"/>
    </xf>
    <xf numFmtId="0" fontId="55" fillId="35" borderId="0" xfId="0" applyFont="1" applyFill="1" applyAlignment="1">
      <alignment horizontal="left" vertical="center" indent="1"/>
    </xf>
    <xf numFmtId="0" fontId="55" fillId="35" borderId="22" xfId="0" applyFont="1" applyFill="1" applyBorder="1" applyAlignment="1">
      <alignment horizontal="left" vertical="center" indent="1"/>
    </xf>
    <xf numFmtId="0" fontId="57" fillId="35" borderId="44" xfId="0" applyFont="1" applyFill="1" applyBorder="1" applyAlignment="1">
      <alignment vertical="center"/>
    </xf>
    <xf numFmtId="0" fontId="57" fillId="35" borderId="44" xfId="0" applyFont="1" applyFill="1" applyBorder="1" applyAlignment="1">
      <alignment horizontal="center" vertical="center"/>
    </xf>
    <xf numFmtId="0" fontId="58" fillId="35" borderId="0" xfId="0" applyFont="1" applyFill="1"/>
    <xf numFmtId="3" fontId="55" fillId="35" borderId="0" xfId="0" applyNumberFormat="1" applyFont="1" applyFill="1" applyAlignment="1">
      <alignment horizontal="center" vertical="center"/>
    </xf>
    <xf numFmtId="3" fontId="58" fillId="35" borderId="0" xfId="0" applyNumberFormat="1" applyFont="1" applyFill="1"/>
    <xf numFmtId="0" fontId="57" fillId="35" borderId="22" xfId="0" applyFont="1" applyFill="1" applyBorder="1" applyAlignment="1">
      <alignment vertical="center"/>
    </xf>
    <xf numFmtId="3" fontId="57" fillId="35" borderId="22" xfId="0" applyNumberFormat="1" applyFont="1" applyFill="1" applyBorder="1" applyAlignment="1">
      <alignment horizontal="center" vertical="center"/>
    </xf>
    <xf numFmtId="4" fontId="57" fillId="35" borderId="22" xfId="0" applyNumberFormat="1" applyFont="1" applyFill="1" applyBorder="1" applyAlignment="1">
      <alignment horizontal="center" vertical="center"/>
    </xf>
    <xf numFmtId="3" fontId="23" fillId="35" borderId="22" xfId="0" applyNumberFormat="1" applyFont="1" applyFill="1" applyBorder="1" applyAlignment="1">
      <alignment horizontal="center"/>
    </xf>
    <xf numFmtId="3" fontId="75" fillId="35" borderId="0" xfId="0" applyNumberFormat="1" applyFont="1" applyFill="1" applyAlignment="1">
      <alignment horizontal="center"/>
    </xf>
    <xf numFmtId="3" fontId="75" fillId="35" borderId="22" xfId="0" applyNumberFormat="1" applyFont="1" applyFill="1" applyBorder="1" applyAlignment="1">
      <alignment horizontal="center"/>
    </xf>
    <xf numFmtId="169" fontId="75" fillId="35" borderId="0" xfId="0" applyNumberFormat="1" applyFont="1" applyFill="1" applyAlignment="1">
      <alignment horizontal="center"/>
    </xf>
    <xf numFmtId="170" fontId="75" fillId="35" borderId="0" xfId="0" applyNumberFormat="1" applyFont="1" applyFill="1" applyAlignment="1">
      <alignment horizontal="center"/>
    </xf>
    <xf numFmtId="169" fontId="75" fillId="35" borderId="22" xfId="0" applyNumberFormat="1" applyFont="1" applyFill="1" applyBorder="1" applyAlignment="1">
      <alignment horizontal="center"/>
    </xf>
    <xf numFmtId="169" fontId="75" fillId="35" borderId="0" xfId="0" applyNumberFormat="1" applyFont="1" applyFill="1" applyAlignment="1">
      <alignment horizontal="center" vertical="center"/>
    </xf>
    <xf numFmtId="10" fontId="75" fillId="35" borderId="0" xfId="0" applyNumberFormat="1" applyFont="1" applyFill="1" applyAlignment="1">
      <alignment horizontal="center" vertical="center"/>
    </xf>
    <xf numFmtId="0" fontId="76" fillId="35" borderId="0" xfId="0" applyFont="1" applyFill="1"/>
    <xf numFmtId="9" fontId="75" fillId="35" borderId="0" xfId="0" applyNumberFormat="1" applyFont="1" applyFill="1" applyAlignment="1">
      <alignment horizontal="center" vertical="center"/>
    </xf>
    <xf numFmtId="3" fontId="75" fillId="35" borderId="22" xfId="0" applyNumberFormat="1" applyFont="1" applyFill="1" applyBorder="1" applyAlignment="1">
      <alignment horizontal="center" vertical="center"/>
    </xf>
    <xf numFmtId="0" fontId="23" fillId="35" borderId="42" xfId="0" applyFont="1" applyFill="1" applyBorder="1" applyAlignment="1">
      <alignment horizontal="left"/>
    </xf>
    <xf numFmtId="167" fontId="0" fillId="35" borderId="43" xfId="0" applyNumberFormat="1" applyFill="1" applyBorder="1" applyAlignment="1">
      <alignment horizontal="left"/>
    </xf>
    <xf numFmtId="3" fontId="77" fillId="35" borderId="0" xfId="0" applyNumberFormat="1" applyFont="1" applyFill="1" applyAlignment="1">
      <alignment horizontal="center"/>
    </xf>
    <xf numFmtId="3" fontId="63" fillId="35" borderId="0" xfId="0" applyNumberFormat="1" applyFont="1" applyFill="1" applyAlignment="1">
      <alignment horizontal="center"/>
    </xf>
    <xf numFmtId="3" fontId="63" fillId="35" borderId="22" xfId="0" applyNumberFormat="1" applyFont="1" applyFill="1" applyBorder="1" applyAlignment="1">
      <alignment horizontal="center"/>
    </xf>
    <xf numFmtId="0" fontId="0" fillId="35" borderId="42" xfId="0" applyFill="1" applyBorder="1"/>
    <xf numFmtId="3" fontId="71" fillId="35" borderId="0" xfId="0" applyNumberFormat="1" applyFont="1" applyFill="1"/>
    <xf numFmtId="0" fontId="62" fillId="35" borderId="0" xfId="0" applyFont="1" applyFill="1" applyAlignment="1">
      <alignment horizontal="center"/>
    </xf>
    <xf numFmtId="3" fontId="46" fillId="0" borderId="0" xfId="0" applyNumberFormat="1" applyFont="1"/>
    <xf numFmtId="1" fontId="46" fillId="0" borderId="0" xfId="0" applyNumberFormat="1" applyFont="1" applyAlignment="1">
      <alignment horizontal="right" indent="1"/>
    </xf>
    <xf numFmtId="167" fontId="46" fillId="35" borderId="0" xfId="0" applyNumberFormat="1" applyFont="1" applyFill="1"/>
    <xf numFmtId="167" fontId="0" fillId="35" borderId="22" xfId="0" applyNumberFormat="1" applyFill="1" applyBorder="1"/>
    <xf numFmtId="0" fontId="23" fillId="35" borderId="44" xfId="0" applyFont="1" applyFill="1" applyBorder="1" applyAlignment="1">
      <alignment horizontal="center" vertical="center"/>
    </xf>
    <xf numFmtId="0" fontId="23" fillId="35" borderId="44" xfId="0" applyFont="1" applyFill="1" applyBorder="1" applyAlignment="1">
      <alignment horizontal="center" vertical="center" wrapText="1"/>
    </xf>
    <xf numFmtId="168" fontId="64" fillId="35" borderId="0" xfId="102" applyNumberFormat="1" applyFont="1" applyFill="1"/>
    <xf numFmtId="168" fontId="46" fillId="35" borderId="0" xfId="102" applyNumberFormat="1" applyFont="1" applyFill="1"/>
    <xf numFmtId="168" fontId="46" fillId="35" borderId="22" xfId="102" applyNumberFormat="1" applyFont="1" applyFill="1" applyBorder="1"/>
    <xf numFmtId="0" fontId="23" fillId="35" borderId="48" xfId="0" applyFont="1" applyFill="1" applyBorder="1"/>
    <xf numFmtId="0" fontId="23" fillId="35" borderId="49" xfId="0" applyFont="1" applyFill="1" applyBorder="1" applyAlignment="1">
      <alignment horizontal="center" vertical="center" wrapText="1"/>
    </xf>
    <xf numFmtId="0" fontId="0" fillId="35" borderId="35" xfId="0" applyFill="1" applyBorder="1"/>
    <xf numFmtId="10" fontId="23" fillId="35" borderId="35" xfId="102" applyNumberFormat="1" applyFont="1" applyFill="1" applyBorder="1"/>
    <xf numFmtId="10" fontId="46" fillId="35" borderId="35" xfId="102" applyNumberFormat="1" applyFont="1" applyFill="1" applyBorder="1"/>
    <xf numFmtId="170" fontId="73" fillId="35" borderId="43" xfId="0" applyNumberFormat="1" applyFont="1" applyFill="1" applyBorder="1"/>
    <xf numFmtId="43" fontId="23" fillId="35" borderId="0" xfId="49" applyFont="1" applyFill="1"/>
    <xf numFmtId="43" fontId="4" fillId="35" borderId="0" xfId="49" applyFill="1"/>
    <xf numFmtId="43" fontId="4" fillId="35" borderId="22" xfId="49" applyFill="1" applyBorder="1"/>
    <xf numFmtId="3" fontId="0" fillId="35" borderId="22" xfId="0" applyNumberFormat="1" applyFill="1" applyBorder="1"/>
    <xf numFmtId="0" fontId="0" fillId="35" borderId="31" xfId="0" applyFill="1" applyBorder="1"/>
    <xf numFmtId="3" fontId="23" fillId="35" borderId="0" xfId="0" applyNumberFormat="1" applyFont="1" applyFill="1"/>
    <xf numFmtId="0" fontId="78" fillId="35" borderId="0" xfId="0" applyFont="1" applyFill="1"/>
    <xf numFmtId="15" fontId="0" fillId="35" borderId="0" xfId="0" applyNumberFormat="1" applyFill="1"/>
    <xf numFmtId="49" fontId="0" fillId="35" borderId="0" xfId="0" applyNumberFormat="1" applyFill="1" applyAlignment="1">
      <alignment horizontal="center"/>
    </xf>
    <xf numFmtId="0" fontId="68" fillId="0" borderId="0" xfId="0" applyFont="1" applyAlignment="1">
      <alignment horizontal="center"/>
    </xf>
    <xf numFmtId="0" fontId="68" fillId="0" borderId="0" xfId="0" applyFont="1"/>
    <xf numFmtId="0" fontId="68" fillId="24" borderId="0" xfId="0" applyFont="1" applyFill="1"/>
    <xf numFmtId="0" fontId="79" fillId="28" borderId="0" xfId="0" applyFont="1" applyFill="1"/>
    <xf numFmtId="0" fontId="68" fillId="28" borderId="0" xfId="0" applyFont="1" applyFill="1" applyAlignment="1">
      <alignment horizontal="center"/>
    </xf>
    <xf numFmtId="2" fontId="80" fillId="33" borderId="0" xfId="0" applyNumberFormat="1" applyFont="1" applyFill="1"/>
    <xf numFmtId="2" fontId="80" fillId="33" borderId="0" xfId="0" applyNumberFormat="1" applyFont="1" applyFill="1" applyAlignment="1">
      <alignment horizontal="center"/>
    </xf>
    <xf numFmtId="2" fontId="80" fillId="33" borderId="22" xfId="0" applyNumberFormat="1" applyFont="1" applyFill="1" applyBorder="1"/>
    <xf numFmtId="2" fontId="80" fillId="33" borderId="22" xfId="0" applyNumberFormat="1" applyFont="1" applyFill="1" applyBorder="1" applyAlignment="1">
      <alignment horizontal="center"/>
    </xf>
    <xf numFmtId="0" fontId="81" fillId="0" borderId="0" xfId="0" applyFont="1"/>
    <xf numFmtId="0" fontId="80" fillId="28" borderId="0" xfId="0" applyFont="1" applyFill="1"/>
    <xf numFmtId="0" fontId="82" fillId="24" borderId="31" xfId="68" applyFont="1" applyFill="1" applyBorder="1" applyAlignment="1">
      <alignment horizontal="right"/>
    </xf>
    <xf numFmtId="0" fontId="82" fillId="24" borderId="31" xfId="68" applyFont="1" applyFill="1" applyBorder="1" applyAlignment="1">
      <alignment horizontal="center"/>
    </xf>
    <xf numFmtId="0" fontId="83" fillId="24" borderId="0" xfId="0" applyFont="1" applyFill="1" applyAlignment="1">
      <alignment horizontal="right"/>
    </xf>
    <xf numFmtId="166" fontId="83" fillId="24" borderId="0" xfId="0" applyNumberFormat="1" applyFont="1" applyFill="1"/>
    <xf numFmtId="0" fontId="83" fillId="24" borderId="0" xfId="68" applyFont="1" applyFill="1" applyAlignment="1">
      <alignment horizontal="center"/>
    </xf>
    <xf numFmtId="166" fontId="84" fillId="24" borderId="0" xfId="0" applyNumberFormat="1" applyFont="1" applyFill="1"/>
    <xf numFmtId="0" fontId="83" fillId="24" borderId="22" xfId="0" applyFont="1" applyFill="1" applyBorder="1" applyAlignment="1">
      <alignment horizontal="right"/>
    </xf>
    <xf numFmtId="166" fontId="83" fillId="24" borderId="22" xfId="0" applyNumberFormat="1" applyFont="1" applyFill="1" applyBorder="1"/>
    <xf numFmtId="166" fontId="84" fillId="24" borderId="22" xfId="0" applyNumberFormat="1" applyFont="1" applyFill="1" applyBorder="1"/>
    <xf numFmtId="0" fontId="83" fillId="24" borderId="22" xfId="68" applyFont="1" applyFill="1" applyBorder="1" applyAlignment="1">
      <alignment horizontal="center"/>
    </xf>
    <xf numFmtId="0" fontId="83" fillId="24" borderId="0" xfId="0" applyFont="1" applyFill="1"/>
    <xf numFmtId="0" fontId="83" fillId="24" borderId="31" xfId="68" applyFont="1" applyFill="1" applyBorder="1"/>
    <xf numFmtId="0" fontId="82" fillId="24" borderId="31" xfId="68" applyFont="1" applyFill="1" applyBorder="1"/>
    <xf numFmtId="0" fontId="83" fillId="24" borderId="0" xfId="68" applyFont="1" applyFill="1" applyAlignment="1">
      <alignment horizontal="right"/>
    </xf>
    <xf numFmtId="2" fontId="83" fillId="24" borderId="0" xfId="68" applyNumberFormat="1" applyFont="1" applyFill="1"/>
    <xf numFmtId="0" fontId="83" fillId="24" borderId="0" xfId="68" applyFont="1" applyFill="1"/>
    <xf numFmtId="2" fontId="83" fillId="24" borderId="0" xfId="0" applyNumberFormat="1" applyFont="1" applyFill="1"/>
    <xf numFmtId="2" fontId="83" fillId="0" borderId="0" xfId="67" applyNumberFormat="1" applyFont="1"/>
    <xf numFmtId="0" fontId="83" fillId="0" borderId="0" xfId="68" applyFont="1" applyAlignment="1">
      <alignment horizontal="right"/>
    </xf>
    <xf numFmtId="2" fontId="83" fillId="0" borderId="0" xfId="68" applyNumberFormat="1" applyFont="1"/>
    <xf numFmtId="0" fontId="82" fillId="24" borderId="0" xfId="68" applyFont="1" applyFill="1" applyAlignment="1">
      <alignment horizontal="right"/>
    </xf>
    <xf numFmtId="0" fontId="82" fillId="24" borderId="0" xfId="68" applyFont="1" applyFill="1"/>
    <xf numFmtId="166" fontId="84" fillId="24" borderId="0" xfId="0" applyNumberFormat="1" applyFont="1" applyFill="1" applyAlignment="1">
      <alignment horizontal="right"/>
    </xf>
    <xf numFmtId="2" fontId="83" fillId="24" borderId="0" xfId="0" applyNumberFormat="1" applyFont="1" applyFill="1" applyAlignment="1">
      <alignment horizontal="right"/>
    </xf>
    <xf numFmtId="167" fontId="83" fillId="24" borderId="22" xfId="0" applyNumberFormat="1" applyFont="1" applyFill="1" applyBorder="1" applyAlignment="1">
      <alignment horizontal="right"/>
    </xf>
    <xf numFmtId="0" fontId="83" fillId="24" borderId="22" xfId="68" applyFont="1" applyFill="1" applyBorder="1"/>
    <xf numFmtId="0" fontId="82" fillId="24" borderId="0" xfId="0" applyFont="1" applyFill="1" applyAlignment="1">
      <alignment horizontal="right"/>
    </xf>
    <xf numFmtId="167" fontId="83" fillId="24" borderId="0" xfId="0" applyNumberFormat="1" applyFont="1" applyFill="1" applyAlignment="1">
      <alignment horizontal="right"/>
    </xf>
    <xf numFmtId="166" fontId="83" fillId="24" borderId="0" xfId="0" applyNumberFormat="1" applyFont="1" applyFill="1" applyAlignment="1">
      <alignment horizontal="right"/>
    </xf>
    <xf numFmtId="0" fontId="83" fillId="0" borderId="0" xfId="68" applyFont="1" applyAlignment="1">
      <alignment horizontal="center"/>
    </xf>
    <xf numFmtId="0" fontId="83" fillId="0" borderId="0" xfId="68" applyFont="1"/>
    <xf numFmtId="166" fontId="83" fillId="24" borderId="22" xfId="0" applyNumberFormat="1" applyFont="1" applyFill="1" applyBorder="1" applyAlignment="1">
      <alignment horizontal="right"/>
    </xf>
    <xf numFmtId="173" fontId="84" fillId="24" borderId="0" xfId="0" applyNumberFormat="1" applyFont="1" applyFill="1" applyAlignment="1">
      <alignment horizontal="right"/>
    </xf>
    <xf numFmtId="173" fontId="83" fillId="24" borderId="0" xfId="0" applyNumberFormat="1" applyFont="1" applyFill="1" applyAlignment="1">
      <alignment horizontal="right"/>
    </xf>
    <xf numFmtId="2" fontId="84" fillId="24" borderId="0" xfId="0" applyNumberFormat="1" applyFont="1" applyFill="1"/>
    <xf numFmtId="1" fontId="84" fillId="24" borderId="0" xfId="0" applyNumberFormat="1" applyFont="1" applyFill="1" applyAlignment="1">
      <alignment horizontal="right"/>
    </xf>
    <xf numFmtId="1" fontId="83" fillId="24" borderId="0" xfId="0" applyNumberFormat="1" applyFont="1" applyFill="1" applyAlignment="1">
      <alignment horizontal="right"/>
    </xf>
    <xf numFmtId="2" fontId="79" fillId="33" borderId="22" xfId="0" applyNumberFormat="1" applyFont="1" applyFill="1" applyBorder="1"/>
    <xf numFmtId="166" fontId="86" fillId="24" borderId="0" xfId="0" applyNumberFormat="1" applyFont="1" applyFill="1"/>
    <xf numFmtId="0" fontId="87" fillId="24" borderId="0" xfId="0" applyFont="1" applyFill="1" applyAlignment="1">
      <alignment horizontal="center"/>
    </xf>
    <xf numFmtId="0" fontId="87" fillId="24" borderId="22" xfId="0" applyFont="1" applyFill="1" applyBorder="1" applyAlignment="1">
      <alignment horizontal="center"/>
    </xf>
    <xf numFmtId="0" fontId="63" fillId="35" borderId="43" xfId="0" applyFont="1" applyFill="1" applyBorder="1" applyAlignment="1">
      <alignment horizontal="center"/>
    </xf>
    <xf numFmtId="3" fontId="0" fillId="35" borderId="0" xfId="0" applyNumberFormat="1" applyFill="1" applyAlignment="1">
      <alignment horizontal="center" vertical="center"/>
    </xf>
    <xf numFmtId="3" fontId="0" fillId="35" borderId="22" xfId="0" applyNumberFormat="1" applyFill="1" applyBorder="1" applyAlignment="1">
      <alignment horizontal="center" vertical="center"/>
    </xf>
    <xf numFmtId="169" fontId="23" fillId="35" borderId="22" xfId="0" applyNumberFormat="1" applyFont="1" applyFill="1" applyBorder="1" applyAlignment="1">
      <alignment horizontal="center"/>
    </xf>
    <xf numFmtId="4" fontId="23" fillId="35" borderId="22" xfId="0" applyNumberFormat="1" applyFont="1" applyFill="1" applyBorder="1" applyAlignment="1">
      <alignment horizontal="center"/>
    </xf>
    <xf numFmtId="3" fontId="23" fillId="35" borderId="33" xfId="0" applyNumberFormat="1" applyFont="1" applyFill="1" applyBorder="1" applyAlignment="1">
      <alignment horizontal="center" vertical="center"/>
    </xf>
    <xf numFmtId="0" fontId="65" fillId="35" borderId="0" xfId="0" applyFont="1" applyFill="1"/>
    <xf numFmtId="169" fontId="0" fillId="0" borderId="0" xfId="0" applyNumberFormat="1"/>
    <xf numFmtId="3" fontId="23" fillId="35" borderId="0" xfId="0" applyNumberFormat="1" applyFont="1" applyFill="1" applyAlignment="1">
      <alignment horizontal="center"/>
    </xf>
    <xf numFmtId="4" fontId="0" fillId="35" borderId="43" xfId="0" applyNumberFormat="1" applyFill="1" applyBorder="1" applyAlignment="1">
      <alignment horizontal="center"/>
    </xf>
    <xf numFmtId="0" fontId="45" fillId="0" borderId="42" xfId="0" applyFont="1" applyBorder="1" applyAlignment="1">
      <alignment vertical="center"/>
    </xf>
    <xf numFmtId="0" fontId="0" fillId="0" borderId="42" xfId="0" applyBorder="1" applyAlignment="1">
      <alignment horizontal="right"/>
    </xf>
    <xf numFmtId="3" fontId="46" fillId="35" borderId="22" xfId="0" applyNumberFormat="1" applyFont="1" applyFill="1" applyBorder="1" applyAlignment="1">
      <alignment horizontal="center"/>
    </xf>
    <xf numFmtId="4" fontId="46" fillId="35" borderId="22" xfId="0" applyNumberFormat="1" applyFont="1" applyFill="1" applyBorder="1" applyAlignment="1">
      <alignment horizontal="center"/>
    </xf>
    <xf numFmtId="3" fontId="46" fillId="35" borderId="22" xfId="0" applyNumberFormat="1" applyFont="1" applyFill="1" applyBorder="1" applyAlignment="1">
      <alignment horizontal="center" vertical="center"/>
    </xf>
    <xf numFmtId="0" fontId="0" fillId="35" borderId="0" xfId="0" applyFill="1" applyAlignment="1">
      <alignment horizontal="left" vertical="center" wrapText="1"/>
    </xf>
    <xf numFmtId="9" fontId="0" fillId="35" borderId="0" xfId="0" applyNumberFormat="1" applyFill="1" applyAlignment="1">
      <alignment horizontal="right" vertical="center" wrapText="1"/>
    </xf>
    <xf numFmtId="9" fontId="0" fillId="35" borderId="22" xfId="0" applyNumberFormat="1" applyFill="1" applyBorder="1" applyAlignment="1">
      <alignment horizontal="right" vertical="center" wrapText="1"/>
    </xf>
    <xf numFmtId="0" fontId="90" fillId="35" borderId="0" xfId="0" applyFont="1" applyFill="1" applyAlignment="1">
      <alignment horizontal="left" vertical="center"/>
    </xf>
    <xf numFmtId="167" fontId="23" fillId="35" borderId="38" xfId="0" applyNumberFormat="1" applyFont="1" applyFill="1" applyBorder="1" applyAlignment="1">
      <alignment horizontal="center"/>
    </xf>
    <xf numFmtId="167" fontId="23" fillId="35" borderId="22" xfId="0" applyNumberFormat="1" applyFont="1" applyFill="1" applyBorder="1" applyAlignment="1">
      <alignment horizontal="center"/>
    </xf>
    <xf numFmtId="0" fontId="0" fillId="35" borderId="45" xfId="0" applyFill="1" applyBorder="1" applyAlignment="1">
      <alignment horizontal="right"/>
    </xf>
    <xf numFmtId="2" fontId="0" fillId="35" borderId="0" xfId="0" applyNumberFormat="1" applyFill="1" applyAlignment="1">
      <alignment horizontal="right"/>
    </xf>
    <xf numFmtId="2" fontId="0" fillId="35" borderId="22" xfId="0" applyNumberFormat="1" applyFill="1" applyBorder="1" applyAlignment="1">
      <alignment horizontal="right"/>
    </xf>
    <xf numFmtId="0" fontId="0" fillId="35" borderId="42" xfId="0" applyFill="1" applyBorder="1" applyAlignment="1">
      <alignment horizontal="right"/>
    </xf>
    <xf numFmtId="2" fontId="23" fillId="35" borderId="22" xfId="0" applyNumberFormat="1" applyFont="1" applyFill="1" applyBorder="1" applyAlignment="1">
      <alignment horizontal="right"/>
    </xf>
    <xf numFmtId="0" fontId="0" fillId="35" borderId="0" xfId="0" applyFill="1" applyAlignment="1">
      <alignment horizontal="left" vertical="center"/>
    </xf>
    <xf numFmtId="0" fontId="91" fillId="0" borderId="0" xfId="87" applyFont="1" applyAlignment="1">
      <alignment horizontal="left" vertical="center"/>
    </xf>
    <xf numFmtId="0" fontId="91" fillId="0" borderId="0" xfId="87" applyFont="1" applyAlignment="1">
      <alignment horizontal="centerContinuous" vertical="center"/>
    </xf>
    <xf numFmtId="0" fontId="92" fillId="0" borderId="0" xfId="87" applyFont="1" applyAlignment="1">
      <alignment vertical="center"/>
    </xf>
    <xf numFmtId="0" fontId="3" fillId="0" borderId="0" xfId="87" applyAlignment="1">
      <alignment vertical="center"/>
    </xf>
    <xf numFmtId="3" fontId="0" fillId="0" borderId="0" xfId="88" applyFont="1" applyAlignment="1">
      <alignment vertical="center"/>
    </xf>
    <xf numFmtId="0" fontId="3" fillId="0" borderId="0" xfId="87" applyAlignment="1">
      <alignment horizontal="left" vertical="center"/>
    </xf>
    <xf numFmtId="0" fontId="94" fillId="0" borderId="22" xfId="87" applyFont="1" applyBorder="1" applyAlignment="1">
      <alignment horizontal="center" vertical="center"/>
    </xf>
    <xf numFmtId="0" fontId="94" fillId="0" borderId="0" xfId="87" applyFont="1" applyAlignment="1">
      <alignment horizontal="center" vertical="center"/>
    </xf>
    <xf numFmtId="0" fontId="91" fillId="37" borderId="32" xfId="87" applyFont="1" applyFill="1" applyBorder="1" applyAlignment="1">
      <alignment horizontal="centerContinuous" vertical="center"/>
    </xf>
    <xf numFmtId="0" fontId="91" fillId="37" borderId="33" xfId="87" applyFont="1" applyFill="1" applyBorder="1" applyAlignment="1">
      <alignment horizontal="centerContinuous" vertical="center"/>
    </xf>
    <xf numFmtId="0" fontId="91" fillId="37" borderId="34" xfId="87" applyFont="1" applyFill="1" applyBorder="1" applyAlignment="1">
      <alignment horizontal="centerContinuous" vertical="center"/>
    </xf>
    <xf numFmtId="0" fontId="82" fillId="37" borderId="40" xfId="89" applyFont="1" applyFill="1" applyBorder="1" applyAlignment="1">
      <alignment horizontal="centerContinuous" vertical="center"/>
    </xf>
    <xf numFmtId="0" fontId="82" fillId="38" borderId="32" xfId="87" applyFont="1" applyFill="1" applyBorder="1" applyAlignment="1">
      <alignment horizontal="centerContinuous" vertical="center"/>
    </xf>
    <xf numFmtId="0" fontId="98" fillId="0" borderId="0" xfId="87" applyFont="1" applyAlignment="1">
      <alignment vertical="center"/>
    </xf>
    <xf numFmtId="0" fontId="82" fillId="37" borderId="36" xfId="89" applyFont="1" applyFill="1" applyBorder="1" applyAlignment="1">
      <alignment horizontal="center" vertical="center" wrapText="1"/>
    </xf>
    <xf numFmtId="3" fontId="83" fillId="0" borderId="51" xfId="90" applyNumberFormat="1" applyFont="1" applyFill="1" applyBorder="1" applyAlignment="1">
      <alignment horizontal="left" vertical="center"/>
    </xf>
    <xf numFmtId="3" fontId="92" fillId="0" borderId="51" xfId="90" applyNumberFormat="1" applyFont="1" applyFill="1" applyBorder="1" applyAlignment="1">
      <alignment horizontal="left" vertical="center"/>
    </xf>
    <xf numFmtId="3" fontId="83" fillId="0" borderId="36" xfId="90" applyNumberFormat="1" applyFont="1" applyFill="1" applyBorder="1" applyAlignment="1">
      <alignment horizontal="left" vertical="center"/>
    </xf>
    <xf numFmtId="3" fontId="83" fillId="0" borderId="36" xfId="90" applyNumberFormat="1" applyFont="1" applyFill="1" applyBorder="1" applyAlignment="1">
      <alignment horizontal="center" vertical="center"/>
    </xf>
    <xf numFmtId="0" fontId="83" fillId="0" borderId="36" xfId="89" applyFont="1" applyBorder="1" applyAlignment="1">
      <alignment horizontal="left" vertical="center"/>
    </xf>
    <xf numFmtId="170" fontId="83" fillId="0" borderId="36" xfId="90" applyNumberFormat="1" applyFont="1" applyFill="1" applyBorder="1" applyAlignment="1">
      <alignment horizontal="center" vertical="center"/>
    </xf>
    <xf numFmtId="3" fontId="83" fillId="0" borderId="36" xfId="89" applyNumberFormat="1" applyFont="1" applyBorder="1" applyAlignment="1">
      <alignment horizontal="center" vertical="center"/>
    </xf>
    <xf numFmtId="0" fontId="101" fillId="0" borderId="0" xfId="87" applyFont="1" applyAlignment="1">
      <alignment vertical="center"/>
    </xf>
    <xf numFmtId="3" fontId="83" fillId="0" borderId="36" xfId="89" quotePrefix="1" applyNumberFormat="1" applyFont="1" applyBorder="1" applyAlignment="1">
      <alignment horizontal="center" vertical="center"/>
    </xf>
    <xf numFmtId="168" fontId="83" fillId="0" borderId="36" xfId="102" applyNumberFormat="1" applyFont="1" applyBorder="1" applyAlignment="1">
      <alignment horizontal="center" vertical="center"/>
    </xf>
    <xf numFmtId="9" fontId="83" fillId="0" borderId="36" xfId="102" applyFont="1" applyBorder="1" applyAlignment="1">
      <alignment horizontal="center" vertical="center"/>
    </xf>
    <xf numFmtId="10" fontId="83" fillId="0" borderId="36" xfId="102" applyNumberFormat="1" applyFont="1" applyBorder="1" applyAlignment="1">
      <alignment horizontal="center" vertical="center"/>
    </xf>
    <xf numFmtId="0" fontId="3" fillId="0" borderId="36" xfId="87" applyBorder="1" applyAlignment="1">
      <alignment vertical="center"/>
    </xf>
    <xf numFmtId="3" fontId="83" fillId="0" borderId="52" xfId="90" applyNumberFormat="1" applyFont="1" applyFill="1" applyBorder="1" applyAlignment="1">
      <alignment horizontal="center" vertical="center"/>
    </xf>
    <xf numFmtId="0" fontId="83" fillId="0" borderId="37" xfId="89" applyFont="1" applyBorder="1">
      <alignment vertical="center"/>
    </xf>
    <xf numFmtId="0" fontId="83" fillId="0" borderId="37" xfId="89" applyFont="1" applyBorder="1" applyAlignment="1">
      <alignment horizontal="left" vertical="center"/>
    </xf>
    <xf numFmtId="0" fontId="92" fillId="0" borderId="37" xfId="89" applyFont="1" applyBorder="1" applyAlignment="1">
      <alignment horizontal="left" vertical="center"/>
    </xf>
    <xf numFmtId="0" fontId="82" fillId="0" borderId="0" xfId="91" applyFont="1" applyAlignment="1">
      <alignment vertical="center"/>
    </xf>
    <xf numFmtId="0" fontId="104" fillId="0" borderId="0" xfId="87" applyFont="1" applyAlignment="1">
      <alignment vertical="center"/>
    </xf>
    <xf numFmtId="0" fontId="3" fillId="0" borderId="0" xfId="87" quotePrefix="1" applyAlignment="1">
      <alignment vertical="center" wrapText="1"/>
    </xf>
    <xf numFmtId="0" fontId="92" fillId="0" borderId="0" xfId="87" quotePrefix="1" applyFont="1" applyAlignment="1">
      <alignment vertical="center" wrapText="1"/>
    </xf>
    <xf numFmtId="9" fontId="0" fillId="0" borderId="0" xfId="102" applyFont="1" applyAlignment="1">
      <alignment vertical="center"/>
    </xf>
    <xf numFmtId="166" fontId="86" fillId="24" borderId="0" xfId="0" applyNumberFormat="1" applyFont="1" applyFill="1" applyAlignment="1">
      <alignment horizontal="right"/>
    </xf>
    <xf numFmtId="49" fontId="111" fillId="0" borderId="0" xfId="97" applyNumberFormat="1" applyFont="1" applyAlignment="1">
      <alignment vertical="center"/>
    </xf>
    <xf numFmtId="49" fontId="11" fillId="0" borderId="0" xfId="97" applyNumberFormat="1" applyFont="1" applyAlignment="1">
      <alignment horizontal="left" vertical="center"/>
    </xf>
    <xf numFmtId="0" fontId="11" fillId="0" borderId="31" xfId="97" applyFont="1" applyBorder="1" applyAlignment="1">
      <alignment horizontal="center" vertical="center" wrapText="1"/>
    </xf>
    <xf numFmtId="0" fontId="111" fillId="0" borderId="67" xfId="97" applyFont="1" applyBorder="1" applyAlignment="1">
      <alignment horizontal="left" vertical="center" wrapText="1"/>
    </xf>
    <xf numFmtId="0" fontId="111" fillId="0" borderId="67" xfId="97" applyFont="1" applyBorder="1" applyAlignment="1">
      <alignment horizontal="left" vertical="center"/>
    </xf>
    <xf numFmtId="0" fontId="111" fillId="0" borderId="68" xfId="97" applyFont="1" applyBorder="1" applyAlignment="1">
      <alignment horizontal="left" vertical="center"/>
    </xf>
    <xf numFmtId="0" fontId="111" fillId="0" borderId="69" xfId="97" applyFont="1" applyBorder="1" applyAlignment="1">
      <alignment horizontal="left" vertical="center" wrapText="1"/>
    </xf>
    <xf numFmtId="0" fontId="111" fillId="0" borderId="69" xfId="97" applyFont="1" applyBorder="1" applyAlignment="1">
      <alignment horizontal="left" vertical="center"/>
    </xf>
    <xf numFmtId="0" fontId="111" fillId="0" borderId="70" xfId="97" applyFont="1" applyBorder="1" applyAlignment="1">
      <alignment horizontal="left" vertical="center"/>
    </xf>
    <xf numFmtId="0" fontId="11" fillId="0" borderId="65" xfId="97" applyFont="1" applyBorder="1" applyAlignment="1">
      <alignment horizontal="center" vertical="center" wrapText="1"/>
    </xf>
    <xf numFmtId="0" fontId="111" fillId="0" borderId="65" xfId="97" applyFont="1" applyBorder="1" applyAlignment="1">
      <alignment horizontal="center" vertical="center" wrapText="1"/>
    </xf>
    <xf numFmtId="0" fontId="11" fillId="0" borderId="71" xfId="97" applyFont="1" applyBorder="1" applyAlignment="1">
      <alignment horizontal="left" vertical="center" wrapText="1"/>
    </xf>
    <xf numFmtId="0" fontId="11" fillId="0" borderId="72" xfId="97" applyFont="1" applyBorder="1" applyAlignment="1">
      <alignment horizontal="left" vertical="center" wrapText="1"/>
    </xf>
    <xf numFmtId="0" fontId="111" fillId="0" borderId="68" xfId="97" applyFont="1" applyBorder="1" applyAlignment="1">
      <alignment horizontal="left" vertical="center" wrapText="1"/>
    </xf>
    <xf numFmtId="0" fontId="111" fillId="0" borderId="70" xfId="97" applyFont="1" applyBorder="1" applyAlignment="1">
      <alignment horizontal="left" vertical="center" wrapText="1"/>
    </xf>
    <xf numFmtId="3" fontId="114" fillId="0" borderId="74" xfId="96" applyNumberFormat="1" applyFont="1" applyBorder="1" applyAlignment="1">
      <alignment horizontal="center" vertical="center" wrapText="1"/>
    </xf>
    <xf numFmtId="49" fontId="111" fillId="0" borderId="54" xfId="97" applyNumberFormat="1" applyFont="1" applyBorder="1" applyAlignment="1">
      <alignment vertical="center"/>
    </xf>
    <xf numFmtId="0" fontId="120" fillId="0" borderId="45" xfId="97" applyFont="1" applyBorder="1" applyAlignment="1">
      <alignment horizontal="right" vertical="center"/>
    </xf>
    <xf numFmtId="3" fontId="120" fillId="0" borderId="45" xfId="97" applyNumberFormat="1" applyFont="1" applyBorder="1" applyAlignment="1">
      <alignment horizontal="right" vertical="center"/>
    </xf>
    <xf numFmtId="0" fontId="120" fillId="0" borderId="0" xfId="97" applyFont="1" applyAlignment="1">
      <alignment horizontal="right" vertical="center"/>
    </xf>
    <xf numFmtId="3" fontId="120" fillId="0" borderId="0" xfId="97" applyNumberFormat="1" applyFont="1" applyAlignment="1">
      <alignment horizontal="right" vertical="center"/>
    </xf>
    <xf numFmtId="0" fontId="120" fillId="0" borderId="54" xfId="97" applyFont="1" applyBorder="1" applyAlignment="1">
      <alignment horizontal="right" vertical="center"/>
    </xf>
    <xf numFmtId="3" fontId="120" fillId="0" borderId="54" xfId="97" applyNumberFormat="1" applyFont="1" applyBorder="1" applyAlignment="1">
      <alignment horizontal="right" vertical="center"/>
    </xf>
    <xf numFmtId="0" fontId="115" fillId="0" borderId="0" xfId="96" applyFont="1" applyAlignment="1">
      <alignment vertical="center"/>
    </xf>
    <xf numFmtId="0" fontId="111" fillId="0" borderId="0" xfId="96" applyFont="1" applyAlignment="1">
      <alignment horizontal="left" vertical="center"/>
    </xf>
    <xf numFmtId="4" fontId="116" fillId="0" borderId="65" xfId="96" applyNumberFormat="1" applyFont="1" applyBorder="1" applyAlignment="1">
      <alignment horizontal="right" vertical="center" shrinkToFit="1"/>
    </xf>
    <xf numFmtId="0" fontId="111" fillId="0" borderId="31" xfId="96" applyFont="1" applyBorder="1" applyAlignment="1">
      <alignment horizontal="left" vertical="center"/>
    </xf>
    <xf numFmtId="0" fontId="120" fillId="0" borderId="31" xfId="96" applyFont="1" applyBorder="1" applyAlignment="1">
      <alignment horizontal="left" vertical="center"/>
    </xf>
    <xf numFmtId="0" fontId="111" fillId="0" borderId="0" xfId="96" applyFont="1" applyAlignment="1">
      <alignment vertical="center"/>
    </xf>
    <xf numFmtId="0" fontId="115" fillId="0" borderId="0" xfId="96" applyFont="1" applyAlignment="1">
      <alignment horizontal="left" vertical="center"/>
    </xf>
    <xf numFmtId="0" fontId="114" fillId="0" borderId="0" xfId="96" applyFont="1" applyAlignment="1">
      <alignment horizontal="left" vertical="center"/>
    </xf>
    <xf numFmtId="3" fontId="114" fillId="0" borderId="0" xfId="96" applyNumberFormat="1" applyFont="1" applyAlignment="1">
      <alignment horizontal="left" vertical="center"/>
    </xf>
    <xf numFmtId="3" fontId="37" fillId="0" borderId="65" xfId="96" applyNumberFormat="1" applyFont="1" applyBorder="1" applyAlignment="1">
      <alignment horizontal="right" vertical="center"/>
    </xf>
    <xf numFmtId="173" fontId="37" fillId="0" borderId="73" xfId="96" applyNumberFormat="1" applyFont="1" applyBorder="1" applyAlignment="1">
      <alignment horizontal="right" vertical="center"/>
    </xf>
    <xf numFmtId="0" fontId="37" fillId="0" borderId="0" xfId="96" applyFont="1" applyAlignment="1">
      <alignment horizontal="left" vertical="center"/>
    </xf>
    <xf numFmtId="0" fontId="11" fillId="0" borderId="0" xfId="96" applyFont="1" applyAlignment="1">
      <alignment horizontal="left" vertical="center"/>
    </xf>
    <xf numFmtId="0" fontId="121" fillId="0" borderId="0" xfId="96" applyFont="1" applyAlignment="1">
      <alignment horizontal="left" vertical="center"/>
    </xf>
    <xf numFmtId="173" fontId="111" fillId="0" borderId="0" xfId="96" applyNumberFormat="1" applyFont="1" applyAlignment="1">
      <alignment horizontal="left" vertical="center"/>
    </xf>
    <xf numFmtId="0" fontId="74" fillId="0" borderId="0" xfId="96" applyFont="1" applyAlignment="1">
      <alignment horizontal="left" vertical="center"/>
    </xf>
    <xf numFmtId="3" fontId="74" fillId="0" borderId="0" xfId="96" applyNumberFormat="1" applyFont="1" applyAlignment="1">
      <alignment horizontal="left" vertical="center"/>
    </xf>
    <xf numFmtId="173" fontId="114" fillId="0" borderId="0" xfId="96" applyNumberFormat="1" applyFont="1" applyAlignment="1">
      <alignment horizontal="left" vertical="center"/>
    </xf>
    <xf numFmtId="3" fontId="37" fillId="0" borderId="0" xfId="96" applyNumberFormat="1" applyFont="1" applyAlignment="1">
      <alignment horizontal="left" vertical="center"/>
    </xf>
    <xf numFmtId="166" fontId="114" fillId="0" borderId="0" xfId="96" applyNumberFormat="1" applyFont="1" applyAlignment="1">
      <alignment horizontal="right" vertical="center"/>
    </xf>
    <xf numFmtId="3" fontId="114" fillId="0" borderId="0" xfId="96" applyNumberFormat="1" applyFont="1" applyAlignment="1">
      <alignment horizontal="right" vertical="center"/>
    </xf>
    <xf numFmtId="49" fontId="37" fillId="0" borderId="0" xfId="96" applyNumberFormat="1" applyFont="1" applyAlignment="1">
      <alignment horizontal="left" vertical="center"/>
    </xf>
    <xf numFmtId="0" fontId="25" fillId="0" borderId="0" xfId="97" applyFont="1" applyAlignment="1">
      <alignment horizontal="left" vertical="center"/>
    </xf>
    <xf numFmtId="0" fontId="111" fillId="0" borderId="0" xfId="97" applyFont="1" applyAlignment="1">
      <alignment horizontal="left" vertical="center" wrapText="1"/>
    </xf>
    <xf numFmtId="0" fontId="26" fillId="0" borderId="0" xfId="97" applyFont="1" applyAlignment="1">
      <alignment horizontal="left" vertical="center"/>
    </xf>
    <xf numFmtId="0" fontId="11" fillId="0" borderId="60" xfId="97" applyFont="1" applyBorder="1" applyAlignment="1">
      <alignment horizontal="left" vertical="center"/>
    </xf>
    <xf numFmtId="0" fontId="11" fillId="0" borderId="33" xfId="97" applyFont="1" applyBorder="1" applyAlignment="1">
      <alignment horizontal="left" vertical="center" wrapText="1"/>
    </xf>
    <xf numFmtId="0" fontId="111" fillId="0" borderId="65" xfId="97" applyFont="1" applyBorder="1" applyAlignment="1">
      <alignment horizontal="left" vertical="center" wrapText="1"/>
    </xf>
    <xf numFmtId="0" fontId="11" fillId="0" borderId="65" xfId="97" applyFont="1" applyBorder="1" applyAlignment="1">
      <alignment horizontal="left" vertical="center" wrapText="1"/>
    </xf>
    <xf numFmtId="3" fontId="111" fillId="0" borderId="65" xfId="97" applyNumberFormat="1" applyFont="1" applyBorder="1" applyAlignment="1">
      <alignment horizontal="right" vertical="center" wrapText="1" shrinkToFit="1"/>
    </xf>
    <xf numFmtId="166" fontId="111" fillId="0" borderId="65" xfId="97" applyNumberFormat="1" applyFont="1" applyBorder="1" applyAlignment="1">
      <alignment horizontal="right" vertical="center" wrapText="1" shrinkToFit="1"/>
    </xf>
    <xf numFmtId="0" fontId="111" fillId="0" borderId="69" xfId="97" applyFont="1" applyBorder="1" applyAlignment="1">
      <alignment horizontal="center" vertical="center" wrapText="1"/>
    </xf>
    <xf numFmtId="0" fontId="111" fillId="0" borderId="67" xfId="97" applyFont="1" applyBorder="1" applyAlignment="1">
      <alignment horizontal="center" vertical="center" wrapText="1"/>
    </xf>
    <xf numFmtId="0" fontId="111" fillId="0" borderId="66" xfId="97" applyFont="1" applyBorder="1" applyAlignment="1">
      <alignment horizontal="center" vertical="center" wrapText="1"/>
    </xf>
    <xf numFmtId="0" fontId="11" fillId="0" borderId="72" xfId="97" applyFont="1" applyBorder="1" applyAlignment="1">
      <alignment horizontal="left" vertical="center"/>
    </xf>
    <xf numFmtId="0" fontId="11" fillId="0" borderId="73" xfId="97" applyFont="1" applyBorder="1" applyAlignment="1">
      <alignment horizontal="left" vertical="center" wrapText="1"/>
    </xf>
    <xf numFmtId="0" fontId="11" fillId="0" borderId="73" xfId="97" applyFont="1" applyBorder="1" applyAlignment="1">
      <alignment horizontal="center" vertical="center" wrapText="1"/>
    </xf>
    <xf numFmtId="0" fontId="11" fillId="0" borderId="71" xfId="97" applyFont="1" applyBorder="1" applyAlignment="1">
      <alignment horizontal="center" vertical="center" wrapText="1"/>
    </xf>
    <xf numFmtId="0" fontId="52" fillId="0" borderId="65" xfId="97" applyFont="1" applyBorder="1" applyAlignment="1">
      <alignment horizontal="center" vertical="center" wrapText="1"/>
    </xf>
    <xf numFmtId="167" fontId="113" fillId="0" borderId="65" xfId="97" applyNumberFormat="1" applyFont="1" applyBorder="1" applyAlignment="1">
      <alignment horizontal="right" vertical="center" wrapText="1" shrinkToFit="1"/>
    </xf>
    <xf numFmtId="0" fontId="111" fillId="0" borderId="0" xfId="97" applyFont="1" applyAlignment="1">
      <alignment horizontal="left" vertical="center"/>
    </xf>
    <xf numFmtId="49" fontId="11" fillId="0" borderId="31" xfId="97" applyNumberFormat="1" applyFont="1" applyBorder="1" applyAlignment="1">
      <alignment vertical="center"/>
    </xf>
    <xf numFmtId="0" fontId="11" fillId="0" borderId="31" xfId="97" applyFont="1" applyBorder="1" applyAlignment="1">
      <alignment vertical="center"/>
    </xf>
    <xf numFmtId="49" fontId="111" fillId="0" borderId="45" xfId="97" applyNumberFormat="1" applyFont="1" applyBorder="1" applyAlignment="1">
      <alignment vertical="center"/>
    </xf>
    <xf numFmtId="49" fontId="11" fillId="0" borderId="22" xfId="97" applyNumberFormat="1" applyFont="1" applyBorder="1" applyAlignment="1">
      <alignment vertical="center"/>
    </xf>
    <xf numFmtId="0" fontId="120" fillId="0" borderId="22" xfId="97" applyFont="1" applyBorder="1" applyAlignment="1">
      <alignment horizontal="right" vertical="center"/>
    </xf>
    <xf numFmtId="3" fontId="120" fillId="0" borderId="22" xfId="97" applyNumberFormat="1" applyFont="1" applyBorder="1" applyAlignment="1">
      <alignment horizontal="right" vertical="center"/>
    </xf>
    <xf numFmtId="49" fontId="11" fillId="0" borderId="54" xfId="97" applyNumberFormat="1" applyFont="1" applyBorder="1" applyAlignment="1">
      <alignment horizontal="left" vertical="center"/>
    </xf>
    <xf numFmtId="49" fontId="11" fillId="0" borderId="0" xfId="97" applyNumberFormat="1" applyFont="1" applyAlignment="1">
      <alignment vertical="center"/>
    </xf>
    <xf numFmtId="49" fontId="111" fillId="0" borderId="0" xfId="97" applyNumberFormat="1" applyFont="1" applyAlignment="1">
      <alignment horizontal="left" vertical="center"/>
    </xf>
    <xf numFmtId="49" fontId="11" fillId="0" borderId="22" xfId="97" applyNumberFormat="1" applyFont="1" applyBorder="1" applyAlignment="1">
      <alignment horizontal="left" vertical="center"/>
    </xf>
    <xf numFmtId="49" fontId="111" fillId="0" borderId="22" xfId="97" applyNumberFormat="1" applyFont="1" applyBorder="1" applyAlignment="1">
      <alignment horizontal="left" vertical="center"/>
    </xf>
    <xf numFmtId="49" fontId="111" fillId="0" borderId="54" xfId="97" applyNumberFormat="1" applyFont="1" applyBorder="1" applyAlignment="1">
      <alignment horizontal="left" vertical="center"/>
    </xf>
    <xf numFmtId="3" fontId="111" fillId="0" borderId="0" xfId="97" applyNumberFormat="1" applyFont="1" applyAlignment="1">
      <alignment horizontal="left" vertical="center"/>
    </xf>
    <xf numFmtId="3" fontId="37" fillId="0" borderId="59" xfId="96" applyNumberFormat="1" applyFont="1" applyBorder="1" applyAlignment="1">
      <alignment horizontal="center" vertical="center" wrapText="1"/>
    </xf>
    <xf numFmtId="0" fontId="114" fillId="0" borderId="59" xfId="96" applyFont="1" applyBorder="1" applyAlignment="1">
      <alignment horizontal="center" vertical="center" wrapText="1"/>
    </xf>
    <xf numFmtId="167" fontId="111" fillId="0" borderId="0" xfId="96" applyNumberFormat="1" applyFont="1" applyAlignment="1">
      <alignment horizontal="left" vertical="center"/>
    </xf>
    <xf numFmtId="167" fontId="114" fillId="0" borderId="0" xfId="96" applyNumberFormat="1" applyFont="1" applyAlignment="1">
      <alignment horizontal="right" vertical="center"/>
    </xf>
    <xf numFmtId="167" fontId="111" fillId="0" borderId="0" xfId="97" applyNumberFormat="1" applyFont="1" applyAlignment="1">
      <alignment horizontal="left" vertical="center" wrapText="1"/>
    </xf>
    <xf numFmtId="167" fontId="11" fillId="0" borderId="33" xfId="97" applyNumberFormat="1" applyFont="1" applyBorder="1" applyAlignment="1">
      <alignment horizontal="left" vertical="center" wrapText="1"/>
    </xf>
    <xf numFmtId="167" fontId="11" fillId="0" borderId="65" xfId="97" applyNumberFormat="1" applyFont="1" applyBorder="1" applyAlignment="1">
      <alignment horizontal="center" vertical="center" wrapText="1"/>
    </xf>
    <xf numFmtId="167" fontId="111" fillId="0" borderId="65" xfId="97" applyNumberFormat="1" applyFont="1" applyBorder="1" applyAlignment="1">
      <alignment horizontal="right" vertical="center" wrapText="1" shrinkToFit="1"/>
    </xf>
    <xf numFmtId="167" fontId="111" fillId="0" borderId="67" xfId="97" applyNumberFormat="1" applyFont="1" applyBorder="1" applyAlignment="1">
      <alignment horizontal="center" vertical="center" wrapText="1"/>
    </xf>
    <xf numFmtId="167" fontId="11" fillId="0" borderId="73" xfId="97" applyNumberFormat="1" applyFont="1" applyBorder="1" applyAlignment="1">
      <alignment horizontal="center" vertical="center" wrapText="1"/>
    </xf>
    <xf numFmtId="169" fontId="121" fillId="0" borderId="0" xfId="96" applyNumberFormat="1" applyFont="1" applyAlignment="1">
      <alignment horizontal="left" vertical="center"/>
    </xf>
    <xf numFmtId="0" fontId="111" fillId="0" borderId="75" xfId="97" applyFont="1" applyBorder="1" applyAlignment="1">
      <alignment horizontal="center" vertical="center" wrapText="1"/>
    </xf>
    <xf numFmtId="167" fontId="111" fillId="0" borderId="65" xfId="97" applyNumberFormat="1" applyFont="1" applyBorder="1" applyAlignment="1">
      <alignment horizontal="center" vertical="center" wrapText="1"/>
    </xf>
    <xf numFmtId="167" fontId="120" fillId="0" borderId="65" xfId="97" applyNumberFormat="1" applyFont="1" applyBorder="1" applyAlignment="1">
      <alignment horizontal="center" vertical="center" wrapText="1" shrinkToFit="1"/>
    </xf>
    <xf numFmtId="167" fontId="120" fillId="0" borderId="65" xfId="97" applyNumberFormat="1" applyFont="1" applyBorder="1" applyAlignment="1">
      <alignment horizontal="right" vertical="center" wrapText="1" shrinkToFit="1"/>
    </xf>
    <xf numFmtId="167" fontId="111" fillId="0" borderId="69" xfId="97" applyNumberFormat="1" applyFont="1" applyBorder="1" applyAlignment="1">
      <alignment horizontal="center" vertical="center" wrapText="1"/>
    </xf>
    <xf numFmtId="167" fontId="111" fillId="0" borderId="69" xfId="97" applyNumberFormat="1" applyFont="1" applyBorder="1" applyAlignment="1">
      <alignment horizontal="left" vertical="center" wrapText="1"/>
    </xf>
    <xf numFmtId="167" fontId="111" fillId="0" borderId="67" xfId="97" applyNumberFormat="1" applyFont="1" applyBorder="1" applyAlignment="1">
      <alignment horizontal="left" vertical="center" wrapText="1"/>
    </xf>
    <xf numFmtId="179" fontId="114" fillId="0" borderId="59" xfId="96" applyNumberFormat="1" applyFont="1" applyBorder="1" applyAlignment="1">
      <alignment horizontal="right" vertical="center"/>
    </xf>
    <xf numFmtId="179" fontId="114" fillId="0" borderId="71" xfId="96" applyNumberFormat="1" applyFont="1" applyBorder="1" applyAlignment="1">
      <alignment horizontal="right" vertical="center" shrinkToFit="1"/>
    </xf>
    <xf numFmtId="4" fontId="119" fillId="0" borderId="0" xfId="96" applyNumberFormat="1" applyFont="1" applyAlignment="1">
      <alignment vertical="center" shrinkToFit="1"/>
    </xf>
    <xf numFmtId="3" fontId="119" fillId="0" borderId="0" xfId="96" applyNumberFormat="1" applyFont="1" applyAlignment="1">
      <alignment horizontal="right" vertical="center"/>
    </xf>
    <xf numFmtId="0" fontId="2" fillId="35" borderId="0" xfId="98" applyFill="1"/>
    <xf numFmtId="0" fontId="83" fillId="35" borderId="0" xfId="98" applyFont="1" applyFill="1"/>
    <xf numFmtId="0" fontId="127" fillId="35" borderId="0" xfId="98" applyFont="1" applyFill="1"/>
    <xf numFmtId="0" fontId="82" fillId="35" borderId="0" xfId="98" applyFont="1" applyFill="1" applyAlignment="1">
      <alignment horizontal="right"/>
    </xf>
    <xf numFmtId="0" fontId="83" fillId="35" borderId="0" xfId="98" applyFont="1" applyFill="1" applyAlignment="1">
      <alignment horizontal="right"/>
    </xf>
    <xf numFmtId="166" fontId="83" fillId="35" borderId="0" xfId="98" applyNumberFormat="1" applyFont="1" applyFill="1"/>
    <xf numFmtId="167" fontId="83" fillId="35" borderId="0" xfId="98" applyNumberFormat="1" applyFont="1" applyFill="1" applyAlignment="1">
      <alignment horizontal="center" vertical="center"/>
    </xf>
    <xf numFmtId="167" fontId="83" fillId="35" borderId="0" xfId="98" applyNumberFormat="1" applyFont="1" applyFill="1"/>
    <xf numFmtId="2" fontId="83" fillId="35" borderId="0" xfId="98" applyNumberFormat="1" applyFont="1" applyFill="1" applyAlignment="1">
      <alignment horizontal="center"/>
    </xf>
    <xf numFmtId="1" fontId="83" fillId="35" borderId="0" xfId="98" applyNumberFormat="1" applyFont="1" applyFill="1" applyAlignment="1">
      <alignment horizontal="center"/>
    </xf>
    <xf numFmtId="0" fontId="130" fillId="35" borderId="0" xfId="98" applyFont="1" applyFill="1"/>
    <xf numFmtId="0" fontId="131" fillId="35" borderId="0" xfId="98" applyFont="1" applyFill="1"/>
    <xf numFmtId="0" fontId="132" fillId="35" borderId="0" xfId="99" applyFont="1" applyFill="1"/>
    <xf numFmtId="0" fontId="82" fillId="35" borderId="0" xfId="98" applyFont="1" applyFill="1"/>
    <xf numFmtId="0" fontId="82" fillId="35" borderId="12" xfId="98" applyFont="1" applyFill="1" applyBorder="1" applyAlignment="1">
      <alignment horizontal="center" wrapText="1"/>
    </xf>
    <xf numFmtId="0" fontId="82" fillId="35" borderId="13" xfId="98" applyFont="1" applyFill="1" applyBorder="1" applyAlignment="1">
      <alignment horizontal="center" wrapText="1"/>
    </xf>
    <xf numFmtId="0" fontId="82" fillId="35" borderId="0" xfId="98" applyFont="1" applyFill="1" applyAlignment="1">
      <alignment horizontal="center" wrapText="1"/>
    </xf>
    <xf numFmtId="0" fontId="83" fillId="35" borderId="76" xfId="98" applyFont="1" applyFill="1" applyBorder="1"/>
    <xf numFmtId="0" fontId="83" fillId="35" borderId="59" xfId="98" applyFont="1" applyFill="1" applyBorder="1"/>
    <xf numFmtId="0" fontId="83" fillId="35" borderId="77" xfId="98" applyFont="1" applyFill="1" applyBorder="1"/>
    <xf numFmtId="0" fontId="83" fillId="35" borderId="78" xfId="98" applyFont="1" applyFill="1" applyBorder="1"/>
    <xf numFmtId="0" fontId="83" fillId="35" borderId="79" xfId="98" applyFont="1" applyFill="1" applyBorder="1"/>
    <xf numFmtId="0" fontId="83" fillId="35" borderId="80" xfId="98" applyFont="1" applyFill="1" applyBorder="1"/>
    <xf numFmtId="0" fontId="83" fillId="35" borderId="12" xfId="98" applyFont="1" applyFill="1" applyBorder="1"/>
    <xf numFmtId="0" fontId="82" fillId="35" borderId="11" xfId="98" applyFont="1" applyFill="1" applyBorder="1" applyAlignment="1">
      <alignment horizontal="center" wrapText="1"/>
    </xf>
    <xf numFmtId="9" fontId="83" fillId="35" borderId="76" xfId="98" applyNumberFormat="1" applyFont="1" applyFill="1" applyBorder="1"/>
    <xf numFmtId="9" fontId="83" fillId="35" borderId="78" xfId="98" applyNumberFormat="1" applyFont="1" applyFill="1" applyBorder="1"/>
    <xf numFmtId="0" fontId="82" fillId="35" borderId="28" xfId="98" applyFont="1" applyFill="1" applyBorder="1" applyAlignment="1">
      <alignment horizontal="center" wrapText="1"/>
    </xf>
    <xf numFmtId="0" fontId="82" fillId="35" borderId="25" xfId="98" applyFont="1" applyFill="1" applyBorder="1" applyAlignment="1">
      <alignment horizontal="center" wrapText="1"/>
    </xf>
    <xf numFmtId="0" fontId="83" fillId="35" borderId="61" xfId="98" applyFont="1" applyFill="1" applyBorder="1"/>
    <xf numFmtId="0" fontId="83" fillId="35" borderId="81" xfId="98" applyFont="1" applyFill="1" applyBorder="1"/>
    <xf numFmtId="0" fontId="83" fillId="35" borderId="56" xfId="98" applyFont="1" applyFill="1" applyBorder="1"/>
    <xf numFmtId="0" fontId="83" fillId="35" borderId="83" xfId="98" applyFont="1" applyFill="1" applyBorder="1"/>
    <xf numFmtId="2" fontId="83" fillId="35" borderId="0" xfId="98" applyNumberFormat="1" applyFont="1" applyFill="1"/>
    <xf numFmtId="0" fontId="82" fillId="35" borderId="29" xfId="98" applyFont="1" applyFill="1" applyBorder="1" applyAlignment="1">
      <alignment horizontal="center" wrapText="1"/>
    </xf>
    <xf numFmtId="1" fontId="83" fillId="35" borderId="79" xfId="98" applyNumberFormat="1" applyFont="1" applyFill="1" applyBorder="1"/>
    <xf numFmtId="0" fontId="128" fillId="35" borderId="84" xfId="98" applyFont="1" applyFill="1" applyBorder="1"/>
    <xf numFmtId="0" fontId="83" fillId="35" borderId="52" xfId="98" applyFont="1" applyFill="1" applyBorder="1"/>
    <xf numFmtId="167" fontId="83" fillId="35" borderId="0" xfId="98" applyNumberFormat="1" applyFont="1" applyFill="1" applyAlignment="1">
      <alignment horizontal="center"/>
    </xf>
    <xf numFmtId="0" fontId="124" fillId="35" borderId="0" xfId="98" applyFont="1" applyFill="1"/>
    <xf numFmtId="0" fontId="134" fillId="35" borderId="0" xfId="98" applyFont="1" applyFill="1"/>
    <xf numFmtId="9" fontId="83" fillId="35" borderId="0" xfId="98" applyNumberFormat="1" applyFont="1" applyFill="1"/>
    <xf numFmtId="3" fontId="83" fillId="35" borderId="0" xfId="98" applyNumberFormat="1" applyFont="1" applyFill="1"/>
    <xf numFmtId="180" fontId="46" fillId="35" borderId="0" xfId="100" applyNumberFormat="1" applyFont="1" applyFill="1"/>
    <xf numFmtId="181" fontId="83" fillId="35" borderId="0" xfId="98" applyNumberFormat="1" applyFont="1" applyFill="1"/>
    <xf numFmtId="0" fontId="83" fillId="35" borderId="0" xfId="98" applyFont="1" applyFill="1" applyAlignment="1">
      <alignment horizontal="center"/>
    </xf>
    <xf numFmtId="10" fontId="83" fillId="35" borderId="0" xfId="98" applyNumberFormat="1" applyFont="1" applyFill="1" applyAlignment="1">
      <alignment horizontal="center"/>
    </xf>
    <xf numFmtId="9" fontId="83" fillId="35" borderId="0" xfId="98" applyNumberFormat="1" applyFont="1" applyFill="1" applyAlignment="1">
      <alignment horizontal="center"/>
    </xf>
    <xf numFmtId="181" fontId="83" fillId="35" borderId="0" xfId="98" applyNumberFormat="1" applyFont="1" applyFill="1" applyAlignment="1">
      <alignment horizontal="center"/>
    </xf>
    <xf numFmtId="3" fontId="83" fillId="35" borderId="0" xfId="98" applyNumberFormat="1" applyFont="1" applyFill="1" applyAlignment="1">
      <alignment horizontal="center"/>
    </xf>
    <xf numFmtId="0" fontId="83" fillId="35" borderId="31" xfId="98" applyFont="1" applyFill="1" applyBorder="1"/>
    <xf numFmtId="9" fontId="83" fillId="35" borderId="31" xfId="98" applyNumberFormat="1" applyFont="1" applyFill="1" applyBorder="1" applyAlignment="1">
      <alignment horizontal="center" wrapText="1"/>
    </xf>
    <xf numFmtId="0" fontId="83" fillId="35" borderId="31" xfId="98" applyFont="1" applyFill="1" applyBorder="1" applyAlignment="1">
      <alignment horizontal="center" wrapText="1"/>
    </xf>
    <xf numFmtId="10" fontId="83" fillId="35" borderId="43" xfId="98" applyNumberFormat="1" applyFont="1" applyFill="1" applyBorder="1" applyAlignment="1">
      <alignment horizontal="center"/>
    </xf>
    <xf numFmtId="181" fontId="83" fillId="35" borderId="43" xfId="98" applyNumberFormat="1" applyFont="1" applyFill="1" applyBorder="1" applyAlignment="1">
      <alignment horizontal="center"/>
    </xf>
    <xf numFmtId="3" fontId="83" fillId="35" borderId="43" xfId="98" applyNumberFormat="1" applyFont="1" applyFill="1" applyBorder="1" applyAlignment="1">
      <alignment horizontal="center"/>
    </xf>
    <xf numFmtId="169" fontId="83" fillId="35" borderId="43" xfId="98" applyNumberFormat="1" applyFont="1" applyFill="1" applyBorder="1" applyAlignment="1">
      <alignment horizontal="center"/>
    </xf>
    <xf numFmtId="167" fontId="83" fillId="35" borderId="43" xfId="98" applyNumberFormat="1" applyFont="1" applyFill="1" applyBorder="1" applyAlignment="1">
      <alignment horizontal="center"/>
    </xf>
    <xf numFmtId="169" fontId="83" fillId="35" borderId="0" xfId="98" applyNumberFormat="1" applyFont="1" applyFill="1" applyAlignment="1">
      <alignment horizontal="center"/>
    </xf>
    <xf numFmtId="10" fontId="46" fillId="35" borderId="0" xfId="100" applyNumberFormat="1" applyFont="1" applyFill="1" applyAlignment="1">
      <alignment horizontal="center"/>
    </xf>
    <xf numFmtId="0" fontId="82" fillId="35" borderId="31" xfId="98" applyFont="1" applyFill="1" applyBorder="1"/>
    <xf numFmtId="0" fontId="82" fillId="35" borderId="31" xfId="98" applyFont="1" applyFill="1" applyBorder="1" applyAlignment="1">
      <alignment wrapText="1"/>
    </xf>
    <xf numFmtId="0" fontId="83" fillId="35" borderId="33" xfId="98" applyFont="1" applyFill="1" applyBorder="1"/>
    <xf numFmtId="3" fontId="83" fillId="35" borderId="33" xfId="98" applyNumberFormat="1" applyFont="1" applyFill="1" applyBorder="1"/>
    <xf numFmtId="0" fontId="82" fillId="35" borderId="31" xfId="98" applyFont="1" applyFill="1" applyBorder="1" applyAlignment="1">
      <alignment horizontal="center" wrapText="1"/>
    </xf>
    <xf numFmtId="167" fontId="83" fillId="35" borderId="33" xfId="98" applyNumberFormat="1" applyFont="1" applyFill="1" applyBorder="1"/>
    <xf numFmtId="9" fontId="83" fillId="35" borderId="33" xfId="98" applyNumberFormat="1" applyFont="1" applyFill="1" applyBorder="1"/>
    <xf numFmtId="10" fontId="133" fillId="35" borderId="43" xfId="98" applyNumberFormat="1" applyFont="1" applyFill="1" applyBorder="1" applyAlignment="1">
      <alignment horizontal="center"/>
    </xf>
    <xf numFmtId="0" fontId="133" fillId="35" borderId="43" xfId="98" applyFont="1" applyFill="1" applyBorder="1"/>
    <xf numFmtId="9" fontId="133" fillId="35" borderId="43" xfId="98" applyNumberFormat="1" applyFont="1" applyFill="1" applyBorder="1" applyAlignment="1">
      <alignment horizontal="center"/>
    </xf>
    <xf numFmtId="0" fontId="133" fillId="35" borderId="43" xfId="98" applyFont="1" applyFill="1" applyBorder="1" applyAlignment="1">
      <alignment horizontal="center"/>
    </xf>
    <xf numFmtId="0" fontId="27" fillId="0" borderId="85" xfId="0" applyFont="1" applyBorder="1"/>
    <xf numFmtId="173" fontId="27" fillId="24" borderId="0" xfId="0" applyNumberFormat="1" applyFont="1" applyFill="1" applyAlignment="1">
      <alignment horizontal="center"/>
    </xf>
    <xf numFmtId="173" fontId="27" fillId="24" borderId="16" xfId="0" applyNumberFormat="1" applyFont="1" applyFill="1" applyBorder="1" applyAlignment="1">
      <alignment horizontal="center"/>
    </xf>
    <xf numFmtId="173" fontId="28" fillId="24" borderId="25" xfId="0" applyNumberFormat="1" applyFont="1" applyFill="1" applyBorder="1" applyAlignment="1">
      <alignment horizontal="center" wrapText="1"/>
    </xf>
    <xf numFmtId="173" fontId="27" fillId="24" borderId="19" xfId="0" applyNumberFormat="1" applyFont="1" applyFill="1" applyBorder="1" applyAlignment="1">
      <alignment horizontal="center"/>
    </xf>
    <xf numFmtId="173" fontId="28" fillId="24" borderId="23" xfId="0" applyNumberFormat="1" applyFont="1" applyFill="1" applyBorder="1" applyAlignment="1">
      <alignment horizontal="center" wrapText="1"/>
    </xf>
    <xf numFmtId="0" fontId="27" fillId="0" borderId="0" xfId="0" applyFont="1" applyAlignment="1">
      <alignment horizontal="center"/>
    </xf>
    <xf numFmtId="0" fontId="27" fillId="40" borderId="15" xfId="0" applyFont="1" applyFill="1" applyBorder="1"/>
    <xf numFmtId="165" fontId="27" fillId="40" borderId="0" xfId="49" applyNumberFormat="1" applyFont="1" applyFill="1"/>
    <xf numFmtId="165" fontId="32" fillId="41" borderId="0" xfId="49" applyNumberFormat="1" applyFont="1" applyFill="1"/>
    <xf numFmtId="168" fontId="32" fillId="41" borderId="0" xfId="102" applyNumberFormat="1" applyFont="1" applyFill="1"/>
    <xf numFmtId="3" fontId="27" fillId="40" borderId="16" xfId="49" applyNumberFormat="1" applyFont="1" applyFill="1" applyBorder="1"/>
    <xf numFmtId="172" fontId="27" fillId="40" borderId="0" xfId="49" applyNumberFormat="1" applyFont="1" applyFill="1"/>
    <xf numFmtId="166" fontId="27" fillId="40" borderId="17" xfId="49" applyNumberFormat="1" applyFont="1" applyFill="1" applyBorder="1" applyAlignment="1">
      <alignment horizontal="center"/>
    </xf>
    <xf numFmtId="165" fontId="27" fillId="40" borderId="15" xfId="49" applyNumberFormat="1" applyFont="1" applyFill="1" applyBorder="1"/>
    <xf numFmtId="167" fontId="27" fillId="40" borderId="16" xfId="0" applyNumberFormat="1" applyFont="1" applyFill="1" applyBorder="1" applyAlignment="1">
      <alignment horizontal="center"/>
    </xf>
    <xf numFmtId="167" fontId="27" fillId="40" borderId="15" xfId="0" applyNumberFormat="1" applyFont="1" applyFill="1" applyBorder="1" applyAlignment="1">
      <alignment horizontal="center"/>
    </xf>
    <xf numFmtId="3" fontId="27" fillId="40" borderId="0" xfId="0" applyNumberFormat="1" applyFont="1" applyFill="1" applyAlignment="1">
      <alignment horizontal="center" wrapText="1"/>
    </xf>
    <xf numFmtId="173" fontId="27" fillId="40" borderId="16" xfId="0" applyNumberFormat="1" applyFont="1" applyFill="1" applyBorder="1" applyAlignment="1">
      <alignment horizontal="center"/>
    </xf>
    <xf numFmtId="2" fontId="27" fillId="40" borderId="0" xfId="0" applyNumberFormat="1" applyFont="1" applyFill="1" applyAlignment="1">
      <alignment horizontal="center" wrapText="1"/>
    </xf>
    <xf numFmtId="170" fontId="27" fillId="40" borderId="27" xfId="0" applyNumberFormat="1" applyFont="1" applyFill="1" applyBorder="1" applyAlignment="1">
      <alignment horizontal="center" wrapText="1"/>
    </xf>
    <xf numFmtId="0" fontId="27" fillId="40" borderId="0" xfId="0" applyFont="1" applyFill="1"/>
    <xf numFmtId="165" fontId="27" fillId="41" borderId="0" xfId="49" applyNumberFormat="1" applyFont="1" applyFill="1"/>
    <xf numFmtId="168" fontId="27" fillId="41" borderId="0" xfId="102" applyNumberFormat="1" applyFont="1" applyFill="1"/>
    <xf numFmtId="1" fontId="27" fillId="40" borderId="17" xfId="49" applyNumberFormat="1" applyFont="1" applyFill="1" applyBorder="1" applyAlignment="1">
      <alignment horizontal="center"/>
    </xf>
    <xf numFmtId="165" fontId="70" fillId="41" borderId="0" xfId="49" applyNumberFormat="1" applyFont="1" applyFill="1"/>
    <xf numFmtId="168" fontId="70" fillId="41" borderId="0" xfId="102" applyNumberFormat="1" applyFont="1" applyFill="1"/>
    <xf numFmtId="0" fontId="23" fillId="0" borderId="44" xfId="0" applyFont="1" applyBorder="1"/>
    <xf numFmtId="0" fontId="0" fillId="35" borderId="22" xfId="0" applyFill="1" applyBorder="1" applyAlignment="1">
      <alignment horizontal="left" vertical="center" wrapText="1"/>
    </xf>
    <xf numFmtId="0" fontId="90" fillId="0" borderId="0" xfId="0" applyFont="1" applyAlignment="1">
      <alignment horizontal="left" vertical="center"/>
    </xf>
    <xf numFmtId="0" fontId="0" fillId="35" borderId="54" xfId="0" applyFill="1" applyBorder="1"/>
    <xf numFmtId="4" fontId="83" fillId="35" borderId="0" xfId="98" applyNumberFormat="1" applyFont="1" applyFill="1" applyAlignment="1">
      <alignment horizontal="right"/>
    </xf>
    <xf numFmtId="3" fontId="83" fillId="35" borderId="0" xfId="98" applyNumberFormat="1" applyFont="1" applyFill="1" applyAlignment="1">
      <alignment horizontal="right"/>
    </xf>
    <xf numFmtId="0" fontId="46" fillId="35" borderId="0" xfId="0" applyFont="1" applyFill="1" applyAlignment="1">
      <alignment horizontal="center"/>
    </xf>
    <xf numFmtId="0" fontId="83" fillId="35" borderId="0" xfId="98" applyFont="1" applyFill="1" applyAlignment="1">
      <alignment horizontal="left" indent="1"/>
    </xf>
    <xf numFmtId="0" fontId="86" fillId="35" borderId="59" xfId="98" applyFont="1" applyFill="1" applyBorder="1"/>
    <xf numFmtId="0" fontId="86" fillId="35" borderId="77" xfId="98" applyFont="1" applyFill="1" applyBorder="1"/>
    <xf numFmtId="0" fontId="86" fillId="35" borderId="56" xfId="98" applyFont="1" applyFill="1" applyBorder="1"/>
    <xf numFmtId="173" fontId="86" fillId="35" borderId="56" xfId="98" applyNumberFormat="1" applyFont="1" applyFill="1" applyBorder="1"/>
    <xf numFmtId="2" fontId="86" fillId="35" borderId="56" xfId="98" applyNumberFormat="1" applyFont="1" applyFill="1" applyBorder="1"/>
    <xf numFmtId="0" fontId="86" fillId="35" borderId="82" xfId="98" applyFont="1" applyFill="1" applyBorder="1"/>
    <xf numFmtId="0" fontId="86" fillId="35" borderId="79" xfId="98" applyFont="1" applyFill="1" applyBorder="1"/>
    <xf numFmtId="0" fontId="86" fillId="35" borderId="80" xfId="98" applyFont="1" applyFill="1" applyBorder="1"/>
    <xf numFmtId="167" fontId="86" fillId="35" borderId="56" xfId="98" applyNumberFormat="1" applyFont="1" applyFill="1" applyBorder="1"/>
    <xf numFmtId="167" fontId="86" fillId="35" borderId="79" xfId="98" applyNumberFormat="1" applyFont="1" applyFill="1" applyBorder="1"/>
    <xf numFmtId="180" fontId="46" fillId="35" borderId="31" xfId="100" applyNumberFormat="1" applyFont="1" applyFill="1" applyBorder="1"/>
    <xf numFmtId="3" fontId="86" fillId="35" borderId="31" xfId="98" applyNumberFormat="1" applyFont="1" applyFill="1" applyBorder="1"/>
    <xf numFmtId="0" fontId="51" fillId="35" borderId="0" xfId="98" applyFont="1" applyFill="1"/>
    <xf numFmtId="0" fontId="11" fillId="35" borderId="0" xfId="101" applyFill="1"/>
    <xf numFmtId="0" fontId="52" fillId="35" borderId="0" xfId="98" applyFont="1" applyFill="1"/>
    <xf numFmtId="0" fontId="2" fillId="35" borderId="54" xfId="98" applyFill="1" applyBorder="1"/>
    <xf numFmtId="0" fontId="52" fillId="35" borderId="53" xfId="98" applyFont="1" applyFill="1" applyBorder="1"/>
    <xf numFmtId="0" fontId="52" fillId="35" borderId="54" xfId="98" applyFont="1" applyFill="1" applyBorder="1"/>
    <xf numFmtId="0" fontId="52" fillId="35" borderId="56" xfId="98" applyFont="1" applyFill="1" applyBorder="1"/>
    <xf numFmtId="0" fontId="2" fillId="35" borderId="35" xfId="98" applyFill="1" applyBorder="1"/>
    <xf numFmtId="0" fontId="52" fillId="35" borderId="35" xfId="98" applyFont="1" applyFill="1" applyBorder="1"/>
    <xf numFmtId="0" fontId="52" fillId="35" borderId="36" xfId="98" applyFont="1" applyFill="1" applyBorder="1"/>
    <xf numFmtId="0" fontId="52" fillId="35" borderId="54" xfId="98" applyFont="1" applyFill="1" applyBorder="1" applyAlignment="1">
      <alignment horizontal="left"/>
    </xf>
    <xf numFmtId="167" fontId="2" fillId="35" borderId="53" xfId="98" applyNumberFormat="1" applyFill="1" applyBorder="1" applyAlignment="1">
      <alignment horizontal="left"/>
    </xf>
    <xf numFmtId="167" fontId="2" fillId="35" borderId="54" xfId="98" applyNumberFormat="1" applyFill="1" applyBorder="1" applyAlignment="1">
      <alignment horizontal="left"/>
    </xf>
    <xf numFmtId="167" fontId="2" fillId="35" borderId="56" xfId="98" applyNumberFormat="1" applyFill="1" applyBorder="1" applyAlignment="1">
      <alignment horizontal="left"/>
    </xf>
    <xf numFmtId="0" fontId="52" fillId="35" borderId="22" xfId="98" applyFont="1" applyFill="1" applyBorder="1" applyAlignment="1">
      <alignment horizontal="left"/>
    </xf>
    <xf numFmtId="167" fontId="2" fillId="35" borderId="39" xfId="98" applyNumberFormat="1" applyFill="1" applyBorder="1" applyAlignment="1">
      <alignment horizontal="left"/>
    </xf>
    <xf numFmtId="167" fontId="2" fillId="35" borderId="22" xfId="98" applyNumberFormat="1" applyFill="1" applyBorder="1" applyAlignment="1">
      <alignment horizontal="left"/>
    </xf>
    <xf numFmtId="167" fontId="2" fillId="35" borderId="37" xfId="98" applyNumberFormat="1" applyFill="1" applyBorder="1" applyAlignment="1">
      <alignment horizontal="left"/>
    </xf>
    <xf numFmtId="0" fontId="135" fillId="0" borderId="0" xfId="0" applyFont="1"/>
    <xf numFmtId="0" fontId="136" fillId="35" borderId="0" xfId="98" applyFont="1" applyFill="1" applyAlignment="1">
      <alignment horizontal="right"/>
    </xf>
    <xf numFmtId="0" fontId="136" fillId="35" borderId="0" xfId="98" applyFont="1" applyFill="1"/>
    <xf numFmtId="0" fontId="82" fillId="35" borderId="33" xfId="98" applyFont="1" applyFill="1" applyBorder="1"/>
    <xf numFmtId="3" fontId="82" fillId="35" borderId="33" xfId="98" applyNumberFormat="1" applyFont="1" applyFill="1" applyBorder="1"/>
    <xf numFmtId="180" fontId="64" fillId="35" borderId="33" xfId="100" applyNumberFormat="1" applyFont="1" applyFill="1" applyBorder="1"/>
    <xf numFmtId="0" fontId="83" fillId="35" borderId="0" xfId="87" applyFont="1" applyFill="1" applyAlignment="1">
      <alignment horizontal="centerContinuous" vertical="center"/>
    </xf>
    <xf numFmtId="0" fontId="83" fillId="35" borderId="0" xfId="87" applyFont="1" applyFill="1" applyAlignment="1">
      <alignment vertical="center"/>
    </xf>
    <xf numFmtId="3" fontId="83" fillId="35" borderId="0" xfId="88" applyFont="1" applyFill="1" applyAlignment="1">
      <alignment vertical="center"/>
    </xf>
    <xf numFmtId="0" fontId="82" fillId="35" borderId="22" xfId="87" applyFont="1" applyFill="1" applyBorder="1" applyAlignment="1">
      <alignment horizontal="left" vertical="center"/>
    </xf>
    <xf numFmtId="0" fontId="82" fillId="35" borderId="22" xfId="87" applyFont="1" applyFill="1" applyBorder="1" applyAlignment="1">
      <alignment horizontal="center" vertical="center" wrapText="1"/>
    </xf>
    <xf numFmtId="0" fontId="82" fillId="35" borderId="22" xfId="92" applyFont="1" applyFill="1" applyBorder="1" applyAlignment="1">
      <alignment horizontal="center" vertical="center" wrapText="1"/>
    </xf>
    <xf numFmtId="0" fontId="82" fillId="35" borderId="53" xfId="87" applyFont="1" applyFill="1" applyBorder="1" applyAlignment="1">
      <alignment horizontal="centerContinuous" vertical="center"/>
    </xf>
    <xf numFmtId="0" fontId="83" fillId="35" borderId="54" xfId="87" applyFont="1" applyFill="1" applyBorder="1" applyAlignment="1">
      <alignment horizontal="centerContinuous" vertical="center"/>
    </xf>
    <xf numFmtId="0" fontId="83" fillId="35" borderId="55" xfId="87" applyFont="1" applyFill="1" applyBorder="1" applyAlignment="1">
      <alignment horizontal="centerContinuous" vertical="center"/>
    </xf>
    <xf numFmtId="0" fontId="82" fillId="35" borderId="37" xfId="87" applyFont="1" applyFill="1" applyBorder="1" applyAlignment="1">
      <alignment horizontal="centerContinuous" vertical="center"/>
    </xf>
    <xf numFmtId="0" fontId="83" fillId="35" borderId="36" xfId="87" applyFont="1" applyFill="1" applyBorder="1" applyAlignment="1">
      <alignment horizontal="centerContinuous" vertical="center"/>
    </xf>
    <xf numFmtId="0" fontId="100" fillId="35" borderId="0" xfId="87" applyFont="1" applyFill="1" applyAlignment="1">
      <alignment vertical="center"/>
    </xf>
    <xf numFmtId="0" fontId="82" fillId="35" borderId="57" xfId="92" applyFont="1" applyFill="1" applyBorder="1" applyAlignment="1">
      <alignment horizontal="center" vertical="center" wrapText="1"/>
    </xf>
    <xf numFmtId="0" fontId="82" fillId="35" borderId="58" xfId="92" applyFont="1" applyFill="1" applyBorder="1" applyAlignment="1">
      <alignment horizontal="center" vertical="center" wrapText="1"/>
    </xf>
    <xf numFmtId="0" fontId="83" fillId="35" borderId="35" xfId="87" applyFont="1" applyFill="1" applyBorder="1" applyAlignment="1">
      <alignment vertical="center"/>
    </xf>
    <xf numFmtId="0" fontId="83" fillId="35" borderId="36" xfId="87" applyFont="1" applyFill="1" applyBorder="1" applyAlignment="1">
      <alignment vertical="center"/>
    </xf>
    <xf numFmtId="3" fontId="83" fillId="35" borderId="52" xfId="87" applyNumberFormat="1" applyFont="1" applyFill="1" applyBorder="1" applyAlignment="1">
      <alignment horizontal="center" vertical="center"/>
    </xf>
    <xf numFmtId="3" fontId="83" fillId="35" borderId="36" xfId="87" applyNumberFormat="1" applyFont="1" applyFill="1" applyBorder="1" applyAlignment="1">
      <alignment horizontal="center" vertical="center"/>
    </xf>
    <xf numFmtId="9" fontId="83" fillId="35" borderId="51" xfId="102" applyFont="1" applyFill="1" applyBorder="1" applyAlignment="1">
      <alignment horizontal="center" vertical="center"/>
    </xf>
    <xf numFmtId="0" fontId="83" fillId="35" borderId="36" xfId="87" applyFont="1" applyFill="1" applyBorder="1" applyAlignment="1">
      <alignment horizontal="center" vertical="center"/>
    </xf>
    <xf numFmtId="9" fontId="83" fillId="35" borderId="36" xfId="102" applyFont="1" applyFill="1" applyBorder="1" applyAlignment="1">
      <alignment horizontal="center" vertical="center"/>
    </xf>
    <xf numFmtId="0" fontId="83" fillId="35" borderId="39" xfId="87" applyFont="1" applyFill="1" applyBorder="1" applyAlignment="1">
      <alignment vertical="center"/>
    </xf>
    <xf numFmtId="0" fontId="83" fillId="35" borderId="37" xfId="87" applyFont="1" applyFill="1" applyBorder="1" applyAlignment="1">
      <alignment vertical="center"/>
    </xf>
    <xf numFmtId="3" fontId="83" fillId="35" borderId="38" xfId="87" applyNumberFormat="1" applyFont="1" applyFill="1" applyBorder="1" applyAlignment="1">
      <alignment horizontal="center" vertical="center"/>
    </xf>
    <xf numFmtId="3" fontId="83" fillId="35" borderId="37" xfId="87" applyNumberFormat="1" applyFont="1" applyFill="1" applyBorder="1" applyAlignment="1">
      <alignment horizontal="center" vertical="center"/>
    </xf>
    <xf numFmtId="0" fontId="83" fillId="35" borderId="37" xfId="87" applyFont="1" applyFill="1" applyBorder="1" applyAlignment="1">
      <alignment horizontal="center" vertical="center"/>
    </xf>
    <xf numFmtId="9" fontId="83" fillId="35" borderId="37" xfId="102" applyFont="1" applyFill="1" applyBorder="1" applyAlignment="1">
      <alignment horizontal="center" vertical="center"/>
    </xf>
    <xf numFmtId="0" fontId="83" fillId="35" borderId="53" xfId="87" applyFont="1" applyFill="1" applyBorder="1" applyAlignment="1">
      <alignment vertical="center"/>
    </xf>
    <xf numFmtId="0" fontId="83" fillId="35" borderId="56" xfId="87" applyFont="1" applyFill="1" applyBorder="1" applyAlignment="1">
      <alignment vertical="center"/>
    </xf>
    <xf numFmtId="3" fontId="83" fillId="35" borderId="59" xfId="87" applyNumberFormat="1" applyFont="1" applyFill="1" applyBorder="1" applyAlignment="1">
      <alignment horizontal="center" vertical="center"/>
    </xf>
    <xf numFmtId="0" fontId="83" fillId="35" borderId="56" xfId="87" applyFont="1" applyFill="1" applyBorder="1" applyAlignment="1">
      <alignment horizontal="center" vertical="center"/>
    </xf>
    <xf numFmtId="9" fontId="83" fillId="35" borderId="56" xfId="102" applyFont="1" applyFill="1" applyBorder="1" applyAlignment="1">
      <alignment horizontal="center" vertical="center"/>
    </xf>
    <xf numFmtId="0" fontId="83" fillId="35" borderId="60" xfId="87" applyFont="1" applyFill="1" applyBorder="1" applyAlignment="1">
      <alignment vertical="center"/>
    </xf>
    <xf numFmtId="0" fontId="83" fillId="35" borderId="59" xfId="87" applyFont="1" applyFill="1" applyBorder="1" applyAlignment="1">
      <alignment vertical="center"/>
    </xf>
    <xf numFmtId="3" fontId="83" fillId="35" borderId="61" xfId="87" applyNumberFormat="1" applyFont="1" applyFill="1" applyBorder="1" applyAlignment="1">
      <alignment horizontal="center" vertical="center"/>
    </xf>
    <xf numFmtId="9" fontId="83" fillId="35" borderId="59" xfId="102" applyFont="1" applyFill="1" applyBorder="1" applyAlignment="1">
      <alignment horizontal="center" vertical="center"/>
    </xf>
    <xf numFmtId="3" fontId="83" fillId="35" borderId="55" xfId="87" applyNumberFormat="1" applyFont="1" applyFill="1" applyBorder="1" applyAlignment="1">
      <alignment horizontal="center" vertical="center"/>
    </xf>
    <xf numFmtId="3" fontId="83" fillId="35" borderId="56" xfId="87" applyNumberFormat="1" applyFont="1" applyFill="1" applyBorder="1" applyAlignment="1">
      <alignment horizontal="center" vertical="center"/>
    </xf>
    <xf numFmtId="0" fontId="82" fillId="35" borderId="0" xfId="87" applyFont="1" applyFill="1" applyAlignment="1">
      <alignment horizontal="center" vertical="center" wrapText="1"/>
    </xf>
    <xf numFmtId="0" fontId="82" fillId="35" borderId="0" xfId="92" applyFont="1" applyFill="1" applyAlignment="1">
      <alignment horizontal="center" vertical="center" wrapText="1"/>
    </xf>
    <xf numFmtId="0" fontId="82" fillId="35" borderId="54" xfId="92" applyFont="1" applyFill="1" applyBorder="1" applyAlignment="1">
      <alignment horizontal="center" vertical="center" wrapText="1"/>
    </xf>
    <xf numFmtId="0" fontId="82" fillId="35" borderId="0" xfId="87" applyFont="1" applyFill="1" applyAlignment="1">
      <alignment vertical="center"/>
    </xf>
    <xf numFmtId="0" fontId="82" fillId="35" borderId="61" xfId="87" applyFont="1" applyFill="1" applyBorder="1" applyAlignment="1">
      <alignment horizontal="centerContinuous" vertical="center"/>
    </xf>
    <xf numFmtId="0" fontId="83" fillId="35" borderId="59" xfId="87" applyFont="1" applyFill="1" applyBorder="1" applyAlignment="1">
      <alignment horizontal="centerContinuous" vertical="center"/>
    </xf>
    <xf numFmtId="0" fontId="83" fillId="35" borderId="62" xfId="87" applyFont="1" applyFill="1" applyBorder="1" applyAlignment="1">
      <alignment vertical="center"/>
    </xf>
    <xf numFmtId="0" fontId="83" fillId="35" borderId="63" xfId="87" applyFont="1" applyFill="1" applyBorder="1" applyAlignment="1">
      <alignment horizontal="center" vertical="center"/>
    </xf>
    <xf numFmtId="9" fontId="83" fillId="35" borderId="63" xfId="102" applyFont="1" applyFill="1" applyBorder="1" applyAlignment="1">
      <alignment horizontal="center" vertical="center"/>
    </xf>
    <xf numFmtId="9" fontId="83" fillId="35" borderId="64" xfId="102" applyFont="1" applyFill="1" applyBorder="1" applyAlignment="1">
      <alignment horizontal="center" vertical="center"/>
    </xf>
    <xf numFmtId="3" fontId="83" fillId="35" borderId="36" xfId="102" applyNumberFormat="1" applyFont="1" applyFill="1" applyBorder="1" applyAlignment="1">
      <alignment horizontal="center" vertical="center"/>
    </xf>
    <xf numFmtId="177" fontId="83" fillId="35" borderId="52" xfId="102" applyNumberFormat="1" applyFont="1" applyFill="1" applyBorder="1" applyAlignment="1">
      <alignment horizontal="center" vertical="center"/>
    </xf>
    <xf numFmtId="0" fontId="83" fillId="35" borderId="56" xfId="102" applyNumberFormat="1" applyFont="1" applyFill="1" applyBorder="1" applyAlignment="1">
      <alignment horizontal="center" vertical="center"/>
    </xf>
    <xf numFmtId="3" fontId="83" fillId="35" borderId="52" xfId="102" applyNumberFormat="1" applyFont="1" applyFill="1" applyBorder="1" applyAlignment="1">
      <alignment horizontal="center" vertical="center"/>
    </xf>
    <xf numFmtId="171" fontId="83" fillId="35" borderId="52" xfId="102" applyNumberFormat="1" applyFont="1" applyFill="1" applyBorder="1" applyAlignment="1">
      <alignment horizontal="center" vertical="center"/>
    </xf>
    <xf numFmtId="0" fontId="83" fillId="35" borderId="36" xfId="102" applyNumberFormat="1" applyFont="1" applyFill="1" applyBorder="1" applyAlignment="1">
      <alignment horizontal="center" vertical="center"/>
    </xf>
    <xf numFmtId="170" fontId="83" fillId="35" borderId="52" xfId="102" applyNumberFormat="1" applyFont="1" applyFill="1" applyBorder="1" applyAlignment="1">
      <alignment horizontal="center" vertical="center"/>
    </xf>
    <xf numFmtId="4" fontId="83" fillId="35" borderId="52" xfId="102" applyNumberFormat="1" applyFont="1" applyFill="1" applyBorder="1" applyAlignment="1">
      <alignment horizontal="center" vertical="center"/>
    </xf>
    <xf numFmtId="167" fontId="83" fillId="35" borderId="36" xfId="102" applyNumberFormat="1" applyFont="1" applyFill="1" applyBorder="1" applyAlignment="1">
      <alignment horizontal="center" vertical="center"/>
    </xf>
    <xf numFmtId="167" fontId="83" fillId="35" borderId="52" xfId="102" applyNumberFormat="1" applyFont="1" applyFill="1" applyBorder="1" applyAlignment="1">
      <alignment horizontal="center" vertical="center"/>
    </xf>
    <xf numFmtId="2" fontId="83" fillId="35" borderId="36" xfId="102" applyNumberFormat="1" applyFont="1" applyFill="1" applyBorder="1" applyAlignment="1">
      <alignment horizontal="center" vertical="center"/>
    </xf>
    <xf numFmtId="2" fontId="83" fillId="35" borderId="52" xfId="102" applyNumberFormat="1" applyFont="1" applyFill="1" applyBorder="1" applyAlignment="1">
      <alignment horizontal="center" vertical="center"/>
    </xf>
    <xf numFmtId="3" fontId="83" fillId="35" borderId="36" xfId="88" applyFont="1" applyFill="1" applyBorder="1" applyAlignment="1">
      <alignment horizontal="center" vertical="center"/>
    </xf>
    <xf numFmtId="3" fontId="83" fillId="35" borderId="37" xfId="88" applyFont="1" applyFill="1" applyBorder="1" applyAlignment="1">
      <alignment horizontal="center" vertical="center"/>
    </xf>
    <xf numFmtId="167" fontId="83" fillId="35" borderId="37" xfId="102" applyNumberFormat="1" applyFont="1" applyFill="1" applyBorder="1" applyAlignment="1">
      <alignment horizontal="center" vertical="center"/>
    </xf>
    <xf numFmtId="167" fontId="83" fillId="35" borderId="38" xfId="102" applyNumberFormat="1" applyFont="1" applyFill="1" applyBorder="1" applyAlignment="1">
      <alignment horizontal="center" vertical="center"/>
    </xf>
    <xf numFmtId="0" fontId="83" fillId="35" borderId="37" xfId="102" applyNumberFormat="1" applyFont="1" applyFill="1" applyBorder="1" applyAlignment="1">
      <alignment horizontal="center" vertical="center"/>
    </xf>
    <xf numFmtId="0" fontId="82" fillId="35" borderId="58" xfId="87" applyFont="1" applyFill="1" applyBorder="1" applyAlignment="1">
      <alignment vertical="center" wrapText="1"/>
    </xf>
    <xf numFmtId="0" fontId="82" fillId="35" borderId="57" xfId="87" applyFont="1" applyFill="1" applyBorder="1" applyAlignment="1">
      <alignment horizontal="center" vertical="center" wrapText="1"/>
    </xf>
    <xf numFmtId="0" fontId="82" fillId="35" borderId="58" xfId="87" applyFont="1" applyFill="1" applyBorder="1" applyAlignment="1">
      <alignment horizontal="center" vertical="center" wrapText="1"/>
    </xf>
    <xf numFmtId="0" fontId="82" fillId="35" borderId="36" xfId="87" applyFont="1" applyFill="1" applyBorder="1" applyAlignment="1">
      <alignment horizontal="centerContinuous" vertical="center"/>
    </xf>
    <xf numFmtId="0" fontId="82" fillId="35" borderId="52" xfId="87" applyFont="1" applyFill="1" applyBorder="1" applyAlignment="1">
      <alignment horizontal="centerContinuous" vertical="center"/>
    </xf>
    <xf numFmtId="0" fontId="83" fillId="35" borderId="22" xfId="87" applyFont="1" applyFill="1" applyBorder="1" applyAlignment="1">
      <alignment horizontal="centerContinuous" vertical="center"/>
    </xf>
    <xf numFmtId="0" fontId="83" fillId="35" borderId="37" xfId="87" applyFont="1" applyFill="1" applyBorder="1" applyAlignment="1">
      <alignment horizontal="centerContinuous" vertical="center"/>
    </xf>
    <xf numFmtId="171" fontId="83" fillId="35" borderId="0" xfId="87" applyNumberFormat="1" applyFont="1" applyFill="1" applyAlignment="1">
      <alignment vertical="center"/>
    </xf>
    <xf numFmtId="0" fontId="82" fillId="35" borderId="56" xfId="87" applyFont="1" applyFill="1" applyBorder="1" applyAlignment="1">
      <alignment horizontal="centerContinuous" vertical="center"/>
    </xf>
    <xf numFmtId="0" fontId="82" fillId="35" borderId="55" xfId="87" applyFont="1" applyFill="1" applyBorder="1" applyAlignment="1">
      <alignment horizontal="centerContinuous" vertical="center"/>
    </xf>
    <xf numFmtId="0" fontId="83" fillId="35" borderId="56" xfId="87" applyFont="1" applyFill="1" applyBorder="1" applyAlignment="1">
      <alignment horizontal="centerContinuous" vertical="center"/>
    </xf>
    <xf numFmtId="2" fontId="83" fillId="35" borderId="56" xfId="87" applyNumberFormat="1" applyFont="1" applyFill="1" applyBorder="1" applyAlignment="1">
      <alignment horizontal="centerContinuous" vertical="center"/>
    </xf>
    <xf numFmtId="0" fontId="82" fillId="35" borderId="38" xfId="87" applyFont="1" applyFill="1" applyBorder="1" applyAlignment="1">
      <alignment horizontal="centerContinuous" vertical="center"/>
    </xf>
    <xf numFmtId="0" fontId="83" fillId="35" borderId="52" xfId="87" applyFont="1" applyFill="1" applyBorder="1" applyAlignment="1">
      <alignment horizontal="center" vertical="center"/>
    </xf>
    <xf numFmtId="0" fontId="83" fillId="35" borderId="39" xfId="87" applyFont="1" applyFill="1" applyBorder="1" applyAlignment="1">
      <alignment horizontal="centerContinuous" vertical="center"/>
    </xf>
    <xf numFmtId="0" fontId="83" fillId="35" borderId="14" xfId="87" applyFont="1" applyFill="1" applyBorder="1" applyAlignment="1">
      <alignment vertical="center"/>
    </xf>
    <xf numFmtId="0" fontId="83" fillId="35" borderId="20" xfId="87" applyFont="1" applyFill="1" applyBorder="1" applyAlignment="1">
      <alignment vertical="center"/>
    </xf>
    <xf numFmtId="0" fontId="82" fillId="35" borderId="0" xfId="91" applyFont="1" applyFill="1" applyAlignment="1">
      <alignment vertical="center"/>
    </xf>
    <xf numFmtId="0" fontId="83" fillId="35" borderId="0" xfId="91" applyFont="1" applyFill="1" applyAlignment="1">
      <alignment horizontal="left" vertical="center"/>
    </xf>
    <xf numFmtId="0" fontId="83" fillId="35" borderId="0" xfId="91" applyFont="1" applyFill="1" applyAlignment="1">
      <alignment vertical="center" wrapText="1"/>
    </xf>
    <xf numFmtId="0" fontId="83" fillId="35" borderId="0" xfId="93" applyFont="1" applyFill="1" applyAlignment="1">
      <alignment horizontal="right" vertical="center"/>
    </xf>
    <xf numFmtId="3" fontId="83" fillId="35" borderId="0" xfId="93" applyNumberFormat="1" applyFont="1" applyFill="1" applyAlignment="1">
      <alignment horizontal="center" vertical="center"/>
    </xf>
    <xf numFmtId="0" fontId="83" fillId="35" borderId="0" xfId="87" applyFont="1" applyFill="1" applyAlignment="1">
      <alignment horizontal="right" vertical="center"/>
    </xf>
    <xf numFmtId="3" fontId="83" fillId="35" borderId="0" xfId="102" applyNumberFormat="1" applyFont="1" applyFill="1" applyAlignment="1">
      <alignment horizontal="center" vertical="center"/>
    </xf>
    <xf numFmtId="49" fontId="100" fillId="35" borderId="0" xfId="94" quotePrefix="1" applyNumberFormat="1" applyFont="1" applyFill="1" applyAlignment="1">
      <alignment horizontal="left" vertical="center"/>
    </xf>
    <xf numFmtId="168" fontId="83" fillId="35" borderId="0" xfId="95" applyNumberFormat="1" applyFont="1" applyFill="1" applyAlignment="1">
      <alignment horizontal="center" vertical="center"/>
    </xf>
    <xf numFmtId="170" fontId="83" fillId="35" borderId="0" xfId="102" applyNumberFormat="1" applyFont="1" applyFill="1" applyAlignment="1">
      <alignment horizontal="center" vertical="center"/>
    </xf>
    <xf numFmtId="0" fontId="83" fillId="35" borderId="0" xfId="91" applyFont="1" applyFill="1" applyAlignment="1">
      <alignment vertical="center"/>
    </xf>
    <xf numFmtId="0" fontId="83" fillId="35" borderId="0" xfId="94" applyFont="1" applyFill="1" applyAlignment="1">
      <alignment horizontal="left" vertical="center"/>
    </xf>
    <xf numFmtId="0" fontId="83" fillId="35" borderId="0" xfId="87" quotePrefix="1" applyFont="1" applyFill="1" applyAlignment="1">
      <alignment horizontal="left" vertical="center" wrapText="1"/>
    </xf>
    <xf numFmtId="0" fontId="83" fillId="35" borderId="0" xfId="87" applyFont="1" applyFill="1" applyAlignment="1">
      <alignment horizontal="left" vertical="center"/>
    </xf>
    <xf numFmtId="0" fontId="83" fillId="35" borderId="0" xfId="91" quotePrefix="1" applyFont="1" applyFill="1" applyAlignment="1">
      <alignment horizontal="left" vertical="center"/>
    </xf>
    <xf numFmtId="9" fontId="83" fillId="35" borderId="0" xfId="87" applyNumberFormat="1" applyFont="1" applyFill="1" applyAlignment="1">
      <alignment vertical="center"/>
    </xf>
    <xf numFmtId="177" fontId="83" fillId="35" borderId="0" xfId="102" applyNumberFormat="1" applyFont="1" applyFill="1" applyAlignment="1">
      <alignment vertical="center"/>
    </xf>
    <xf numFmtId="0" fontId="134" fillId="35" borderId="0" xfId="87" applyFont="1" applyFill="1" applyAlignment="1">
      <alignment horizontal="left" vertical="center"/>
    </xf>
    <xf numFmtId="172" fontId="83" fillId="35" borderId="51" xfId="87" applyNumberFormat="1" applyFont="1" applyFill="1" applyBorder="1" applyAlignment="1">
      <alignment horizontal="right" vertical="center"/>
    </xf>
    <xf numFmtId="172" fontId="83" fillId="35" borderId="36" xfId="87" applyNumberFormat="1" applyFont="1" applyFill="1" applyBorder="1" applyAlignment="1">
      <alignment horizontal="right" vertical="center"/>
    </xf>
    <xf numFmtId="172" fontId="83" fillId="35" borderId="37" xfId="87" applyNumberFormat="1" applyFont="1" applyFill="1" applyBorder="1" applyAlignment="1">
      <alignment horizontal="right" vertical="center"/>
    </xf>
    <xf numFmtId="172" fontId="83" fillId="35" borderId="56" xfId="87" applyNumberFormat="1" applyFont="1" applyFill="1" applyBorder="1" applyAlignment="1">
      <alignment horizontal="right" vertical="center"/>
    </xf>
    <xf numFmtId="172" fontId="83" fillId="35" borderId="59" xfId="87" applyNumberFormat="1" applyFont="1" applyFill="1" applyBorder="1" applyAlignment="1">
      <alignment horizontal="right" vertical="center"/>
    </xf>
    <xf numFmtId="182" fontId="83" fillId="35" borderId="59" xfId="87" applyNumberFormat="1" applyFont="1" applyFill="1" applyBorder="1" applyAlignment="1">
      <alignment horizontal="right" vertical="center"/>
    </xf>
    <xf numFmtId="182" fontId="83" fillId="35" borderId="0" xfId="87" applyNumberFormat="1" applyFont="1" applyFill="1" applyAlignment="1">
      <alignment horizontal="center" vertical="center"/>
    </xf>
    <xf numFmtId="182" fontId="83" fillId="35" borderId="36" xfId="87" applyNumberFormat="1" applyFont="1" applyFill="1" applyBorder="1" applyAlignment="1">
      <alignment horizontal="center" vertical="center"/>
    </xf>
    <xf numFmtId="182" fontId="82" fillId="35" borderId="36" xfId="87" applyNumberFormat="1" applyFont="1" applyFill="1" applyBorder="1" applyAlignment="1">
      <alignment horizontal="center" vertical="center"/>
    </xf>
    <xf numFmtId="4" fontId="136" fillId="35" borderId="0" xfId="98" applyNumberFormat="1" applyFont="1" applyFill="1" applyAlignment="1">
      <alignment horizontal="right"/>
    </xf>
    <xf numFmtId="3" fontId="136" fillId="35" borderId="0" xfId="98" applyNumberFormat="1" applyFont="1" applyFill="1" applyAlignment="1">
      <alignment horizontal="right"/>
    </xf>
    <xf numFmtId="0" fontId="52" fillId="0" borderId="32" xfId="0" applyFont="1" applyBorder="1"/>
    <xf numFmtId="0" fontId="50" fillId="0" borderId="36" xfId="0" applyFont="1" applyBorder="1" applyAlignment="1">
      <alignment horizontal="center" vertical="center"/>
    </xf>
    <xf numFmtId="0" fontId="52" fillId="0" borderId="40" xfId="0" applyFont="1" applyBorder="1" applyAlignment="1">
      <alignment horizontal="center" vertical="center" wrapText="1"/>
    </xf>
    <xf numFmtId="0" fontId="52" fillId="35" borderId="40" xfId="0" applyFont="1" applyFill="1" applyBorder="1" applyAlignment="1">
      <alignment horizontal="center" vertical="center" wrapText="1"/>
    </xf>
    <xf numFmtId="0" fontId="50" fillId="0" borderId="0" xfId="0" applyFont="1" applyAlignment="1">
      <alignment horizontal="center" vertical="center"/>
    </xf>
    <xf numFmtId="169" fontId="137" fillId="0" borderId="34" xfId="0" applyNumberFormat="1" applyFont="1" applyBorder="1"/>
    <xf numFmtId="0" fontId="23" fillId="35" borderId="0" xfId="0" applyFont="1" applyFill="1" applyAlignment="1">
      <alignment horizontal="left" indent="1"/>
    </xf>
    <xf numFmtId="169" fontId="23" fillId="35" borderId="0" xfId="0" applyNumberFormat="1" applyFont="1" applyFill="1" applyAlignment="1">
      <alignment horizontal="center"/>
    </xf>
    <xf numFmtId="0" fontId="35" fillId="24" borderId="0" xfId="0" applyFont="1" applyFill="1"/>
    <xf numFmtId="3" fontId="0" fillId="0" borderId="33" xfId="0" applyNumberFormat="1" applyBorder="1" applyAlignment="1">
      <alignment horizontal="center"/>
    </xf>
    <xf numFmtId="0" fontId="91" fillId="42" borderId="59" xfId="0" applyFont="1" applyFill="1" applyBorder="1"/>
    <xf numFmtId="0" fontId="139" fillId="0" borderId="36" xfId="0" applyFont="1" applyBorder="1" applyAlignment="1">
      <alignment horizontal="left" indent="1"/>
    </xf>
    <xf numFmtId="0" fontId="91" fillId="42" borderId="56" xfId="0" applyFont="1" applyFill="1" applyBorder="1"/>
    <xf numFmtId="0" fontId="139" fillId="0" borderId="37" xfId="0" applyFont="1" applyBorder="1" applyAlignment="1">
      <alignment horizontal="left" indent="1"/>
    </xf>
    <xf numFmtId="0" fontId="91" fillId="42" borderId="56" xfId="0" applyFont="1" applyFill="1" applyBorder="1" applyAlignment="1">
      <alignment horizontal="left"/>
    </xf>
    <xf numFmtId="0" fontId="91" fillId="42" borderId="36" xfId="0" applyFont="1" applyFill="1" applyBorder="1" applyAlignment="1">
      <alignment horizontal="left"/>
    </xf>
    <xf numFmtId="0" fontId="139" fillId="0" borderId="50" xfId="0" applyFont="1" applyBorder="1" applyAlignment="1">
      <alignment horizontal="left" indent="1"/>
    </xf>
    <xf numFmtId="0" fontId="140" fillId="43" borderId="37" xfId="0" applyFont="1" applyFill="1" applyBorder="1" applyAlignment="1">
      <alignment horizontal="left"/>
    </xf>
    <xf numFmtId="0" fontId="140" fillId="43" borderId="91" xfId="0" applyFont="1" applyFill="1" applyBorder="1" applyAlignment="1">
      <alignment horizontal="center" wrapText="1"/>
    </xf>
    <xf numFmtId="3" fontId="91" fillId="42" borderId="59" xfId="0" applyNumberFormat="1" applyFont="1" applyFill="1" applyBorder="1"/>
    <xf numFmtId="3" fontId="139" fillId="0" borderId="35" xfId="0" applyNumberFormat="1" applyFont="1" applyBorder="1"/>
    <xf numFmtId="3" fontId="91" fillId="42" borderId="53" xfId="0" applyNumberFormat="1" applyFont="1" applyFill="1" applyBorder="1"/>
    <xf numFmtId="3" fontId="139" fillId="0" borderId="39" xfId="0" applyNumberFormat="1" applyFont="1" applyBorder="1"/>
    <xf numFmtId="3" fontId="91" fillId="42" borderId="35" xfId="0" applyNumberFormat="1" applyFont="1" applyFill="1" applyBorder="1"/>
    <xf numFmtId="0" fontId="139" fillId="0" borderId="49" xfId="0" applyFont="1" applyBorder="1"/>
    <xf numFmtId="0" fontId="140" fillId="43" borderId="39" xfId="0" applyFont="1" applyFill="1" applyBorder="1"/>
    <xf numFmtId="0" fontId="140" fillId="43" borderId="93" xfId="0" applyFont="1" applyFill="1" applyBorder="1" applyAlignment="1">
      <alignment horizontal="center" wrapText="1"/>
    </xf>
    <xf numFmtId="10" fontId="91" fillId="42" borderId="59" xfId="0" applyNumberFormat="1" applyFont="1" applyFill="1" applyBorder="1"/>
    <xf numFmtId="181" fontId="91" fillId="42" borderId="59" xfId="0" applyNumberFormat="1" applyFont="1" applyFill="1" applyBorder="1"/>
    <xf numFmtId="10" fontId="139" fillId="0" borderId="0" xfId="0" applyNumberFormat="1" applyFont="1"/>
    <xf numFmtId="0" fontId="91" fillId="42" borderId="54" xfId="0" applyFont="1" applyFill="1" applyBorder="1"/>
    <xf numFmtId="181" fontId="0" fillId="0" borderId="0" xfId="102" applyNumberFormat="1" applyFont="1"/>
    <xf numFmtId="181" fontId="0" fillId="0" borderId="22" xfId="102" applyNumberFormat="1" applyFont="1" applyBorder="1"/>
    <xf numFmtId="0" fontId="139" fillId="0" borderId="22" xfId="0" applyFont="1" applyBorder="1"/>
    <xf numFmtId="0" fontId="139" fillId="0" borderId="0" xfId="0" applyFont="1"/>
    <xf numFmtId="0" fontId="91" fillId="42" borderId="0" xfId="0" applyFont="1" applyFill="1"/>
    <xf numFmtId="0" fontId="139" fillId="0" borderId="44" xfId="0" applyFont="1" applyBorder="1"/>
    <xf numFmtId="0" fontId="140" fillId="43" borderId="22" xfId="0" applyFont="1" applyFill="1" applyBorder="1"/>
    <xf numFmtId="0" fontId="140" fillId="43" borderId="95" xfId="0" applyFont="1" applyFill="1" applyBorder="1" applyAlignment="1">
      <alignment horizontal="center" wrapText="1"/>
    </xf>
    <xf numFmtId="3" fontId="139" fillId="0" borderId="52" xfId="0" applyNumberFormat="1" applyFont="1" applyBorder="1"/>
    <xf numFmtId="3" fontId="91" fillId="42" borderId="55" xfId="0" applyNumberFormat="1" applyFont="1" applyFill="1" applyBorder="1"/>
    <xf numFmtId="3" fontId="0" fillId="0" borderId="52" xfId="0" applyNumberFormat="1" applyBorder="1"/>
    <xf numFmtId="3" fontId="0" fillId="0" borderId="38" xfId="0" applyNumberFormat="1" applyBorder="1"/>
    <xf numFmtId="0" fontId="139" fillId="0" borderId="38" xfId="0" applyFont="1" applyBorder="1"/>
    <xf numFmtId="0" fontId="139" fillId="0" borderId="52" xfId="0" applyFont="1" applyBorder="1"/>
    <xf numFmtId="3" fontId="91" fillId="42" borderId="52" xfId="0" applyNumberFormat="1" applyFont="1" applyFill="1" applyBorder="1"/>
    <xf numFmtId="0" fontId="139" fillId="0" borderId="96" xfId="0" applyFont="1" applyBorder="1"/>
    <xf numFmtId="3" fontId="140" fillId="43" borderId="38" xfId="0" applyNumberFormat="1" applyFont="1" applyFill="1" applyBorder="1"/>
    <xf numFmtId="0" fontId="139" fillId="0" borderId="35" xfId="0" applyFont="1" applyBorder="1"/>
    <xf numFmtId="3" fontId="139" fillId="0" borderId="49" xfId="0" applyNumberFormat="1" applyFont="1" applyBorder="1"/>
    <xf numFmtId="3" fontId="139" fillId="0" borderId="0" xfId="0" applyNumberFormat="1" applyFont="1"/>
    <xf numFmtId="3" fontId="91" fillId="42" borderId="54" xfId="0" applyNumberFormat="1" applyFont="1" applyFill="1" applyBorder="1"/>
    <xf numFmtId="3" fontId="139" fillId="0" borderId="38" xfId="0" applyNumberFormat="1" applyFont="1" applyBorder="1"/>
    <xf numFmtId="3" fontId="139" fillId="0" borderId="96" xfId="0" applyNumberFormat="1" applyFont="1" applyBorder="1"/>
    <xf numFmtId="0" fontId="23" fillId="0" borderId="31" xfId="0" applyFont="1" applyBorder="1" applyAlignment="1">
      <alignment wrapText="1"/>
    </xf>
    <xf numFmtId="3" fontId="139" fillId="35" borderId="38" xfId="0" applyNumberFormat="1" applyFont="1" applyFill="1" applyBorder="1"/>
    <xf numFmtId="3" fontId="141" fillId="0" borderId="0" xfId="0" applyNumberFormat="1" applyFont="1"/>
    <xf numFmtId="0" fontId="141" fillId="0" borderId="0" xfId="0" applyFont="1"/>
    <xf numFmtId="0" fontId="142" fillId="43" borderId="91" xfId="0" applyFont="1" applyFill="1" applyBorder="1" applyAlignment="1">
      <alignment horizontal="center" wrapText="1"/>
    </xf>
    <xf numFmtId="0" fontId="142" fillId="43" borderId="93" xfId="0" applyFont="1" applyFill="1" applyBorder="1" applyAlignment="1">
      <alignment horizontal="center" wrapText="1"/>
    </xf>
    <xf numFmtId="0" fontId="142" fillId="43" borderId="95" xfId="0" applyFont="1" applyFill="1" applyBorder="1" applyAlignment="1">
      <alignment horizontal="center" wrapText="1"/>
    </xf>
    <xf numFmtId="3" fontId="142" fillId="42" borderId="59" xfId="0" applyNumberFormat="1" applyFont="1" applyFill="1" applyBorder="1"/>
    <xf numFmtId="10" fontId="142" fillId="42" borderId="59" xfId="0" applyNumberFormat="1" applyFont="1" applyFill="1" applyBorder="1"/>
    <xf numFmtId="181" fontId="142" fillId="42" borderId="59" xfId="0" applyNumberFormat="1" applyFont="1" applyFill="1" applyBorder="1"/>
    <xf numFmtId="3" fontId="143" fillId="0" borderId="35" xfId="0" applyNumberFormat="1" applyFont="1" applyBorder="1"/>
    <xf numFmtId="10" fontId="143" fillId="0" borderId="0" xfId="0" applyNumberFormat="1" applyFont="1"/>
    <xf numFmtId="3" fontId="143" fillId="0" borderId="52" xfId="0" applyNumberFormat="1" applyFont="1" applyBorder="1"/>
    <xf numFmtId="3" fontId="143" fillId="0" borderId="0" xfId="0" applyNumberFormat="1" applyFont="1"/>
    <xf numFmtId="3" fontId="142" fillId="42" borderId="53" xfId="0" applyNumberFormat="1" applyFont="1" applyFill="1" applyBorder="1"/>
    <xf numFmtId="0" fontId="142" fillId="42" borderId="54" xfId="0" applyFont="1" applyFill="1" applyBorder="1"/>
    <xf numFmtId="3" fontId="142" fillId="42" borderId="55" xfId="0" applyNumberFormat="1" applyFont="1" applyFill="1" applyBorder="1"/>
    <xf numFmtId="3" fontId="142" fillId="42" borderId="54" xfId="0" applyNumberFormat="1" applyFont="1" applyFill="1" applyBorder="1"/>
    <xf numFmtId="181" fontId="141" fillId="0" borderId="0" xfId="102" applyNumberFormat="1" applyFont="1"/>
    <xf numFmtId="3" fontId="141" fillId="0" borderId="52" xfId="0" applyNumberFormat="1" applyFont="1" applyBorder="1"/>
    <xf numFmtId="3" fontId="143" fillId="0" borderId="39" xfId="0" applyNumberFormat="1" applyFont="1" applyBorder="1"/>
    <xf numFmtId="181" fontId="141" fillId="0" borderId="22" xfId="102" applyNumberFormat="1" applyFont="1" applyBorder="1"/>
    <xf numFmtId="3" fontId="141" fillId="0" borderId="38" xfId="0" applyNumberFormat="1" applyFont="1" applyBorder="1"/>
    <xf numFmtId="0" fontId="143" fillId="0" borderId="22" xfId="0" applyFont="1" applyBorder="1"/>
    <xf numFmtId="3" fontId="143" fillId="0" borderId="38" xfId="0" applyNumberFormat="1" applyFont="1" applyBorder="1"/>
    <xf numFmtId="0" fontId="143" fillId="0" borderId="0" xfId="0" applyFont="1"/>
    <xf numFmtId="0" fontId="143" fillId="0" borderId="38" xfId="0" applyFont="1" applyBorder="1"/>
    <xf numFmtId="0" fontId="143" fillId="0" borderId="52" xfId="0" applyFont="1" applyBorder="1"/>
    <xf numFmtId="3" fontId="143" fillId="35" borderId="38" xfId="0" applyNumberFormat="1" applyFont="1" applyFill="1" applyBorder="1"/>
    <xf numFmtId="3" fontId="142" fillId="42" borderId="35" xfId="0" applyNumberFormat="1" applyFont="1" applyFill="1" applyBorder="1"/>
    <xf numFmtId="0" fontId="142" fillId="42" borderId="0" xfId="0" applyFont="1" applyFill="1"/>
    <xf numFmtId="3" fontId="142" fillId="42" borderId="52" xfId="0" applyNumberFormat="1" applyFont="1" applyFill="1" applyBorder="1"/>
    <xf numFmtId="0" fontId="143" fillId="0" borderId="35" xfId="0" applyFont="1" applyBorder="1"/>
    <xf numFmtId="0" fontId="143" fillId="0" borderId="49" xfId="0" applyFont="1" applyBorder="1"/>
    <xf numFmtId="0" fontId="143" fillId="0" borderId="44" xfId="0" applyFont="1" applyBorder="1"/>
    <xf numFmtId="0" fontId="143" fillId="0" borderId="96" xfId="0" applyFont="1" applyBorder="1"/>
    <xf numFmtId="3" fontId="143" fillId="0" borderId="49" xfId="0" applyNumberFormat="1" applyFont="1" applyBorder="1"/>
    <xf numFmtId="3" fontId="143" fillId="0" borderId="96" xfId="0" applyNumberFormat="1" applyFont="1" applyBorder="1"/>
    <xf numFmtId="0" fontId="142" fillId="43" borderId="39" xfId="0" applyFont="1" applyFill="1" applyBorder="1"/>
    <xf numFmtId="0" fontId="142" fillId="43" borderId="22" xfId="0" applyFont="1" applyFill="1" applyBorder="1"/>
    <xf numFmtId="3" fontId="142" fillId="43" borderId="38" xfId="0" applyNumberFormat="1" applyFont="1" applyFill="1" applyBorder="1"/>
    <xf numFmtId="0" fontId="23" fillId="0" borderId="57" xfId="0" applyFont="1" applyBorder="1" applyAlignment="1">
      <alignment horizontal="center" wrapText="1"/>
    </xf>
    <xf numFmtId="3" fontId="0" fillId="0" borderId="52" xfId="0" applyNumberFormat="1" applyBorder="1" applyAlignment="1">
      <alignment horizontal="center"/>
    </xf>
    <xf numFmtId="0" fontId="52" fillId="44" borderId="40" xfId="0" applyFont="1" applyFill="1" applyBorder="1" applyAlignment="1">
      <alignment horizontal="center" vertical="center" wrapText="1"/>
    </xf>
    <xf numFmtId="2" fontId="86" fillId="35" borderId="77" xfId="98" applyNumberFormat="1" applyFont="1" applyFill="1" applyBorder="1"/>
    <xf numFmtId="2" fontId="86" fillId="35" borderId="82" xfId="98" applyNumberFormat="1" applyFont="1" applyFill="1" applyBorder="1"/>
    <xf numFmtId="2" fontId="86" fillId="35" borderId="80" xfId="98" applyNumberFormat="1" applyFont="1" applyFill="1" applyBorder="1"/>
    <xf numFmtId="2" fontId="86" fillId="35" borderId="79" xfId="98" applyNumberFormat="1" applyFont="1" applyFill="1" applyBorder="1"/>
    <xf numFmtId="0" fontId="82" fillId="35" borderId="87" xfId="98" applyFont="1" applyFill="1" applyBorder="1" applyAlignment="1">
      <alignment horizontal="center" wrapText="1"/>
    </xf>
    <xf numFmtId="0" fontId="82" fillId="35" borderId="88" xfId="98" applyFont="1" applyFill="1" applyBorder="1" applyAlignment="1">
      <alignment horizontal="center" wrapText="1"/>
    </xf>
    <xf numFmtId="0" fontId="82" fillId="35" borderId="89" xfId="98" applyFont="1" applyFill="1" applyBorder="1" applyAlignment="1">
      <alignment horizontal="center" wrapText="1"/>
    </xf>
    <xf numFmtId="0" fontId="101" fillId="35" borderId="59" xfId="98" applyFont="1" applyFill="1" applyBorder="1"/>
    <xf numFmtId="0" fontId="101" fillId="35" borderId="77" xfId="98" applyFont="1" applyFill="1" applyBorder="1"/>
    <xf numFmtId="9" fontId="73" fillId="35" borderId="31" xfId="102" applyFont="1" applyFill="1" applyBorder="1"/>
    <xf numFmtId="0" fontId="139" fillId="35" borderId="36" xfId="0" applyFont="1" applyFill="1" applyBorder="1" applyAlignment="1">
      <alignment horizontal="left" indent="1"/>
    </xf>
    <xf numFmtId="3" fontId="116" fillId="0" borderId="0" xfId="96" applyNumberFormat="1" applyFont="1" applyAlignment="1">
      <alignment horizontal="right" vertical="center"/>
    </xf>
    <xf numFmtId="3" fontId="116" fillId="0" borderId="0" xfId="96" applyNumberFormat="1" applyFont="1" applyAlignment="1">
      <alignment horizontal="right" vertical="center" shrinkToFit="1"/>
    </xf>
    <xf numFmtId="3" fontId="119" fillId="0" borderId="31" xfId="96" applyNumberFormat="1" applyFont="1" applyBorder="1" applyAlignment="1">
      <alignment horizontal="right" vertical="center"/>
    </xf>
    <xf numFmtId="0" fontId="23" fillId="0" borderId="42" xfId="0" applyFont="1" applyBorder="1"/>
    <xf numFmtId="0" fontId="23" fillId="0" borderId="0" xfId="0" applyFont="1" applyAlignment="1">
      <alignment horizontal="center"/>
    </xf>
    <xf numFmtId="0" fontId="23" fillId="35" borderId="33" xfId="0" applyFont="1" applyFill="1" applyBorder="1" applyAlignment="1">
      <alignment horizontal="left"/>
    </xf>
    <xf numFmtId="3" fontId="23" fillId="35" borderId="33" xfId="0" applyNumberFormat="1" applyFont="1" applyFill="1" applyBorder="1" applyAlignment="1">
      <alignment horizontal="left" vertical="top"/>
    </xf>
    <xf numFmtId="0" fontId="36" fillId="0" borderId="0" xfId="96" applyFont="1" applyAlignment="1">
      <alignment horizontal="left" vertical="center"/>
    </xf>
    <xf numFmtId="173" fontId="37" fillId="0" borderId="0" xfId="96" applyNumberFormat="1" applyFont="1" applyAlignment="1">
      <alignment horizontal="left" vertical="center"/>
    </xf>
    <xf numFmtId="1" fontId="74" fillId="0" borderId="0" xfId="96" applyNumberFormat="1" applyFont="1" applyAlignment="1">
      <alignment horizontal="center" vertical="center"/>
    </xf>
    <xf numFmtId="9" fontId="74" fillId="0" borderId="0" xfId="96" applyNumberFormat="1" applyFont="1" applyAlignment="1">
      <alignment horizontal="center" vertical="center"/>
    </xf>
    <xf numFmtId="166" fontId="74" fillId="0" borderId="0" xfId="96" applyNumberFormat="1" applyFont="1" applyAlignment="1">
      <alignment horizontal="right" vertical="center"/>
    </xf>
    <xf numFmtId="170" fontId="74" fillId="0" borderId="0" xfId="96" applyNumberFormat="1" applyFont="1" applyAlignment="1">
      <alignment horizontal="right" vertical="center"/>
    </xf>
    <xf numFmtId="3" fontId="74" fillId="0" borderId="0" xfId="96" applyNumberFormat="1" applyFont="1" applyAlignment="1">
      <alignment horizontal="right" vertical="center"/>
    </xf>
    <xf numFmtId="3" fontId="37" fillId="0" borderId="0" xfId="96" applyNumberFormat="1" applyFont="1" applyAlignment="1">
      <alignment horizontal="right" vertical="center"/>
    </xf>
    <xf numFmtId="169" fontId="114" fillId="0" borderId="0" xfId="96" applyNumberFormat="1" applyFont="1" applyAlignment="1">
      <alignment horizontal="right" vertical="center"/>
    </xf>
    <xf numFmtId="173" fontId="114" fillId="0" borderId="0" xfId="96" applyNumberFormat="1" applyFont="1" applyAlignment="1">
      <alignment horizontal="right" vertical="center"/>
    </xf>
    <xf numFmtId="3" fontId="114" fillId="0" borderId="0" xfId="96" applyNumberFormat="1" applyFont="1" applyAlignment="1">
      <alignment vertical="center"/>
    </xf>
    <xf numFmtId="178" fontId="114" fillId="0" borderId="0" xfId="96" applyNumberFormat="1" applyFont="1" applyAlignment="1">
      <alignment horizontal="right" vertical="center"/>
    </xf>
    <xf numFmtId="179" fontId="114" fillId="0" borderId="0" xfId="96" applyNumberFormat="1" applyFont="1" applyAlignment="1">
      <alignment horizontal="right" vertical="center"/>
    </xf>
    <xf numFmtId="169" fontId="114" fillId="0" borderId="0" xfId="96" applyNumberFormat="1" applyFont="1" applyAlignment="1">
      <alignment horizontal="right" vertical="center" shrinkToFit="1"/>
    </xf>
    <xf numFmtId="166" fontId="122" fillId="0" borderId="0" xfId="96" applyNumberFormat="1" applyFont="1" applyAlignment="1">
      <alignment horizontal="right" vertical="center"/>
    </xf>
    <xf numFmtId="3" fontId="37" fillId="35" borderId="0" xfId="96" applyNumberFormat="1" applyFont="1" applyFill="1" applyAlignment="1">
      <alignment horizontal="right" vertical="center"/>
    </xf>
    <xf numFmtId="170" fontId="37" fillId="0" borderId="0" xfId="96" applyNumberFormat="1" applyFont="1" applyAlignment="1">
      <alignment horizontal="right" vertical="center"/>
    </xf>
    <xf numFmtId="169" fontId="74" fillId="0" borderId="0" xfId="96" applyNumberFormat="1" applyFont="1" applyAlignment="1">
      <alignment horizontal="right" vertical="center"/>
    </xf>
    <xf numFmtId="173" fontId="37" fillId="0" borderId="0" xfId="96" applyNumberFormat="1" applyFont="1" applyAlignment="1">
      <alignment horizontal="right" vertical="center"/>
    </xf>
    <xf numFmtId="2" fontId="74" fillId="0" borderId="0" xfId="96" applyNumberFormat="1" applyFont="1" applyAlignment="1">
      <alignment horizontal="right" vertical="center"/>
    </xf>
    <xf numFmtId="3" fontId="114" fillId="0" borderId="0" xfId="96" applyNumberFormat="1" applyFont="1" applyAlignment="1">
      <alignment horizontal="right" vertical="center" shrinkToFit="1"/>
    </xf>
    <xf numFmtId="0" fontId="37" fillId="0" borderId="31" xfId="96" applyFont="1" applyBorder="1" applyAlignment="1">
      <alignment horizontal="left" vertical="center"/>
    </xf>
    <xf numFmtId="0" fontId="37" fillId="0" borderId="31" xfId="96" applyFont="1" applyBorder="1" applyAlignment="1">
      <alignment horizontal="center" vertical="center"/>
    </xf>
    <xf numFmtId="0" fontId="114" fillId="0" borderId="31" xfId="96" applyFont="1" applyBorder="1" applyAlignment="1">
      <alignment horizontal="center" vertical="center" wrapText="1"/>
    </xf>
    <xf numFmtId="0" fontId="37" fillId="0" borderId="31" xfId="96" applyFont="1" applyBorder="1" applyAlignment="1">
      <alignment horizontal="center" vertical="center" wrapText="1"/>
    </xf>
    <xf numFmtId="3" fontId="37" fillId="0" borderId="31" xfId="96" applyNumberFormat="1" applyFont="1" applyBorder="1" applyAlignment="1">
      <alignment horizontal="center" vertical="center" wrapText="1"/>
    </xf>
    <xf numFmtId="173" fontId="114" fillId="0" borderId="31" xfId="96" applyNumberFormat="1" applyFont="1" applyBorder="1" applyAlignment="1">
      <alignment horizontal="center" vertical="center" wrapText="1"/>
    </xf>
    <xf numFmtId="3" fontId="114" fillId="0" borderId="31" xfId="96" applyNumberFormat="1" applyFont="1" applyBorder="1" applyAlignment="1">
      <alignment horizontal="center" vertical="center" wrapText="1"/>
    </xf>
    <xf numFmtId="0" fontId="37" fillId="0" borderId="22" xfId="96" applyFont="1" applyBorder="1" applyAlignment="1">
      <alignment horizontal="left" vertical="center"/>
    </xf>
    <xf numFmtId="3" fontId="114" fillId="0" borderId="22" xfId="96" applyNumberFormat="1" applyFont="1" applyBorder="1" applyAlignment="1">
      <alignment horizontal="right" vertical="center"/>
    </xf>
    <xf numFmtId="173" fontId="114" fillId="0" borderId="22" xfId="96" applyNumberFormat="1" applyFont="1" applyBorder="1" applyAlignment="1">
      <alignment horizontal="right" vertical="center"/>
    </xf>
    <xf numFmtId="0" fontId="114" fillId="0" borderId="33" xfId="96" applyFont="1" applyBorder="1" applyAlignment="1">
      <alignment horizontal="left" vertical="center"/>
    </xf>
    <xf numFmtId="3" fontId="114" fillId="0" borderId="33" xfId="96" applyNumberFormat="1" applyFont="1" applyBorder="1" applyAlignment="1">
      <alignment horizontal="left" vertical="center"/>
    </xf>
    <xf numFmtId="0" fontId="37" fillId="0" borderId="33" xfId="96" applyFont="1" applyBorder="1" applyAlignment="1">
      <alignment horizontal="left" vertical="center"/>
    </xf>
    <xf numFmtId="3" fontId="37" fillId="0" borderId="33" xfId="96" applyNumberFormat="1" applyFont="1" applyBorder="1" applyAlignment="1">
      <alignment horizontal="left" vertical="center"/>
    </xf>
    <xf numFmtId="3" fontId="114" fillId="0" borderId="33" xfId="96" applyNumberFormat="1" applyFont="1" applyBorder="1" applyAlignment="1">
      <alignment horizontal="right" vertical="center"/>
    </xf>
    <xf numFmtId="173" fontId="114" fillId="0" borderId="33" xfId="96" applyNumberFormat="1" applyFont="1" applyBorder="1" applyAlignment="1">
      <alignment horizontal="right" vertical="center"/>
    </xf>
    <xf numFmtId="173" fontId="114" fillId="0" borderId="33" xfId="96" applyNumberFormat="1" applyFont="1" applyBorder="1" applyAlignment="1">
      <alignment vertical="center"/>
    </xf>
    <xf numFmtId="1" fontId="114" fillId="0" borderId="33" xfId="96" applyNumberFormat="1" applyFont="1" applyBorder="1" applyAlignment="1">
      <alignment vertical="center"/>
    </xf>
    <xf numFmtId="3" fontId="114" fillId="0" borderId="33" xfId="96" applyNumberFormat="1" applyFont="1" applyBorder="1" applyAlignment="1">
      <alignment horizontal="right" vertical="center" shrinkToFit="1"/>
    </xf>
    <xf numFmtId="0" fontId="149" fillId="0" borderId="0" xfId="96" applyFont="1" applyAlignment="1">
      <alignment horizontal="left" vertical="center"/>
    </xf>
    <xf numFmtId="2" fontId="111" fillId="0" borderId="0" xfId="96" applyNumberFormat="1" applyFont="1" applyAlignment="1">
      <alignment horizontal="left" vertical="center"/>
    </xf>
    <xf numFmtId="2" fontId="114" fillId="0" borderId="0" xfId="96" applyNumberFormat="1" applyFont="1" applyAlignment="1">
      <alignment horizontal="left" vertical="center"/>
    </xf>
    <xf numFmtId="2" fontId="37" fillId="0" borderId="31" xfId="96" applyNumberFormat="1" applyFont="1" applyBorder="1" applyAlignment="1">
      <alignment horizontal="center" vertical="center" wrapText="1"/>
    </xf>
    <xf numFmtId="2" fontId="37" fillId="0" borderId="0" xfId="96" applyNumberFormat="1" applyFont="1" applyAlignment="1">
      <alignment horizontal="left" vertical="center"/>
    </xf>
    <xf numFmtId="2" fontId="74" fillId="35" borderId="0" xfId="96" applyNumberFormat="1" applyFont="1" applyFill="1" applyAlignment="1">
      <alignment horizontal="right" vertical="center"/>
    </xf>
    <xf numFmtId="2" fontId="114" fillId="0" borderId="33" xfId="96" applyNumberFormat="1" applyFont="1" applyBorder="1" applyAlignment="1">
      <alignment horizontal="left" vertical="center"/>
    </xf>
    <xf numFmtId="2" fontId="114" fillId="0" borderId="0" xfId="96" applyNumberFormat="1" applyFont="1" applyAlignment="1">
      <alignment horizontal="right" vertical="center"/>
    </xf>
    <xf numFmtId="2" fontId="111" fillId="0" borderId="0" xfId="97" applyNumberFormat="1" applyFont="1" applyAlignment="1">
      <alignment horizontal="left" vertical="center" wrapText="1"/>
    </xf>
    <xf numFmtId="2" fontId="11" fillId="0" borderId="33" xfId="97" applyNumberFormat="1" applyFont="1" applyBorder="1" applyAlignment="1">
      <alignment horizontal="left" vertical="center" wrapText="1"/>
    </xf>
    <xf numFmtId="2" fontId="11" fillId="0" borderId="65" xfId="97" applyNumberFormat="1" applyFont="1" applyBorder="1" applyAlignment="1">
      <alignment horizontal="center" vertical="center" wrapText="1"/>
    </xf>
    <xf numFmtId="2" fontId="120" fillId="0" borderId="65" xfId="97" applyNumberFormat="1" applyFont="1" applyBorder="1" applyAlignment="1">
      <alignment horizontal="right" vertical="center" wrapText="1" shrinkToFit="1"/>
    </xf>
    <xf numFmtId="2" fontId="111" fillId="0" borderId="69" xfId="97" applyNumberFormat="1" applyFont="1" applyBorder="1" applyAlignment="1">
      <alignment horizontal="center" vertical="center" wrapText="1"/>
    </xf>
    <xf numFmtId="2" fontId="111" fillId="0" borderId="67" xfId="97" applyNumberFormat="1" applyFont="1" applyBorder="1" applyAlignment="1">
      <alignment horizontal="center" vertical="center" wrapText="1"/>
    </xf>
    <xf numFmtId="2" fontId="11" fillId="0" borderId="73" xfId="97" applyNumberFormat="1" applyFont="1" applyBorder="1" applyAlignment="1">
      <alignment horizontal="center" vertical="center" wrapText="1"/>
    </xf>
    <xf numFmtId="2" fontId="111" fillId="0" borderId="69" xfId="97" applyNumberFormat="1" applyFont="1" applyBorder="1" applyAlignment="1">
      <alignment horizontal="left" vertical="center" wrapText="1"/>
    </xf>
    <xf numFmtId="2" fontId="111" fillId="0" borderId="67" xfId="97" applyNumberFormat="1" applyFont="1" applyBorder="1" applyAlignment="1">
      <alignment horizontal="left" vertical="center" wrapText="1"/>
    </xf>
    <xf numFmtId="2" fontId="11" fillId="0" borderId="31" xfId="97" applyNumberFormat="1" applyFont="1" applyBorder="1" applyAlignment="1">
      <alignment horizontal="center" vertical="center" wrapText="1"/>
    </xf>
    <xf numFmtId="2" fontId="120" fillId="0" borderId="45" xfId="97" applyNumberFormat="1" applyFont="1" applyBorder="1" applyAlignment="1">
      <alignment horizontal="right" vertical="center"/>
    </xf>
    <xf numFmtId="2" fontId="120" fillId="0" borderId="0" xfId="97" applyNumberFormat="1" applyFont="1" applyAlignment="1">
      <alignment horizontal="right" vertical="center"/>
    </xf>
    <xf numFmtId="2" fontId="120" fillId="0" borderId="22" xfId="97" applyNumberFormat="1" applyFont="1" applyBorder="1" applyAlignment="1">
      <alignment horizontal="right" vertical="center"/>
    </xf>
    <xf numFmtId="2" fontId="120" fillId="0" borderId="54" xfId="97" applyNumberFormat="1" applyFont="1" applyBorder="1" applyAlignment="1">
      <alignment horizontal="right" vertical="center"/>
    </xf>
    <xf numFmtId="2" fontId="111" fillId="0" borderId="0" xfId="97" applyNumberFormat="1" applyFont="1" applyAlignment="1">
      <alignment horizontal="left" vertical="center"/>
    </xf>
    <xf numFmtId="0" fontId="111" fillId="0" borderId="56" xfId="96" applyFont="1" applyBorder="1" applyAlignment="1">
      <alignment horizontal="left" vertical="center"/>
    </xf>
    <xf numFmtId="166" fontId="37" fillId="0" borderId="0" xfId="96" applyNumberFormat="1" applyFont="1" applyAlignment="1">
      <alignment horizontal="right" vertical="center"/>
    </xf>
    <xf numFmtId="2" fontId="122" fillId="0" borderId="0" xfId="96" applyNumberFormat="1" applyFont="1" applyAlignment="1">
      <alignment horizontal="center" vertical="center"/>
    </xf>
    <xf numFmtId="1" fontId="74" fillId="0" borderId="22" xfId="96" applyNumberFormat="1" applyFont="1" applyBorder="1" applyAlignment="1">
      <alignment horizontal="center" vertical="center"/>
    </xf>
    <xf numFmtId="2" fontId="122" fillId="0" borderId="22" xfId="96" applyNumberFormat="1" applyFont="1" applyBorder="1" applyAlignment="1">
      <alignment horizontal="center" vertical="center"/>
    </xf>
    <xf numFmtId="9" fontId="74" fillId="0" borderId="22" xfId="96" applyNumberFormat="1" applyFont="1" applyBorder="1" applyAlignment="1">
      <alignment horizontal="center" vertical="center"/>
    </xf>
    <xf numFmtId="2" fontId="74" fillId="35" borderId="22" xfId="96" applyNumberFormat="1" applyFont="1" applyFill="1" applyBorder="1" applyAlignment="1">
      <alignment horizontal="right" vertical="center"/>
    </xf>
    <xf numFmtId="166" fontId="122" fillId="0" borderId="22" xfId="96" applyNumberFormat="1" applyFont="1" applyBorder="1" applyAlignment="1">
      <alignment horizontal="right" vertical="center"/>
    </xf>
    <xf numFmtId="3" fontId="37" fillId="35" borderId="22" xfId="96" applyNumberFormat="1" applyFont="1" applyFill="1" applyBorder="1" applyAlignment="1">
      <alignment horizontal="right" vertical="center"/>
    </xf>
    <xf numFmtId="3" fontId="37" fillId="0" borderId="22" xfId="96" applyNumberFormat="1" applyFont="1" applyBorder="1" applyAlignment="1">
      <alignment horizontal="right" vertical="center"/>
    </xf>
    <xf numFmtId="166" fontId="74" fillId="0" borderId="22" xfId="96" applyNumberFormat="1" applyFont="1" applyBorder="1" applyAlignment="1">
      <alignment horizontal="right" vertical="center"/>
    </xf>
    <xf numFmtId="167" fontId="114" fillId="0" borderId="22" xfId="96" applyNumberFormat="1" applyFont="1" applyBorder="1" applyAlignment="1">
      <alignment horizontal="right" vertical="center"/>
    </xf>
    <xf numFmtId="3" fontId="114" fillId="0" borderId="22" xfId="96" applyNumberFormat="1" applyFont="1" applyBorder="1" applyAlignment="1">
      <alignment vertical="center"/>
    </xf>
    <xf numFmtId="178" fontId="114" fillId="0" borderId="22" xfId="96" applyNumberFormat="1" applyFont="1" applyBorder="1" applyAlignment="1">
      <alignment horizontal="right" vertical="center"/>
    </xf>
    <xf numFmtId="179" fontId="114" fillId="0" borderId="22" xfId="96" applyNumberFormat="1" applyFont="1" applyBorder="1" applyAlignment="1">
      <alignment horizontal="right" vertical="center"/>
    </xf>
    <xf numFmtId="169" fontId="114" fillId="0" borderId="22" xfId="96" applyNumberFormat="1" applyFont="1" applyBorder="1" applyAlignment="1">
      <alignment horizontal="right" vertical="center" shrinkToFit="1"/>
    </xf>
    <xf numFmtId="2" fontId="114" fillId="0" borderId="33" xfId="96" applyNumberFormat="1" applyFont="1" applyBorder="1" applyAlignment="1">
      <alignment horizontal="right" vertical="center"/>
    </xf>
    <xf numFmtId="0" fontId="111" fillId="0" borderId="33" xfId="96" applyFont="1" applyBorder="1" applyAlignment="1">
      <alignment horizontal="left" vertical="center"/>
    </xf>
    <xf numFmtId="0" fontId="11" fillId="0" borderId="33" xfId="96" applyFont="1" applyBorder="1" applyAlignment="1">
      <alignment horizontal="left" vertical="center"/>
    </xf>
    <xf numFmtId="3" fontId="37" fillId="0" borderId="33" xfId="96" applyNumberFormat="1" applyFont="1" applyBorder="1" applyAlignment="1">
      <alignment horizontal="right" vertical="center"/>
    </xf>
    <xf numFmtId="166" fontId="74" fillId="0" borderId="33" xfId="96" applyNumberFormat="1" applyFont="1" applyBorder="1" applyAlignment="1">
      <alignment horizontal="right" vertical="center"/>
    </xf>
    <xf numFmtId="167" fontId="114" fillId="0" borderId="33" xfId="96" applyNumberFormat="1" applyFont="1" applyBorder="1" applyAlignment="1">
      <alignment horizontal="right" vertical="center"/>
    </xf>
    <xf numFmtId="1" fontId="114" fillId="0" borderId="33" xfId="96" applyNumberFormat="1" applyFont="1" applyBorder="1" applyAlignment="1">
      <alignment horizontal="right" vertical="center"/>
    </xf>
    <xf numFmtId="169" fontId="114" fillId="0" borderId="33" xfId="96" applyNumberFormat="1" applyFont="1" applyBorder="1" applyAlignment="1">
      <alignment horizontal="right" vertical="center" shrinkToFit="1"/>
    </xf>
    <xf numFmtId="1" fontId="74" fillId="0" borderId="0" xfId="96" applyNumberFormat="1" applyFont="1" applyAlignment="1">
      <alignment horizontal="left" vertical="center"/>
    </xf>
    <xf numFmtId="9" fontId="74" fillId="0" borderId="0" xfId="96" applyNumberFormat="1" applyFont="1" applyAlignment="1">
      <alignment horizontal="right" vertical="center"/>
    </xf>
    <xf numFmtId="2" fontId="74" fillId="0" borderId="22" xfId="96" applyNumberFormat="1" applyFont="1" applyBorder="1" applyAlignment="1">
      <alignment horizontal="right" vertical="center"/>
    </xf>
    <xf numFmtId="3" fontId="74" fillId="0" borderId="22" xfId="96" applyNumberFormat="1" applyFont="1" applyBorder="1" applyAlignment="1">
      <alignment horizontal="right" vertical="center"/>
    </xf>
    <xf numFmtId="166" fontId="114" fillId="0" borderId="33" xfId="96" applyNumberFormat="1" applyFont="1" applyBorder="1" applyAlignment="1">
      <alignment horizontal="right" vertical="center"/>
    </xf>
    <xf numFmtId="178" fontId="114" fillId="0" borderId="33" xfId="96" applyNumberFormat="1" applyFont="1" applyBorder="1" applyAlignment="1">
      <alignment horizontal="right" vertical="center"/>
    </xf>
    <xf numFmtId="1" fontId="74" fillId="0" borderId="22" xfId="96" applyNumberFormat="1" applyFont="1" applyBorder="1" applyAlignment="1">
      <alignment horizontal="left" vertical="center"/>
    </xf>
    <xf numFmtId="9" fontId="74" fillId="0" borderId="22" xfId="96" applyNumberFormat="1" applyFont="1" applyBorder="1" applyAlignment="1">
      <alignment horizontal="right" vertical="center"/>
    </xf>
    <xf numFmtId="49" fontId="111" fillId="0" borderId="54" xfId="97" applyNumberFormat="1" applyFont="1" applyBorder="1" applyAlignment="1">
      <alignment horizontal="center" vertical="center" wrapText="1"/>
    </xf>
    <xf numFmtId="0" fontId="121" fillId="0" borderId="54" xfId="97" applyFont="1" applyBorder="1" applyAlignment="1">
      <alignment horizontal="center" vertical="center" wrapText="1"/>
    </xf>
    <xf numFmtId="0" fontId="111" fillId="0" borderId="54" xfId="96" applyFont="1" applyBorder="1" applyAlignment="1">
      <alignment horizontal="center" vertical="center"/>
    </xf>
    <xf numFmtId="49" fontId="111" fillId="0" borderId="22" xfId="97" applyNumberFormat="1" applyFont="1" applyBorder="1" applyAlignment="1">
      <alignment horizontal="center" vertical="center" wrapText="1"/>
    </xf>
    <xf numFmtId="0" fontId="121" fillId="0" borderId="22" xfId="97" applyFont="1" applyBorder="1" applyAlignment="1">
      <alignment horizontal="center" vertical="center" wrapText="1"/>
    </xf>
    <xf numFmtId="0" fontId="111" fillId="0" borderId="22" xfId="96" applyFont="1" applyBorder="1" applyAlignment="1">
      <alignment horizontal="center" vertical="center"/>
    </xf>
    <xf numFmtId="0" fontId="113" fillId="0" borderId="33" xfId="96" applyFont="1" applyBorder="1" applyAlignment="1">
      <alignment vertical="center"/>
    </xf>
    <xf numFmtId="3" fontId="111" fillId="0" borderId="0" xfId="97" applyNumberFormat="1" applyFont="1" applyAlignment="1">
      <alignment horizontal="right" vertical="center"/>
    </xf>
    <xf numFmtId="2" fontId="111" fillId="0" borderId="0" xfId="97" applyNumberFormat="1" applyFont="1" applyAlignment="1">
      <alignment horizontal="right" vertical="center"/>
    </xf>
    <xf numFmtId="3" fontId="111" fillId="0" borderId="0" xfId="97" applyNumberFormat="1" applyFont="1" applyAlignment="1">
      <alignment horizontal="right" vertical="center" wrapText="1"/>
    </xf>
    <xf numFmtId="2" fontId="111" fillId="0" borderId="0" xfId="97" applyNumberFormat="1" applyFont="1" applyAlignment="1">
      <alignment horizontal="right" vertical="center" wrapText="1"/>
    </xf>
    <xf numFmtId="3" fontId="111" fillId="0" borderId="0" xfId="96" applyNumberFormat="1" applyFont="1" applyAlignment="1">
      <alignment horizontal="right" vertical="center"/>
    </xf>
    <xf numFmtId="2" fontId="111" fillId="0" borderId="0" xfId="96" applyNumberFormat="1" applyFont="1" applyAlignment="1">
      <alignment horizontal="right" vertical="center"/>
    </xf>
    <xf numFmtId="3" fontId="113" fillId="0" borderId="33" xfId="96" applyNumberFormat="1" applyFont="1" applyBorder="1" applyAlignment="1">
      <alignment horizontal="right" vertical="center"/>
    </xf>
    <xf numFmtId="2" fontId="113" fillId="0" borderId="33" xfId="96" applyNumberFormat="1" applyFont="1" applyBorder="1" applyAlignment="1">
      <alignment horizontal="right" vertical="center"/>
    </xf>
    <xf numFmtId="0" fontId="137" fillId="0" borderId="31" xfId="0" applyFont="1" applyBorder="1" applyAlignment="1">
      <alignment vertical="center" wrapText="1"/>
    </xf>
    <xf numFmtId="4" fontId="111" fillId="0" borderId="0" xfId="96" applyNumberFormat="1" applyFont="1" applyAlignment="1">
      <alignment vertical="center" shrinkToFit="1"/>
    </xf>
    <xf numFmtId="4" fontId="113" fillId="0" borderId="31" xfId="96" applyNumberFormat="1" applyFont="1" applyBorder="1" applyAlignment="1">
      <alignment vertical="center" shrinkToFit="1"/>
    </xf>
    <xf numFmtId="4" fontId="113" fillId="0" borderId="0" xfId="96" applyNumberFormat="1" applyFont="1" applyAlignment="1">
      <alignment vertical="center" shrinkToFit="1"/>
    </xf>
    <xf numFmtId="0" fontId="57" fillId="35" borderId="33" xfId="0" applyFont="1" applyFill="1" applyBorder="1" applyAlignment="1">
      <alignment horizontal="left" vertical="center" indent="1"/>
    </xf>
    <xf numFmtId="0" fontId="50" fillId="35" borderId="0" xfId="0" applyFont="1" applyFill="1"/>
    <xf numFmtId="0" fontId="145" fillId="35" borderId="0" xfId="98" applyFont="1" applyFill="1" applyAlignment="1">
      <alignment horizontal="left" vertical="top" wrapText="1"/>
    </xf>
    <xf numFmtId="0" fontId="145" fillId="35" borderId="0" xfId="98" applyFont="1" applyFill="1" applyAlignment="1">
      <alignment horizontal="left" vertical="top"/>
    </xf>
    <xf numFmtId="167" fontId="55" fillId="35" borderId="0" xfId="0" applyNumberFormat="1" applyFont="1" applyFill="1" applyAlignment="1">
      <alignment horizontal="right" vertical="center"/>
    </xf>
    <xf numFmtId="167" fontId="0" fillId="35" borderId="0" xfId="0" applyNumberFormat="1" applyFill="1" applyAlignment="1">
      <alignment horizontal="right" vertical="center"/>
    </xf>
    <xf numFmtId="4" fontId="55" fillId="35" borderId="0" xfId="0" applyNumberFormat="1" applyFont="1" applyFill="1" applyAlignment="1">
      <alignment horizontal="right" vertical="center"/>
    </xf>
    <xf numFmtId="167" fontId="0" fillId="35" borderId="0" xfId="0" applyNumberFormat="1" applyFill="1" applyAlignment="1">
      <alignment horizontal="right"/>
    </xf>
    <xf numFmtId="167" fontId="57" fillId="35" borderId="33" xfId="0" applyNumberFormat="1" applyFont="1" applyFill="1" applyBorder="1" applyAlignment="1">
      <alignment horizontal="right" vertical="center"/>
    </xf>
    <xf numFmtId="167" fontId="55" fillId="35" borderId="22" xfId="0" applyNumberFormat="1" applyFont="1" applyFill="1" applyBorder="1" applyAlignment="1">
      <alignment horizontal="right" vertical="center"/>
    </xf>
    <xf numFmtId="0" fontId="83" fillId="35" borderId="54" xfId="98" applyFont="1" applyFill="1" applyBorder="1"/>
    <xf numFmtId="0" fontId="127" fillId="35" borderId="54" xfId="98" applyFont="1" applyFill="1" applyBorder="1"/>
    <xf numFmtId="0" fontId="82" fillId="35" borderId="44" xfId="98" applyFont="1" applyFill="1" applyBorder="1" applyAlignment="1">
      <alignment horizontal="center" wrapText="1"/>
    </xf>
    <xf numFmtId="0" fontId="83" fillId="35" borderId="43" xfId="98" applyFont="1" applyFill="1" applyBorder="1" applyAlignment="1">
      <alignment horizontal="center"/>
    </xf>
    <xf numFmtId="167" fontId="133" fillId="35" borderId="43" xfId="98" applyNumberFormat="1" applyFont="1" applyFill="1" applyBorder="1" applyAlignment="1">
      <alignment horizontal="center"/>
    </xf>
    <xf numFmtId="0" fontId="83" fillId="35" borderId="43" xfId="98" applyFont="1" applyFill="1" applyBorder="1" applyAlignment="1">
      <alignment horizontal="center" wrapText="1"/>
    </xf>
    <xf numFmtId="0" fontId="133" fillId="35" borderId="43" xfId="98" applyFont="1" applyFill="1" applyBorder="1" applyAlignment="1">
      <alignment horizontal="center" wrapText="1"/>
    </xf>
    <xf numFmtId="0" fontId="83" fillId="35" borderId="22" xfId="98" applyFont="1" applyFill="1" applyBorder="1"/>
    <xf numFmtId="0" fontId="83" fillId="35" borderId="22" xfId="98" applyFont="1" applyFill="1" applyBorder="1" applyAlignment="1">
      <alignment horizontal="left" indent="1"/>
    </xf>
    <xf numFmtId="169" fontId="83" fillId="35" borderId="0" xfId="98" applyNumberFormat="1" applyFont="1" applyFill="1"/>
    <xf numFmtId="169" fontId="83" fillId="35" borderId="22" xfId="98" applyNumberFormat="1" applyFont="1" applyFill="1" applyBorder="1"/>
    <xf numFmtId="3" fontId="46" fillId="35" borderId="0" xfId="100" applyNumberFormat="1" applyFont="1" applyFill="1"/>
    <xf numFmtId="3" fontId="83" fillId="35" borderId="22" xfId="98" applyNumberFormat="1" applyFont="1" applyFill="1" applyBorder="1"/>
    <xf numFmtId="0" fontId="83" fillId="35" borderId="44" xfId="98" applyFont="1" applyFill="1" applyBorder="1"/>
    <xf numFmtId="0" fontId="82" fillId="35" borderId="44" xfId="98" applyFont="1" applyFill="1" applyBorder="1" applyAlignment="1">
      <alignment horizontal="center"/>
    </xf>
    <xf numFmtId="4" fontId="83" fillId="35" borderId="22" xfId="98" applyNumberFormat="1" applyFont="1" applyFill="1" applyBorder="1" applyAlignment="1">
      <alignment horizontal="right"/>
    </xf>
    <xf numFmtId="3" fontId="83" fillId="35" borderId="22" xfId="98" applyNumberFormat="1" applyFont="1" applyFill="1" applyBorder="1" applyAlignment="1">
      <alignment horizontal="right"/>
    </xf>
    <xf numFmtId="4" fontId="83" fillId="35" borderId="47" xfId="98" applyNumberFormat="1" applyFont="1" applyFill="1" applyBorder="1" applyAlignment="1">
      <alignment horizontal="right"/>
    </xf>
    <xf numFmtId="3" fontId="83" fillId="35" borderId="47" xfId="98" applyNumberFormat="1" applyFont="1" applyFill="1" applyBorder="1" applyAlignment="1">
      <alignment horizontal="right"/>
    </xf>
    <xf numFmtId="167" fontId="83" fillId="35" borderId="22" xfId="98" applyNumberFormat="1" applyFont="1" applyFill="1" applyBorder="1" applyAlignment="1">
      <alignment horizontal="center" vertical="center"/>
    </xf>
    <xf numFmtId="0" fontId="129" fillId="35" borderId="54" xfId="98" applyFont="1" applyFill="1" applyBorder="1"/>
    <xf numFmtId="0" fontId="82" fillId="35" borderId="44" xfId="98" applyFont="1" applyFill="1" applyBorder="1"/>
    <xf numFmtId="0" fontId="82" fillId="35" borderId="22" xfId="98" applyFont="1" applyFill="1" applyBorder="1"/>
    <xf numFmtId="0" fontId="82" fillId="35" borderId="22" xfId="98" applyFont="1" applyFill="1" applyBorder="1" applyAlignment="1">
      <alignment horizontal="center"/>
    </xf>
    <xf numFmtId="2" fontId="83" fillId="35" borderId="22" xfId="98" applyNumberFormat="1" applyFont="1" applyFill="1" applyBorder="1" applyAlignment="1">
      <alignment horizontal="center"/>
    </xf>
    <xf numFmtId="1" fontId="83" fillId="35" borderId="22" xfId="98" applyNumberFormat="1" applyFont="1" applyFill="1" applyBorder="1" applyAlignment="1">
      <alignment horizontal="center"/>
    </xf>
    <xf numFmtId="0" fontId="86" fillId="35" borderId="0" xfId="98" applyFont="1" applyFill="1"/>
    <xf numFmtId="173" fontId="86" fillId="35" borderId="0" xfId="98" applyNumberFormat="1" applyFont="1" applyFill="1"/>
    <xf numFmtId="167" fontId="86" fillId="35" borderId="0" xfId="98" applyNumberFormat="1" applyFont="1" applyFill="1"/>
    <xf numFmtId="2" fontId="86" fillId="35" borderId="0" xfId="98" applyNumberFormat="1" applyFont="1" applyFill="1"/>
    <xf numFmtId="0" fontId="82" fillId="35" borderId="31" xfId="98" applyFont="1" applyFill="1" applyBorder="1" applyAlignment="1">
      <alignment horizontal="left" wrapText="1"/>
    </xf>
    <xf numFmtId="0" fontId="86" fillId="35" borderId="22" xfId="98" applyFont="1" applyFill="1" applyBorder="1"/>
    <xf numFmtId="173" fontId="86" fillId="35" borderId="22" xfId="98" applyNumberFormat="1" applyFont="1" applyFill="1" applyBorder="1"/>
    <xf numFmtId="4" fontId="0" fillId="35" borderId="0" xfId="0" applyNumberFormat="1" applyFill="1"/>
    <xf numFmtId="3" fontId="0" fillId="0" borderId="22" xfId="0" applyNumberFormat="1" applyBorder="1"/>
    <xf numFmtId="4" fontId="0" fillId="35" borderId="0" xfId="0" applyNumberFormat="1" applyFill="1" applyAlignment="1">
      <alignment horizontal="right" indent="1"/>
    </xf>
    <xf numFmtId="4" fontId="0" fillId="35" borderId="22" xfId="0" applyNumberFormat="1" applyFill="1" applyBorder="1"/>
    <xf numFmtId="0" fontId="23" fillId="35" borderId="85" xfId="0" applyFont="1" applyFill="1" applyBorder="1"/>
    <xf numFmtId="0" fontId="155" fillId="0" borderId="0" xfId="0" applyFont="1"/>
    <xf numFmtId="169" fontId="0" fillId="35" borderId="22" xfId="0" applyNumberFormat="1" applyFill="1" applyBorder="1" applyAlignment="1">
      <alignment horizontal="right"/>
    </xf>
    <xf numFmtId="169" fontId="0" fillId="35" borderId="0" xfId="0" applyNumberFormat="1" applyFill="1" applyAlignment="1">
      <alignment horizontal="right"/>
    </xf>
    <xf numFmtId="3" fontId="0" fillId="35" borderId="22" xfId="0" applyNumberFormat="1" applyFill="1" applyBorder="1" applyAlignment="1">
      <alignment horizontal="right"/>
    </xf>
    <xf numFmtId="3" fontId="23" fillId="0" borderId="47" xfId="0" applyNumberFormat="1" applyFont="1" applyBorder="1" applyAlignment="1">
      <alignment horizontal="right"/>
    </xf>
    <xf numFmtId="0" fontId="23" fillId="0" borderId="42" xfId="0" applyFont="1" applyBorder="1" applyAlignment="1">
      <alignment horizontal="center"/>
    </xf>
    <xf numFmtId="0" fontId="0" fillId="35" borderId="0" xfId="0" applyFill="1" applyAlignment="1">
      <alignment horizontal="center" vertical="center"/>
    </xf>
    <xf numFmtId="0" fontId="46" fillId="0" borderId="0" xfId="0" applyFont="1" applyAlignment="1">
      <alignment horizontal="left" vertical="center" indent="2"/>
    </xf>
    <xf numFmtId="0" fontId="156" fillId="0" borderId="42" xfId="0" applyFont="1" applyBorder="1" applyAlignment="1">
      <alignment vertical="center"/>
    </xf>
    <xf numFmtId="0" fontId="64" fillId="0" borderId="0" xfId="0" applyFont="1" applyAlignment="1">
      <alignment horizontal="left" vertical="center" indent="1"/>
    </xf>
    <xf numFmtId="3" fontId="46" fillId="0" borderId="0" xfId="0" applyNumberFormat="1" applyFont="1" applyAlignment="1">
      <alignment horizontal="right"/>
    </xf>
    <xf numFmtId="0" fontId="23" fillId="35" borderId="54" xfId="0" applyFont="1" applyFill="1" applyBorder="1"/>
    <xf numFmtId="0" fontId="23" fillId="35" borderId="44" xfId="0" applyFont="1" applyFill="1" applyBorder="1" applyAlignment="1">
      <alignment horizontal="center" wrapText="1"/>
    </xf>
    <xf numFmtId="0" fontId="23" fillId="35" borderId="54" xfId="0" applyFont="1" applyFill="1" applyBorder="1" applyAlignment="1">
      <alignment horizontal="center"/>
    </xf>
    <xf numFmtId="3" fontId="23" fillId="0" borderId="0" xfId="0" applyNumberFormat="1" applyFont="1" applyAlignment="1">
      <alignment horizontal="center"/>
    </xf>
    <xf numFmtId="173" fontId="0" fillId="0" borderId="0" xfId="0" applyNumberFormat="1" applyAlignment="1">
      <alignment horizontal="center"/>
    </xf>
    <xf numFmtId="0" fontId="0" fillId="0" borderId="42" xfId="0" applyBorder="1" applyAlignment="1">
      <alignment horizontal="center"/>
    </xf>
    <xf numFmtId="2" fontId="0" fillId="0" borderId="0" xfId="0" applyNumberFormat="1" applyAlignment="1">
      <alignment horizontal="center" vertical="center"/>
    </xf>
    <xf numFmtId="2" fontId="65" fillId="0" borderId="0" xfId="0" applyNumberFormat="1" applyFont="1" applyAlignment="1">
      <alignment horizontal="center"/>
    </xf>
    <xf numFmtId="2" fontId="23" fillId="0" borderId="33" xfId="0" applyNumberFormat="1" applyFont="1" applyBorder="1" applyAlignment="1">
      <alignment horizontal="center"/>
    </xf>
    <xf numFmtId="0" fontId="0" fillId="0" borderId="33" xfId="0" applyBorder="1" applyAlignment="1">
      <alignment horizontal="center"/>
    </xf>
    <xf numFmtId="169" fontId="116" fillId="0" borderId="0" xfId="96" applyNumberFormat="1" applyFont="1" applyAlignment="1">
      <alignment horizontal="right" vertical="center"/>
    </xf>
    <xf numFmtId="169" fontId="116" fillId="0" borderId="0" xfId="96" applyNumberFormat="1" applyFont="1" applyAlignment="1">
      <alignment horizontal="right" vertical="center" shrinkToFit="1"/>
    </xf>
    <xf numFmtId="169" fontId="119" fillId="0" borderId="31" xfId="96" applyNumberFormat="1" applyFont="1" applyBorder="1" applyAlignment="1">
      <alignment horizontal="right" vertical="center"/>
    </xf>
    <xf numFmtId="4" fontId="116" fillId="0" borderId="0" xfId="96" applyNumberFormat="1" applyFont="1" applyAlignment="1">
      <alignment horizontal="right" vertical="center"/>
    </xf>
    <xf numFmtId="4" fontId="116" fillId="0" borderId="0" xfId="96" applyNumberFormat="1" applyFont="1" applyAlignment="1">
      <alignment horizontal="right" vertical="center" shrinkToFit="1"/>
    </xf>
    <xf numFmtId="4" fontId="119" fillId="0" borderId="31" xfId="96" applyNumberFormat="1" applyFont="1" applyBorder="1" applyAlignment="1">
      <alignment horizontal="right" vertical="center"/>
    </xf>
    <xf numFmtId="4" fontId="119" fillId="0" borderId="0" xfId="96" applyNumberFormat="1" applyFont="1" applyAlignment="1">
      <alignment horizontal="right" vertical="center"/>
    </xf>
    <xf numFmtId="0" fontId="0" fillId="0" borderId="0" xfId="0" applyAlignment="1">
      <alignment horizontal="left" vertical="center" indent="4"/>
    </xf>
    <xf numFmtId="0" fontId="0" fillId="35" borderId="0" xfId="0" applyFill="1" applyAlignment="1">
      <alignment horizontal="left" vertical="center" indent="4"/>
    </xf>
    <xf numFmtId="1" fontId="0" fillId="0" borderId="0" xfId="0" applyNumberFormat="1" applyAlignment="1">
      <alignment horizontal="center"/>
    </xf>
    <xf numFmtId="10" fontId="0" fillId="0" borderId="0" xfId="102" applyNumberFormat="1" applyFont="1"/>
    <xf numFmtId="3" fontId="157" fillId="0" borderId="0" xfId="0" applyNumberFormat="1" applyFont="1"/>
    <xf numFmtId="3" fontId="88" fillId="0" borderId="0" xfId="0" applyNumberFormat="1" applyFont="1" applyAlignment="1">
      <alignment horizontal="center"/>
    </xf>
    <xf numFmtId="167" fontId="88" fillId="0" borderId="0" xfId="0" applyNumberFormat="1" applyFont="1" applyAlignment="1">
      <alignment horizontal="center"/>
    </xf>
    <xf numFmtId="170" fontId="46" fillId="35" borderId="0" xfId="0" applyNumberFormat="1" applyFont="1" applyFill="1" applyAlignment="1">
      <alignment horizontal="center"/>
    </xf>
    <xf numFmtId="169" fontId="46" fillId="35" borderId="22" xfId="0" applyNumberFormat="1" applyFont="1" applyFill="1" applyBorder="1" applyAlignment="1">
      <alignment horizontal="center"/>
    </xf>
    <xf numFmtId="178" fontId="75" fillId="35" borderId="0" xfId="0" applyNumberFormat="1" applyFont="1" applyFill="1" applyAlignment="1">
      <alignment horizontal="center"/>
    </xf>
    <xf numFmtId="178" fontId="75" fillId="35" borderId="22" xfId="0" applyNumberFormat="1" applyFont="1" applyFill="1" applyBorder="1" applyAlignment="1">
      <alignment horizontal="center"/>
    </xf>
    <xf numFmtId="178" fontId="46" fillId="35" borderId="0" xfId="0" applyNumberFormat="1" applyFont="1" applyFill="1" applyAlignment="1">
      <alignment horizontal="center"/>
    </xf>
    <xf numFmtId="178" fontId="46" fillId="35" borderId="22" xfId="0" applyNumberFormat="1" applyFont="1" applyFill="1" applyBorder="1" applyAlignment="1">
      <alignment horizontal="center"/>
    </xf>
    <xf numFmtId="2" fontId="159" fillId="35" borderId="0" xfId="0" applyNumberFormat="1" applyFont="1" applyFill="1"/>
    <xf numFmtId="0" fontId="155" fillId="35" borderId="0" xfId="0" applyFont="1" applyFill="1"/>
    <xf numFmtId="1" fontId="46" fillId="35" borderId="46" xfId="0" applyNumberFormat="1" applyFont="1" applyFill="1" applyBorder="1" applyAlignment="1">
      <alignment horizontal="center"/>
    </xf>
    <xf numFmtId="0" fontId="75" fillId="35" borderId="0" xfId="0" applyFont="1" applyFill="1"/>
    <xf numFmtId="0" fontId="75" fillId="35" borderId="22" xfId="0" applyFont="1" applyFill="1" applyBorder="1"/>
    <xf numFmtId="0" fontId="46" fillId="35" borderId="0" xfId="0" applyFont="1" applyFill="1"/>
    <xf numFmtId="0" fontId="46" fillId="35" borderId="22" xfId="0" applyFont="1" applyFill="1" applyBorder="1"/>
    <xf numFmtId="0" fontId="46" fillId="35" borderId="22" xfId="0" applyFont="1" applyFill="1" applyBorder="1" applyAlignment="1">
      <alignment horizontal="center"/>
    </xf>
    <xf numFmtId="3" fontId="75" fillId="35" borderId="42" xfId="0" applyNumberFormat="1" applyFont="1" applyFill="1" applyBorder="1" applyAlignment="1">
      <alignment horizontal="center"/>
    </xf>
    <xf numFmtId="178" fontId="75" fillId="35" borderId="42" xfId="0" applyNumberFormat="1" applyFont="1" applyFill="1" applyBorder="1" applyAlignment="1">
      <alignment horizontal="center"/>
    </xf>
    <xf numFmtId="0" fontId="64" fillId="35" borderId="97" xfId="0" applyFont="1" applyFill="1" applyBorder="1"/>
    <xf numFmtId="0" fontId="64" fillId="35" borderId="86" xfId="0" applyFont="1" applyFill="1" applyBorder="1" applyAlignment="1">
      <alignment horizontal="center"/>
    </xf>
    <xf numFmtId="0" fontId="46" fillId="35" borderId="86" xfId="0" applyFont="1" applyFill="1" applyBorder="1"/>
    <xf numFmtId="169" fontId="46" fillId="35" borderId="86" xfId="0" applyNumberFormat="1" applyFont="1" applyFill="1" applyBorder="1" applyAlignment="1">
      <alignment horizontal="center"/>
    </xf>
    <xf numFmtId="178" fontId="46" fillId="35" borderId="86" xfId="0" applyNumberFormat="1" applyFont="1" applyFill="1" applyBorder="1" applyAlignment="1">
      <alignment horizontal="center"/>
    </xf>
    <xf numFmtId="3" fontId="46" fillId="35" borderId="98" xfId="0" applyNumberFormat="1" applyFont="1" applyFill="1" applyBorder="1" applyAlignment="1">
      <alignment horizontal="center"/>
    </xf>
    <xf numFmtId="0" fontId="23" fillId="35" borderId="15" xfId="0" applyFont="1" applyFill="1" applyBorder="1"/>
    <xf numFmtId="0" fontId="23" fillId="35" borderId="0" xfId="0" applyFont="1" applyFill="1" applyAlignment="1">
      <alignment horizontal="center"/>
    </xf>
    <xf numFmtId="169" fontId="64" fillId="35" borderId="0" xfId="0" applyNumberFormat="1" applyFont="1" applyFill="1" applyAlignment="1">
      <alignment horizontal="center"/>
    </xf>
    <xf numFmtId="178" fontId="64" fillId="35" borderId="0" xfId="0" applyNumberFormat="1" applyFont="1" applyFill="1" applyAlignment="1">
      <alignment horizontal="center"/>
    </xf>
    <xf numFmtId="3" fontId="64" fillId="35" borderId="16" xfId="0" applyNumberFormat="1" applyFont="1" applyFill="1" applyBorder="1" applyAlignment="1">
      <alignment horizontal="center"/>
    </xf>
    <xf numFmtId="0" fontId="23" fillId="35" borderId="18" xfId="0" applyFont="1" applyFill="1" applyBorder="1"/>
    <xf numFmtId="0" fontId="23" fillId="35" borderId="85" xfId="0" applyFont="1" applyFill="1" applyBorder="1" applyAlignment="1">
      <alignment horizontal="center"/>
    </xf>
    <xf numFmtId="169" fontId="64" fillId="35" borderId="85" xfId="0" applyNumberFormat="1" applyFont="1" applyFill="1" applyBorder="1" applyAlignment="1">
      <alignment horizontal="center"/>
    </xf>
    <xf numFmtId="178" fontId="64" fillId="35" borderId="85" xfId="0" applyNumberFormat="1" applyFont="1" applyFill="1" applyBorder="1" applyAlignment="1">
      <alignment horizontal="center"/>
    </xf>
    <xf numFmtId="3" fontId="64" fillId="35" borderId="19" xfId="0" applyNumberFormat="1" applyFont="1" applyFill="1" applyBorder="1" applyAlignment="1">
      <alignment horizontal="center"/>
    </xf>
    <xf numFmtId="0" fontId="46" fillId="35" borderId="43" xfId="0" applyFont="1" applyFill="1" applyBorder="1" applyAlignment="1">
      <alignment horizontal="center"/>
    </xf>
    <xf numFmtId="0" fontId="57" fillId="35" borderId="33" xfId="0" applyFont="1" applyFill="1" applyBorder="1" applyAlignment="1">
      <alignment vertical="center"/>
    </xf>
    <xf numFmtId="169" fontId="46" fillId="35" borderId="0" xfId="0" applyNumberFormat="1" applyFont="1" applyFill="1" applyAlignment="1">
      <alignment horizontal="center" vertical="center"/>
    </xf>
    <xf numFmtId="10" fontId="46" fillId="35" borderId="0" xfId="102" applyNumberFormat="1" applyFont="1" applyFill="1" applyAlignment="1">
      <alignment horizontal="center" vertical="center"/>
    </xf>
    <xf numFmtId="169" fontId="46" fillId="35" borderId="22" xfId="0" applyNumberFormat="1" applyFont="1" applyFill="1" applyBorder="1" applyAlignment="1">
      <alignment horizontal="center" vertical="center"/>
    </xf>
    <xf numFmtId="0" fontId="123" fillId="35" borderId="0" xfId="0" applyFont="1" applyFill="1" applyAlignment="1">
      <alignment vertical="center"/>
    </xf>
    <xf numFmtId="3" fontId="75" fillId="35" borderId="0" xfId="0" applyNumberFormat="1" applyFont="1" applyFill="1" applyAlignment="1">
      <alignment horizontal="center" vertical="center"/>
    </xf>
    <xf numFmtId="4" fontId="75" fillId="35" borderId="0" xfId="0" applyNumberFormat="1" applyFont="1" applyFill="1" applyAlignment="1">
      <alignment horizontal="center" vertical="center"/>
    </xf>
    <xf numFmtId="3" fontId="161" fillId="35" borderId="0" xfId="0" applyNumberFormat="1" applyFont="1" applyFill="1"/>
    <xf numFmtId="4" fontId="58" fillId="35" borderId="0" xfId="0" applyNumberFormat="1" applyFont="1" applyFill="1"/>
    <xf numFmtId="170" fontId="57" fillId="35" borderId="22" xfId="0" applyNumberFormat="1" applyFont="1" applyFill="1" applyBorder="1" applyAlignment="1">
      <alignment horizontal="center" vertical="center"/>
    </xf>
    <xf numFmtId="170" fontId="58" fillId="35" borderId="0" xfId="0" applyNumberFormat="1" applyFont="1" applyFill="1"/>
    <xf numFmtId="170" fontId="162" fillId="0" borderId="41" xfId="0" applyNumberFormat="1" applyFont="1" applyBorder="1"/>
    <xf numFmtId="170" fontId="163" fillId="0" borderId="56" xfId="0" applyNumberFormat="1" applyFont="1" applyBorder="1"/>
    <xf numFmtId="170" fontId="162" fillId="0" borderId="36" xfId="0" applyNumberFormat="1" applyFont="1" applyBorder="1"/>
    <xf numFmtId="170" fontId="63" fillId="0" borderId="35" xfId="0" applyNumberFormat="1" applyFont="1" applyBorder="1"/>
    <xf numFmtId="170" fontId="77" fillId="0" borderId="36" xfId="0" applyNumberFormat="1" applyFont="1" applyBorder="1"/>
    <xf numFmtId="170" fontId="63" fillId="0" borderId="36" xfId="0" applyNumberFormat="1" applyFont="1" applyBorder="1"/>
    <xf numFmtId="170" fontId="163" fillId="0" borderId="36" xfId="0" applyNumberFormat="1" applyFont="1" applyBorder="1"/>
    <xf numFmtId="170" fontId="162" fillId="0" borderId="0" xfId="0" applyNumberFormat="1" applyFont="1"/>
    <xf numFmtId="169" fontId="164" fillId="0" borderId="36" xfId="49" applyNumberFormat="1" applyFont="1" applyBorder="1"/>
    <xf numFmtId="169" fontId="164" fillId="0" borderId="0" xfId="49" applyNumberFormat="1" applyFont="1"/>
    <xf numFmtId="169" fontId="165" fillId="0" borderId="36" xfId="49" applyNumberFormat="1" applyFont="1" applyBorder="1"/>
    <xf numFmtId="169" fontId="86" fillId="0" borderId="35" xfId="0" applyNumberFormat="1" applyFont="1" applyBorder="1"/>
    <xf numFmtId="169" fontId="86" fillId="0" borderId="37" xfId="0" applyNumberFormat="1" applyFont="1" applyBorder="1"/>
    <xf numFmtId="0" fontId="63" fillId="35" borderId="22" xfId="0" applyFont="1" applyFill="1" applyBorder="1"/>
    <xf numFmtId="181" fontId="23" fillId="35" borderId="31" xfId="102" applyNumberFormat="1" applyFont="1" applyFill="1" applyBorder="1"/>
    <xf numFmtId="2" fontId="46" fillId="0" borderId="0" xfId="0" applyNumberFormat="1" applyFont="1" applyAlignment="1">
      <alignment horizontal="right" indent="1"/>
    </xf>
    <xf numFmtId="3" fontId="64" fillId="0" borderId="0" xfId="0" applyNumberFormat="1" applyFont="1"/>
    <xf numFmtId="0" fontId="63" fillId="35" borderId="33" xfId="0" applyFont="1" applyFill="1" applyBorder="1"/>
    <xf numFmtId="171" fontId="46" fillId="35" borderId="0" xfId="0" applyNumberFormat="1" applyFont="1" applyFill="1"/>
    <xf numFmtId="3" fontId="46" fillId="35" borderId="45" xfId="0" applyNumberFormat="1" applyFont="1" applyFill="1" applyBorder="1"/>
    <xf numFmtId="3" fontId="73" fillId="35" borderId="45" xfId="0" applyNumberFormat="1" applyFont="1" applyFill="1" applyBorder="1"/>
    <xf numFmtId="0" fontId="0" fillId="35" borderId="22" xfId="0" applyFill="1" applyBorder="1" applyAlignment="1">
      <alignment horizontal="left"/>
    </xf>
    <xf numFmtId="0" fontId="75" fillId="35" borderId="22" xfId="0" applyFont="1" applyFill="1" applyBorder="1" applyAlignment="1">
      <alignment horizontal="right"/>
    </xf>
    <xf numFmtId="0" fontId="46" fillId="35" borderId="22" xfId="0" applyFont="1" applyFill="1" applyBorder="1" applyAlignment="1">
      <alignment horizontal="right"/>
    </xf>
    <xf numFmtId="3" fontId="46" fillId="35" borderId="45" xfId="0" applyNumberFormat="1" applyFont="1" applyFill="1" applyBorder="1" applyAlignment="1">
      <alignment horizontal="right"/>
    </xf>
    <xf numFmtId="176" fontId="46" fillId="35" borderId="43" xfId="0" applyNumberFormat="1" applyFont="1" applyFill="1" applyBorder="1" applyAlignment="1">
      <alignment horizontal="center"/>
    </xf>
    <xf numFmtId="9" fontId="73" fillId="35" borderId="0" xfId="102" applyFont="1" applyFill="1"/>
    <xf numFmtId="0" fontId="0" fillId="46" borderId="0" xfId="0" applyFill="1"/>
    <xf numFmtId="3" fontId="73" fillId="0" borderId="0" xfId="0" applyNumberFormat="1" applyFont="1" applyAlignment="1">
      <alignment horizontal="center"/>
    </xf>
    <xf numFmtId="167" fontId="73" fillId="0" borderId="0" xfId="0" applyNumberFormat="1" applyFont="1" applyAlignment="1">
      <alignment horizontal="center"/>
    </xf>
    <xf numFmtId="0" fontId="73" fillId="0" borderId="0" xfId="0" applyFont="1" applyAlignment="1">
      <alignment horizontal="center"/>
    </xf>
    <xf numFmtId="4" fontId="23" fillId="0" borderId="31" xfId="0" applyNumberFormat="1" applyFont="1" applyBorder="1" applyAlignment="1">
      <alignment horizontal="center"/>
    </xf>
    <xf numFmtId="0" fontId="111" fillId="0" borderId="0" xfId="0" applyFont="1" applyAlignment="1">
      <alignment vertical="center"/>
    </xf>
    <xf numFmtId="3" fontId="23" fillId="0" borderId="31" xfId="0" applyNumberFormat="1" applyFont="1" applyBorder="1" applyAlignment="1">
      <alignment horizontal="center"/>
    </xf>
    <xf numFmtId="0" fontId="166" fillId="0" borderId="0" xfId="0" applyFont="1"/>
    <xf numFmtId="3" fontId="46" fillId="35" borderId="46" xfId="0" applyNumberFormat="1" applyFont="1" applyFill="1" applyBorder="1" applyAlignment="1">
      <alignment horizontal="center"/>
    </xf>
    <xf numFmtId="0" fontId="52" fillId="0" borderId="59" xfId="0" applyFont="1" applyBorder="1" applyAlignment="1">
      <alignment horizontal="right" wrapText="1"/>
    </xf>
    <xf numFmtId="0" fontId="52" fillId="0" borderId="59" xfId="0" applyFont="1" applyBorder="1" applyAlignment="1">
      <alignment horizontal="center" vertical="center" wrapText="1"/>
    </xf>
    <xf numFmtId="2" fontId="0" fillId="0" borderId="22" xfId="0" applyNumberFormat="1" applyBorder="1" applyAlignment="1">
      <alignment horizontal="center"/>
    </xf>
    <xf numFmtId="0" fontId="46" fillId="0" borderId="22" xfId="0" applyFont="1" applyBorder="1" applyAlignment="1">
      <alignment horizontal="left" vertical="center" indent="2"/>
    </xf>
    <xf numFmtId="0" fontId="0" fillId="48" borderId="0" xfId="0" applyFill="1"/>
    <xf numFmtId="0" fontId="0" fillId="44" borderId="0" xfId="0" applyFill="1"/>
    <xf numFmtId="0" fontId="64" fillId="47" borderId="22" xfId="0" applyFont="1" applyFill="1" applyBorder="1" applyAlignment="1">
      <alignment horizontal="center"/>
    </xf>
    <xf numFmtId="0" fontId="0" fillId="35" borderId="31" xfId="0" applyFill="1" applyBorder="1" applyAlignment="1">
      <alignment horizontal="center"/>
    </xf>
    <xf numFmtId="4" fontId="64" fillId="35" borderId="0" xfId="0" applyNumberFormat="1" applyFont="1" applyFill="1" applyAlignment="1">
      <alignment horizontal="center"/>
    </xf>
    <xf numFmtId="3" fontId="23" fillId="35" borderId="0" xfId="0" applyNumberFormat="1" applyFont="1" applyFill="1" applyAlignment="1">
      <alignment horizontal="right"/>
    </xf>
    <xf numFmtId="3" fontId="63" fillId="35" borderId="0" xfId="0" applyNumberFormat="1" applyFont="1" applyFill="1" applyAlignment="1">
      <alignment horizontal="right"/>
    </xf>
    <xf numFmtId="3" fontId="63" fillId="35" borderId="22" xfId="0" applyNumberFormat="1" applyFont="1" applyFill="1" applyBorder="1" applyAlignment="1">
      <alignment horizontal="right"/>
    </xf>
    <xf numFmtId="0" fontId="0" fillId="34" borderId="0" xfId="0" applyFill="1"/>
    <xf numFmtId="3" fontId="75" fillId="35" borderId="22" xfId="0" applyNumberFormat="1" applyFont="1" applyFill="1" applyBorder="1"/>
    <xf numFmtId="2" fontId="0" fillId="35" borderId="22" xfId="0" applyNumberFormat="1" applyFill="1" applyBorder="1" applyAlignment="1">
      <alignment horizontal="center"/>
    </xf>
    <xf numFmtId="2" fontId="0" fillId="35" borderId="22" xfId="0" applyNumberFormat="1" applyFill="1" applyBorder="1"/>
    <xf numFmtId="4" fontId="0" fillId="35" borderId="0" xfId="0" applyNumberFormat="1" applyFill="1" applyAlignment="1">
      <alignment horizontal="right"/>
    </xf>
    <xf numFmtId="179" fontId="0" fillId="35" borderId="0" xfId="0" applyNumberFormat="1" applyFill="1" applyAlignment="1">
      <alignment horizontal="right"/>
    </xf>
    <xf numFmtId="167" fontId="0" fillId="35" borderId="22" xfId="0" applyNumberFormat="1" applyFill="1" applyBorder="1" applyAlignment="1">
      <alignment horizontal="right"/>
    </xf>
    <xf numFmtId="4" fontId="46" fillId="35" borderId="0" xfId="0" applyNumberFormat="1" applyFont="1" applyFill="1"/>
    <xf numFmtId="0" fontId="0" fillId="35" borderId="0" xfId="0" applyFill="1" applyAlignment="1">
      <alignment vertical="top" wrapText="1"/>
    </xf>
    <xf numFmtId="0" fontId="167" fillId="35" borderId="44" xfId="0" applyFont="1" applyFill="1" applyBorder="1" applyAlignment="1">
      <alignment horizontal="left" vertical="center" wrapText="1" indent="1"/>
    </xf>
    <xf numFmtId="0" fontId="167" fillId="35" borderId="44" xfId="0" applyFont="1" applyFill="1" applyBorder="1" applyAlignment="1">
      <alignment horizontal="center" vertical="center" wrapText="1"/>
    </xf>
    <xf numFmtId="0" fontId="78" fillId="35" borderId="54" xfId="0" applyFont="1" applyFill="1" applyBorder="1" applyAlignment="1">
      <alignment horizontal="left" vertical="center" wrapText="1"/>
    </xf>
    <xf numFmtId="4" fontId="0" fillId="35" borderId="22" xfId="0" applyNumberFormat="1" applyFill="1" applyBorder="1" applyAlignment="1">
      <alignment horizontal="right"/>
    </xf>
    <xf numFmtId="4" fontId="23" fillId="35" borderId="0" xfId="0" applyNumberFormat="1" applyFont="1" applyFill="1" applyAlignment="1">
      <alignment horizontal="center"/>
    </xf>
    <xf numFmtId="4" fontId="0" fillId="35" borderId="22" xfId="0" applyNumberFormat="1" applyFill="1" applyBorder="1" applyAlignment="1">
      <alignment horizontal="center"/>
    </xf>
    <xf numFmtId="2" fontId="0" fillId="35" borderId="43" xfId="0" applyNumberFormat="1" applyFill="1" applyBorder="1" applyAlignment="1">
      <alignment horizontal="center" wrapText="1"/>
    </xf>
    <xf numFmtId="3" fontId="0" fillId="35" borderId="54" xfId="0" applyNumberFormat="1" applyFill="1" applyBorder="1"/>
    <xf numFmtId="0" fontId="168" fillId="35" borderId="0" xfId="0" applyFont="1" applyFill="1"/>
    <xf numFmtId="0" fontId="168" fillId="35" borderId="33" xfId="0" applyFont="1" applyFill="1" applyBorder="1"/>
    <xf numFmtId="0" fontId="82" fillId="35" borderId="31" xfId="98" applyFont="1" applyFill="1" applyBorder="1" applyAlignment="1">
      <alignment horizontal="center"/>
    </xf>
    <xf numFmtId="3" fontId="0" fillId="34" borderId="52" xfId="0" applyNumberFormat="1" applyFill="1" applyBorder="1" applyAlignment="1">
      <alignment horizontal="center"/>
    </xf>
    <xf numFmtId="3" fontId="0" fillId="34" borderId="61" xfId="0" applyNumberFormat="1" applyFill="1" applyBorder="1" applyAlignment="1">
      <alignment horizontal="center"/>
    </xf>
    <xf numFmtId="3" fontId="0" fillId="34" borderId="0" xfId="0" applyNumberFormat="1" applyFill="1" applyAlignment="1">
      <alignment horizontal="center"/>
    </xf>
    <xf numFmtId="3" fontId="0" fillId="34" borderId="33" xfId="0" applyNumberFormat="1" applyFill="1" applyBorder="1" applyAlignment="1">
      <alignment horizontal="center"/>
    </xf>
    <xf numFmtId="0" fontId="64" fillId="35" borderId="22" xfId="0" applyFont="1" applyFill="1" applyBorder="1" applyAlignment="1">
      <alignment horizontal="left" indent="1"/>
    </xf>
    <xf numFmtId="3" fontId="64" fillId="35" borderId="22" xfId="0" applyNumberFormat="1" applyFont="1" applyFill="1" applyBorder="1" applyAlignment="1">
      <alignment horizontal="center"/>
    </xf>
    <xf numFmtId="1" fontId="0" fillId="35" borderId="0" xfId="0" applyNumberFormat="1" applyFill="1"/>
    <xf numFmtId="0" fontId="78" fillId="0" borderId="0" xfId="0" applyFont="1"/>
    <xf numFmtId="0" fontId="170" fillId="0" borderId="0" xfId="0" applyFont="1"/>
    <xf numFmtId="0" fontId="171" fillId="35" borderId="0" xfId="0" applyFont="1" applyFill="1" applyAlignment="1">
      <alignment vertical="center"/>
    </xf>
    <xf numFmtId="0" fontId="23" fillId="49" borderId="44" xfId="0" applyFont="1" applyFill="1" applyBorder="1" applyAlignment="1">
      <alignment horizontal="center"/>
    </xf>
    <xf numFmtId="3" fontId="0" fillId="49" borderId="0" xfId="0" applyNumberFormat="1" applyFill="1"/>
    <xf numFmtId="0" fontId="0" fillId="49" borderId="0" xfId="0" applyFill="1"/>
    <xf numFmtId="0" fontId="0" fillId="0" borderId="99" xfId="0" applyBorder="1" applyAlignment="1">
      <alignment horizontal="left" vertical="center" wrapText="1"/>
    </xf>
    <xf numFmtId="0" fontId="23" fillId="0" borderId="100" xfId="0" applyFont="1" applyBorder="1" applyAlignment="1">
      <alignment horizontal="center" vertical="center" wrapText="1"/>
    </xf>
    <xf numFmtId="0" fontId="23" fillId="0" borderId="101" xfId="0" applyFont="1" applyBorder="1" applyAlignment="1">
      <alignment horizontal="center" vertical="center" wrapText="1"/>
    </xf>
    <xf numFmtId="0" fontId="0" fillId="35" borderId="22" xfId="0" applyFill="1" applyBorder="1" applyAlignment="1">
      <alignment horizontal="center"/>
    </xf>
    <xf numFmtId="3" fontId="0" fillId="35" borderId="22" xfId="0" applyNumberFormat="1" applyFill="1" applyBorder="1" applyAlignment="1">
      <alignment horizontal="right" indent="1"/>
    </xf>
    <xf numFmtId="0" fontId="0" fillId="35" borderId="54" xfId="0" applyFill="1" applyBorder="1" applyAlignment="1">
      <alignment horizontal="left" indent="1"/>
    </xf>
    <xf numFmtId="0" fontId="0" fillId="35" borderId="0" xfId="0" applyFill="1" applyAlignment="1">
      <alignment wrapText="1"/>
    </xf>
    <xf numFmtId="3" fontId="0" fillId="35" borderId="43" xfId="0" applyNumberFormat="1" applyFill="1" applyBorder="1" applyAlignment="1">
      <alignment horizontal="center"/>
    </xf>
    <xf numFmtId="0" fontId="23" fillId="35" borderId="47" xfId="0" applyFont="1" applyFill="1" applyBorder="1"/>
    <xf numFmtId="167" fontId="23" fillId="35" borderId="47" xfId="0" applyNumberFormat="1" applyFont="1" applyFill="1" applyBorder="1"/>
    <xf numFmtId="2" fontId="23" fillId="35" borderId="22" xfId="0" applyNumberFormat="1" applyFont="1" applyFill="1" applyBorder="1" applyAlignment="1">
      <alignment horizontal="center"/>
    </xf>
    <xf numFmtId="171" fontId="0" fillId="35" borderId="22" xfId="0" applyNumberFormat="1" applyFill="1" applyBorder="1"/>
    <xf numFmtId="0" fontId="0" fillId="35" borderId="44" xfId="0" applyFill="1" applyBorder="1"/>
    <xf numFmtId="169" fontId="168" fillId="0" borderId="0" xfId="0" applyNumberFormat="1" applyFont="1" applyAlignment="1">
      <alignment horizontal="center"/>
    </xf>
    <xf numFmtId="0" fontId="160" fillId="47" borderId="31" xfId="0" applyFont="1" applyFill="1" applyBorder="1"/>
    <xf numFmtId="0" fontId="54" fillId="35" borderId="0" xfId="0" applyFont="1" applyFill="1"/>
    <xf numFmtId="0" fontId="23" fillId="48" borderId="0" xfId="0" applyFont="1" applyFill="1"/>
    <xf numFmtId="0" fontId="23" fillId="48" borderId="0" xfId="0" applyFont="1" applyFill="1" applyAlignment="1">
      <alignment horizontal="center"/>
    </xf>
    <xf numFmtId="2" fontId="82" fillId="35" borderId="54" xfId="0" applyNumberFormat="1" applyFont="1" applyFill="1" applyBorder="1"/>
    <xf numFmtId="0" fontId="173" fillId="35" borderId="0" xfId="0" applyFont="1" applyFill="1" applyAlignment="1">
      <alignment horizontal="center"/>
    </xf>
    <xf numFmtId="0" fontId="0" fillId="35" borderId="40" xfId="0" applyFill="1" applyBorder="1" applyAlignment="1">
      <alignment horizontal="center"/>
    </xf>
    <xf numFmtId="0" fontId="0" fillId="34" borderId="0" xfId="0" applyFill="1" applyAlignment="1">
      <alignment horizontal="left" indent="1"/>
    </xf>
    <xf numFmtId="0" fontId="171" fillId="0" borderId="31" xfId="0" applyFont="1" applyBorder="1" applyAlignment="1">
      <alignment wrapText="1"/>
    </xf>
    <xf numFmtId="0" fontId="171" fillId="0" borderId="31" xfId="0" applyFont="1" applyBorder="1" applyAlignment="1">
      <alignment horizontal="center" wrapText="1"/>
    </xf>
    <xf numFmtId="0" fontId="174" fillId="0" borderId="0" xfId="0" applyFont="1"/>
    <xf numFmtId="3" fontId="174" fillId="0" borderId="0" xfId="0" applyNumberFormat="1" applyFont="1" applyAlignment="1">
      <alignment horizontal="center"/>
    </xf>
    <xf numFmtId="0" fontId="174" fillId="0" borderId="33" xfId="0" applyFont="1" applyBorder="1"/>
    <xf numFmtId="3" fontId="174" fillId="0" borderId="33" xfId="0" applyNumberFormat="1" applyFont="1" applyBorder="1" applyAlignment="1">
      <alignment horizontal="center"/>
    </xf>
    <xf numFmtId="0" fontId="171" fillId="0" borderId="33" xfId="0" applyFont="1" applyBorder="1"/>
    <xf numFmtId="3" fontId="171" fillId="0" borderId="33" xfId="0" applyNumberFormat="1" applyFont="1" applyBorder="1"/>
    <xf numFmtId="170" fontId="116" fillId="0" borderId="0" xfId="96" applyNumberFormat="1" applyFont="1" applyAlignment="1">
      <alignment horizontal="right" vertical="center"/>
    </xf>
    <xf numFmtId="170" fontId="116" fillId="0" borderId="0" xfId="96" applyNumberFormat="1" applyFont="1" applyAlignment="1">
      <alignment horizontal="right" vertical="center" shrinkToFit="1"/>
    </xf>
    <xf numFmtId="170" fontId="119" fillId="0" borderId="31" xfId="96" applyNumberFormat="1" applyFont="1" applyBorder="1" applyAlignment="1">
      <alignment horizontal="right" vertical="center"/>
    </xf>
    <xf numFmtId="0" fontId="23" fillId="35" borderId="54" xfId="0" applyFont="1" applyFill="1" applyBorder="1" applyAlignment="1">
      <alignment horizontal="left"/>
    </xf>
    <xf numFmtId="3" fontId="0" fillId="35" borderId="33" xfId="0" applyNumberFormat="1" applyFill="1" applyBorder="1" applyAlignment="1">
      <alignment horizontal="center"/>
    </xf>
    <xf numFmtId="169" fontId="0" fillId="35" borderId="33" xfId="0" applyNumberFormat="1" applyFill="1" applyBorder="1" applyAlignment="1">
      <alignment horizontal="center"/>
    </xf>
    <xf numFmtId="0" fontId="23" fillId="50" borderId="31" xfId="0" applyFont="1" applyFill="1" applyBorder="1" applyAlignment="1">
      <alignment horizontal="center" vertical="center" wrapText="1"/>
    </xf>
    <xf numFmtId="0" fontId="0" fillId="50" borderId="0" xfId="0" applyFill="1"/>
    <xf numFmtId="3" fontId="23" fillId="50" borderId="0" xfId="0" applyNumberFormat="1" applyFont="1" applyFill="1" applyAlignment="1">
      <alignment horizontal="right"/>
    </xf>
    <xf numFmtId="3" fontId="23" fillId="50" borderId="33" xfId="0" applyNumberFormat="1" applyFont="1" applyFill="1" applyBorder="1" applyAlignment="1">
      <alignment horizontal="right"/>
    </xf>
    <xf numFmtId="10" fontId="4" fillId="50" borderId="33" xfId="102" applyNumberFormat="1" applyFill="1" applyBorder="1" applyAlignment="1">
      <alignment horizontal="right"/>
    </xf>
    <xf numFmtId="3" fontId="0" fillId="50" borderId="0" xfId="0" applyNumberFormat="1" applyFill="1" applyAlignment="1">
      <alignment horizontal="right"/>
    </xf>
    <xf numFmtId="0" fontId="0" fillId="50" borderId="42" xfId="0" applyFill="1" applyBorder="1" applyAlignment="1">
      <alignment horizontal="right"/>
    </xf>
    <xf numFmtId="3" fontId="46" fillId="50" borderId="0" xfId="0" applyNumberFormat="1" applyFont="1" applyFill="1" applyAlignment="1">
      <alignment horizontal="right"/>
    </xf>
    <xf numFmtId="1" fontId="0" fillId="0" borderId="0" xfId="0" applyNumberFormat="1" applyAlignment="1">
      <alignment horizontal="center" vertical="center"/>
    </xf>
    <xf numFmtId="0" fontId="0" fillId="51" borderId="0" xfId="0" applyFill="1"/>
    <xf numFmtId="2" fontId="0" fillId="35" borderId="0" xfId="0" applyNumberFormat="1" applyFill="1"/>
    <xf numFmtId="37" fontId="0" fillId="35" borderId="0" xfId="49" applyNumberFormat="1" applyFont="1" applyFill="1"/>
    <xf numFmtId="0" fontId="37" fillId="35" borderId="40" xfId="0" applyFont="1" applyFill="1" applyBorder="1" applyAlignment="1">
      <alignment horizontal="center"/>
    </xf>
    <xf numFmtId="10" fontId="74" fillId="35" borderId="40" xfId="0" applyNumberFormat="1" applyFont="1" applyFill="1" applyBorder="1" applyAlignment="1" applyProtection="1">
      <alignment horizontal="center"/>
      <protection locked="0"/>
    </xf>
    <xf numFmtId="10" fontId="36" fillId="35" borderId="40" xfId="0" applyNumberFormat="1" applyFont="1" applyFill="1" applyBorder="1" applyAlignment="1" applyProtection="1">
      <alignment horizontal="center"/>
      <protection locked="0"/>
    </xf>
    <xf numFmtId="166" fontId="73" fillId="35" borderId="40" xfId="0" applyNumberFormat="1" applyFont="1" applyFill="1" applyBorder="1" applyAlignment="1">
      <alignment horizontal="center"/>
    </xf>
    <xf numFmtId="167" fontId="75" fillId="35" borderId="40" xfId="0" applyNumberFormat="1" applyFont="1" applyFill="1" applyBorder="1" applyAlignment="1">
      <alignment horizontal="center"/>
    </xf>
    <xf numFmtId="173" fontId="0" fillId="35" borderId="40" xfId="0" applyNumberFormat="1" applyFill="1" applyBorder="1" applyAlignment="1">
      <alignment horizontal="center"/>
    </xf>
    <xf numFmtId="2" fontId="88" fillId="0" borderId="0" xfId="0" applyNumberFormat="1" applyFont="1" applyAlignment="1">
      <alignment horizontal="center"/>
    </xf>
    <xf numFmtId="169" fontId="23" fillId="0" borderId="31" xfId="0" applyNumberFormat="1" applyFont="1" applyBorder="1" applyAlignment="1">
      <alignment horizontal="center"/>
    </xf>
    <xf numFmtId="3" fontId="116" fillId="0" borderId="0" xfId="96" applyNumberFormat="1" applyFont="1" applyAlignment="1">
      <alignment horizontal="center" vertical="center"/>
    </xf>
    <xf numFmtId="169" fontId="116" fillId="0" borderId="0" xfId="96" applyNumberFormat="1" applyFont="1" applyAlignment="1">
      <alignment horizontal="center" vertical="center"/>
    </xf>
    <xf numFmtId="4" fontId="116" fillId="0" borderId="0" xfId="96" applyNumberFormat="1" applyFont="1" applyAlignment="1">
      <alignment horizontal="center" vertical="center"/>
    </xf>
    <xf numFmtId="3" fontId="116" fillId="0" borderId="0" xfId="96" applyNumberFormat="1" applyFont="1" applyAlignment="1">
      <alignment horizontal="center" vertical="center" shrinkToFit="1"/>
    </xf>
    <xf numFmtId="169" fontId="116" fillId="0" borderId="0" xfId="96" applyNumberFormat="1" applyFont="1" applyAlignment="1">
      <alignment horizontal="center" vertical="center" shrinkToFit="1"/>
    </xf>
    <xf numFmtId="4" fontId="116" fillId="0" borderId="0" xfId="96" applyNumberFormat="1" applyFont="1" applyAlignment="1">
      <alignment horizontal="center" vertical="center" shrinkToFit="1"/>
    </xf>
    <xf numFmtId="3" fontId="119" fillId="0" borderId="31" xfId="96" applyNumberFormat="1" applyFont="1" applyBorder="1" applyAlignment="1">
      <alignment horizontal="center" vertical="center"/>
    </xf>
    <xf numFmtId="169" fontId="119" fillId="0" borderId="31" xfId="96" applyNumberFormat="1" applyFont="1" applyBorder="1" applyAlignment="1">
      <alignment horizontal="center" vertical="center"/>
    </xf>
    <xf numFmtId="4" fontId="119" fillId="0" borderId="31" xfId="96" applyNumberFormat="1" applyFont="1" applyBorder="1" applyAlignment="1">
      <alignment horizontal="center" vertical="center"/>
    </xf>
    <xf numFmtId="3" fontId="23" fillId="0" borderId="33" xfId="0" applyNumberFormat="1" applyFont="1" applyBorder="1"/>
    <xf numFmtId="170" fontId="162" fillId="44" borderId="36" xfId="0" applyNumberFormat="1" applyFont="1" applyFill="1" applyBorder="1"/>
    <xf numFmtId="0" fontId="0" fillId="45" borderId="0" xfId="0" applyFill="1" applyAlignment="1">
      <alignment horizontal="left" indent="1"/>
    </xf>
    <xf numFmtId="3" fontId="46" fillId="45" borderId="0" xfId="0" applyNumberFormat="1" applyFont="1" applyFill="1" applyAlignment="1">
      <alignment horizontal="center"/>
    </xf>
    <xf numFmtId="169" fontId="0" fillId="45" borderId="0" xfId="0" applyNumberFormat="1" applyFill="1" applyAlignment="1">
      <alignment horizontal="center"/>
    </xf>
    <xf numFmtId="3" fontId="0" fillId="45" borderId="0" xfId="0" applyNumberFormat="1" applyFill="1" applyAlignment="1">
      <alignment horizontal="center"/>
    </xf>
    <xf numFmtId="0" fontId="0" fillId="45" borderId="22" xfId="0" applyFill="1" applyBorder="1" applyAlignment="1">
      <alignment horizontal="left" indent="1"/>
    </xf>
    <xf numFmtId="3" fontId="0" fillId="45" borderId="22" xfId="0" applyNumberFormat="1" applyFill="1" applyBorder="1" applyAlignment="1">
      <alignment horizontal="center"/>
    </xf>
    <xf numFmtId="169" fontId="0" fillId="45" borderId="22" xfId="0" applyNumberFormat="1" applyFill="1" applyBorder="1" applyAlignment="1">
      <alignment horizontal="center"/>
    </xf>
    <xf numFmtId="0" fontId="72" fillId="35" borderId="32" xfId="0" applyFont="1" applyFill="1" applyBorder="1"/>
    <xf numFmtId="0" fontId="72" fillId="35" borderId="33" xfId="0" applyFont="1" applyFill="1" applyBorder="1"/>
    <xf numFmtId="0" fontId="72" fillId="35" borderId="34" xfId="0" applyFont="1" applyFill="1" applyBorder="1"/>
    <xf numFmtId="0" fontId="37" fillId="35" borderId="59" xfId="0" applyFont="1" applyFill="1" applyBorder="1" applyAlignment="1">
      <alignment horizontal="center"/>
    </xf>
    <xf numFmtId="10" fontId="74" fillId="35" borderId="59" xfId="0" applyNumberFormat="1" applyFont="1" applyFill="1" applyBorder="1" applyAlignment="1" applyProtection="1">
      <alignment horizontal="center"/>
      <protection locked="0"/>
    </xf>
    <xf numFmtId="167" fontId="74" fillId="35" borderId="59" xfId="0" applyNumberFormat="1" applyFont="1" applyFill="1" applyBorder="1" applyAlignment="1">
      <alignment horizontal="center"/>
    </xf>
    <xf numFmtId="3" fontId="37" fillId="35" borderId="0" xfId="0" applyNumberFormat="1" applyFont="1" applyFill="1" applyAlignment="1">
      <alignment horizontal="center"/>
    </xf>
    <xf numFmtId="166" fontId="73" fillId="35" borderId="59" xfId="0" applyNumberFormat="1" applyFont="1" applyFill="1" applyBorder="1" applyAlignment="1">
      <alignment horizontal="center"/>
    </xf>
    <xf numFmtId="0" fontId="0" fillId="35" borderId="60" xfId="0" applyFill="1" applyBorder="1"/>
    <xf numFmtId="0" fontId="0" fillId="35" borderId="61" xfId="0" applyFill="1" applyBorder="1"/>
    <xf numFmtId="170" fontId="27" fillId="40" borderId="16" xfId="49" applyNumberFormat="1" applyFont="1" applyFill="1" applyBorder="1"/>
    <xf numFmtId="3" fontId="0" fillId="48" borderId="0" xfId="0" applyNumberFormat="1" applyFill="1" applyAlignment="1">
      <alignment vertical="center"/>
    </xf>
    <xf numFmtId="10" fontId="68" fillId="28" borderId="0" xfId="0" applyNumberFormat="1" applyFont="1" applyFill="1" applyAlignment="1">
      <alignment horizontal="center"/>
    </xf>
    <xf numFmtId="3" fontId="23" fillId="35" borderId="33" xfId="0" applyNumberFormat="1" applyFont="1" applyFill="1" applyBorder="1" applyAlignment="1">
      <alignment horizontal="center"/>
    </xf>
    <xf numFmtId="4" fontId="63" fillId="35" borderId="0" xfId="0" applyNumberFormat="1" applyFont="1" applyFill="1" applyAlignment="1">
      <alignment horizontal="center"/>
    </xf>
    <xf numFmtId="1" fontId="0" fillId="0" borderId="0" xfId="0" applyNumberFormat="1"/>
    <xf numFmtId="0" fontId="176" fillId="35" borderId="54" xfId="0" applyFont="1" applyFill="1" applyBorder="1"/>
    <xf numFmtId="0" fontId="176" fillId="35" borderId="44" xfId="0" applyFont="1" applyFill="1" applyBorder="1" applyAlignment="1">
      <alignment horizontal="center"/>
    </xf>
    <xf numFmtId="0" fontId="172" fillId="35" borderId="0" xfId="0" applyFont="1" applyFill="1" applyAlignment="1">
      <alignment horizontal="center"/>
    </xf>
    <xf numFmtId="0" fontId="172" fillId="35" borderId="22" xfId="0" applyFont="1" applyFill="1" applyBorder="1" applyAlignment="1">
      <alignment horizontal="center"/>
    </xf>
    <xf numFmtId="0" fontId="172" fillId="35" borderId="54" xfId="0" applyFont="1" applyFill="1" applyBorder="1" applyAlignment="1">
      <alignment horizontal="left" indent="1"/>
    </xf>
    <xf numFmtId="0" fontId="172" fillId="35" borderId="0" xfId="0" applyFont="1" applyFill="1"/>
    <xf numFmtId="0" fontId="172" fillId="0" borderId="0" xfId="0" applyFont="1"/>
    <xf numFmtId="0" fontId="172" fillId="35" borderId="0" xfId="0" applyFont="1" applyFill="1" applyAlignment="1">
      <alignment horizontal="left"/>
    </xf>
    <xf numFmtId="0" fontId="172" fillId="35" borderId="22" xfId="0" applyFont="1" applyFill="1" applyBorder="1"/>
    <xf numFmtId="0" fontId="176" fillId="35" borderId="33" xfId="0" applyFont="1" applyFill="1" applyBorder="1"/>
    <xf numFmtId="0" fontId="172" fillId="0" borderId="22" xfId="0" applyFont="1" applyBorder="1"/>
    <xf numFmtId="0" fontId="0" fillId="54" borderId="0" xfId="0" applyFill="1"/>
    <xf numFmtId="0" fontId="0" fillId="55" borderId="0" xfId="0" applyFill="1"/>
    <xf numFmtId="0" fontId="0" fillId="52" borderId="0" xfId="0" applyFill="1"/>
    <xf numFmtId="3" fontId="0" fillId="52" borderId="0" xfId="0" applyNumberFormat="1" applyFill="1"/>
    <xf numFmtId="4" fontId="75" fillId="35" borderId="45" xfId="0" applyNumberFormat="1" applyFont="1" applyFill="1" applyBorder="1" applyAlignment="1">
      <alignment horizontal="center"/>
    </xf>
    <xf numFmtId="4" fontId="75" fillId="35" borderId="0" xfId="0" applyNumberFormat="1" applyFont="1" applyFill="1" applyAlignment="1">
      <alignment horizontal="center"/>
    </xf>
    <xf numFmtId="4" fontId="75" fillId="35" borderId="22" xfId="0" applyNumberFormat="1" applyFont="1" applyFill="1" applyBorder="1" applyAlignment="1">
      <alignment horizontal="center"/>
    </xf>
    <xf numFmtId="0" fontId="23" fillId="45" borderId="31" xfId="0" applyFont="1" applyFill="1" applyBorder="1" applyAlignment="1">
      <alignment horizontal="center" vertical="center" wrapText="1"/>
    </xf>
    <xf numFmtId="2" fontId="0" fillId="45" borderId="0" xfId="0" applyNumberFormat="1" applyFill="1" applyAlignment="1">
      <alignment horizontal="center"/>
    </xf>
    <xf numFmtId="3" fontId="23" fillId="45" borderId="0" xfId="0" applyNumberFormat="1" applyFont="1" applyFill="1"/>
    <xf numFmtId="4" fontId="23" fillId="45" borderId="0" xfId="0" applyNumberFormat="1" applyFont="1" applyFill="1"/>
    <xf numFmtId="3" fontId="0" fillId="45" borderId="0" xfId="0" applyNumberFormat="1" applyFill="1"/>
    <xf numFmtId="4" fontId="0" fillId="45" borderId="0" xfId="0" applyNumberFormat="1" applyFill="1"/>
    <xf numFmtId="0" fontId="0" fillId="45" borderId="42" xfId="0" applyFill="1" applyBorder="1" applyAlignment="1">
      <alignment horizontal="right"/>
    </xf>
    <xf numFmtId="3" fontId="0" fillId="45" borderId="42" xfId="0" applyNumberFormat="1" applyFill="1" applyBorder="1" applyAlignment="1">
      <alignment horizontal="right"/>
    </xf>
    <xf numFmtId="3" fontId="23" fillId="45" borderId="0" xfId="0" applyNumberFormat="1" applyFont="1" applyFill="1" applyAlignment="1">
      <alignment horizontal="right"/>
    </xf>
    <xf numFmtId="3" fontId="0" fillId="45" borderId="0" xfId="0" applyNumberFormat="1" applyFill="1" applyAlignment="1">
      <alignment horizontal="right"/>
    </xf>
    <xf numFmtId="3" fontId="46" fillId="45" borderId="0" xfId="0" applyNumberFormat="1" applyFont="1" applyFill="1" applyAlignment="1">
      <alignment horizontal="right"/>
    </xf>
    <xf numFmtId="4" fontId="46" fillId="45" borderId="0" xfId="0" applyNumberFormat="1" applyFont="1" applyFill="1" applyAlignment="1">
      <alignment horizontal="right"/>
    </xf>
    <xf numFmtId="0" fontId="23" fillId="0" borderId="33" xfId="0" applyFont="1" applyBorder="1" applyAlignment="1">
      <alignment horizontal="center"/>
    </xf>
    <xf numFmtId="0" fontId="158" fillId="47" borderId="22" xfId="0" applyFont="1" applyFill="1" applyBorder="1" applyAlignment="1">
      <alignment horizontal="center"/>
    </xf>
    <xf numFmtId="3" fontId="23" fillId="0" borderId="33" xfId="0" applyNumberFormat="1" applyFont="1" applyBorder="1" applyAlignment="1">
      <alignment horizontal="center"/>
    </xf>
    <xf numFmtId="0" fontId="23" fillId="0" borderId="22" xfId="0" applyFont="1" applyBorder="1" applyAlignment="1">
      <alignment horizontal="left" vertical="center" indent="1"/>
    </xf>
    <xf numFmtId="2" fontId="23" fillId="0" borderId="22" xfId="0" applyNumberFormat="1" applyFont="1" applyBorder="1" applyAlignment="1">
      <alignment horizontal="center"/>
    </xf>
    <xf numFmtId="3" fontId="23" fillId="0" borderId="22" xfId="0" applyNumberFormat="1" applyFont="1" applyBorder="1" applyAlignment="1">
      <alignment horizontal="center"/>
    </xf>
    <xf numFmtId="10" fontId="4" fillId="0" borderId="33" xfId="102" applyNumberFormat="1" applyBorder="1" applyAlignment="1">
      <alignment horizontal="center"/>
    </xf>
    <xf numFmtId="0" fontId="36" fillId="35" borderId="40" xfId="0" applyFont="1" applyFill="1" applyBorder="1" applyAlignment="1">
      <alignment horizontal="center" wrapText="1"/>
    </xf>
    <xf numFmtId="0" fontId="0" fillId="0" borderId="54" xfId="0" applyBorder="1"/>
    <xf numFmtId="0" fontId="0" fillId="35" borderId="33" xfId="0" applyFill="1" applyBorder="1" applyAlignment="1">
      <alignment horizontal="left" indent="1"/>
    </xf>
    <xf numFmtId="0" fontId="23" fillId="0" borderId="22" xfId="0" applyFont="1" applyBorder="1"/>
    <xf numFmtId="3" fontId="23" fillId="0" borderId="22" xfId="0" applyNumberFormat="1" applyFont="1" applyBorder="1"/>
    <xf numFmtId="3" fontId="0" fillId="0" borderId="33" xfId="0" applyNumberFormat="1" applyBorder="1"/>
    <xf numFmtId="3" fontId="0" fillId="35" borderId="22" xfId="0" applyNumberFormat="1" applyFill="1" applyBorder="1" applyAlignment="1">
      <alignment horizontal="center" vertical="center" wrapText="1"/>
    </xf>
    <xf numFmtId="166" fontId="0" fillId="35" borderId="22" xfId="0" applyNumberFormat="1" applyFill="1" applyBorder="1" applyAlignment="1">
      <alignment horizontal="center" vertical="center"/>
    </xf>
    <xf numFmtId="3" fontId="0" fillId="35" borderId="33" xfId="0" applyNumberFormat="1" applyFill="1" applyBorder="1"/>
    <xf numFmtId="4" fontId="23" fillId="35" borderId="33" xfId="0" applyNumberFormat="1" applyFont="1" applyFill="1" applyBorder="1" applyAlignment="1">
      <alignment horizontal="center"/>
    </xf>
    <xf numFmtId="10" fontId="136" fillId="35" borderId="0" xfId="102" applyNumberFormat="1" applyFont="1" applyFill="1" applyAlignment="1">
      <alignment horizontal="right"/>
    </xf>
    <xf numFmtId="0" fontId="23" fillId="35" borderId="44" xfId="0" applyFont="1" applyFill="1" applyBorder="1" applyAlignment="1">
      <alignment horizontal="left"/>
    </xf>
    <xf numFmtId="0" fontId="23" fillId="35" borderId="22" xfId="0" applyFont="1" applyFill="1" applyBorder="1" applyAlignment="1">
      <alignment horizontal="right"/>
    </xf>
    <xf numFmtId="0" fontId="23" fillId="35" borderId="60" xfId="0" applyFont="1" applyFill="1" applyBorder="1" applyAlignment="1">
      <alignment horizontal="right"/>
    </xf>
    <xf numFmtId="10" fontId="0" fillId="52" borderId="33" xfId="0" applyNumberFormat="1" applyFill="1" applyBorder="1"/>
    <xf numFmtId="2" fontId="0" fillId="47" borderId="33" xfId="0" applyNumberFormat="1" applyFill="1" applyBorder="1"/>
    <xf numFmtId="180" fontId="46" fillId="35" borderId="43" xfId="100" applyNumberFormat="1" applyFont="1" applyFill="1" applyBorder="1" applyAlignment="1">
      <alignment horizontal="center"/>
    </xf>
    <xf numFmtId="173" fontId="0" fillId="35" borderId="43" xfId="0" applyNumberFormat="1" applyFill="1" applyBorder="1" applyAlignment="1">
      <alignment horizontal="center"/>
    </xf>
    <xf numFmtId="169" fontId="23" fillId="0" borderId="0" xfId="0" applyNumberFormat="1" applyFont="1" applyAlignment="1">
      <alignment horizontal="center"/>
    </xf>
    <xf numFmtId="10" fontId="4" fillId="45" borderId="33" xfId="102" applyNumberFormat="1" applyFill="1" applyBorder="1" applyAlignment="1">
      <alignment horizontal="right"/>
    </xf>
    <xf numFmtId="169" fontId="55" fillId="35" borderId="0" xfId="0" applyNumberFormat="1" applyFont="1" applyFill="1" applyAlignment="1">
      <alignment horizontal="center" vertical="center"/>
    </xf>
    <xf numFmtId="169" fontId="57" fillId="35" borderId="22" xfId="0" applyNumberFormat="1" applyFont="1" applyFill="1" applyBorder="1" applyAlignment="1">
      <alignment horizontal="center" vertical="center"/>
    </xf>
    <xf numFmtId="1" fontId="0" fillId="35" borderId="0" xfId="0" applyNumberFormat="1" applyFill="1" applyAlignment="1">
      <alignment horizontal="right" vertical="center" wrapText="1"/>
    </xf>
    <xf numFmtId="0" fontId="82" fillId="0" borderId="0" xfId="98" applyFont="1" applyAlignment="1">
      <alignment horizontal="left"/>
    </xf>
    <xf numFmtId="0" fontId="83" fillId="0" borderId="31" xfId="98" applyFont="1" applyBorder="1" applyAlignment="1">
      <alignment horizontal="center"/>
    </xf>
    <xf numFmtId="10" fontId="133" fillId="0" borderId="43" xfId="98" applyNumberFormat="1" applyFont="1" applyBorder="1" applyAlignment="1">
      <alignment horizontal="center"/>
    </xf>
    <xf numFmtId="10" fontId="83" fillId="0" borderId="0" xfId="98" applyNumberFormat="1" applyFont="1" applyAlignment="1">
      <alignment horizontal="center"/>
    </xf>
    <xf numFmtId="10" fontId="83" fillId="0" borderId="31" xfId="98" applyNumberFormat="1" applyFont="1" applyBorder="1" applyAlignment="1">
      <alignment horizontal="center" wrapText="1"/>
    </xf>
    <xf numFmtId="169" fontId="0" fillId="35" borderId="0" xfId="0" applyNumberFormat="1" applyFill="1"/>
    <xf numFmtId="0" fontId="23" fillId="35" borderId="31" xfId="0" applyFont="1" applyFill="1" applyBorder="1" applyAlignment="1">
      <alignment horizontal="center" vertical="center" wrapText="1"/>
    </xf>
    <xf numFmtId="0" fontId="23" fillId="35" borderId="0" xfId="0" applyFont="1" applyFill="1" applyAlignment="1">
      <alignment horizontal="center" vertical="center" wrapText="1"/>
    </xf>
    <xf numFmtId="0" fontId="0" fillId="35" borderId="0" xfId="0" applyFill="1" applyAlignment="1">
      <alignment horizontal="right"/>
    </xf>
    <xf numFmtId="3" fontId="0" fillId="35" borderId="42" xfId="0" applyNumberFormat="1" applyFill="1" applyBorder="1" applyAlignment="1">
      <alignment horizontal="right"/>
    </xf>
    <xf numFmtId="3" fontId="46" fillId="35" borderId="0" xfId="0" applyNumberFormat="1" applyFont="1" applyFill="1" applyAlignment="1">
      <alignment horizontal="right"/>
    </xf>
    <xf numFmtId="0" fontId="0" fillId="48" borderId="87" xfId="0" applyFill="1" applyBorder="1"/>
    <xf numFmtId="0" fontId="0" fillId="48" borderId="88" xfId="0" applyFill="1" applyBorder="1"/>
    <xf numFmtId="0" fontId="0" fillId="0" borderId="89" xfId="0" applyBorder="1"/>
    <xf numFmtId="0" fontId="0" fillId="0" borderId="15" xfId="0" applyBorder="1"/>
    <xf numFmtId="0" fontId="0" fillId="0" borderId="16" xfId="0" applyBorder="1" applyAlignment="1">
      <alignment wrapText="1"/>
    </xf>
    <xf numFmtId="0" fontId="0" fillId="0" borderId="16" xfId="0" applyBorder="1"/>
    <xf numFmtId="0" fontId="0" fillId="0" borderId="15" xfId="0" applyBorder="1" applyAlignment="1">
      <alignment horizontal="left" indent="1"/>
    </xf>
    <xf numFmtId="0" fontId="0" fillId="0" borderId="18" xfId="0" applyBorder="1" applyAlignment="1">
      <alignment horizontal="left" indent="1"/>
    </xf>
    <xf numFmtId="3" fontId="0" fillId="0" borderId="85" xfId="0" applyNumberFormat="1" applyBorder="1"/>
    <xf numFmtId="3" fontId="0" fillId="0" borderId="19" xfId="0" applyNumberFormat="1" applyBorder="1"/>
    <xf numFmtId="0" fontId="168" fillId="0" borderId="0" xfId="0" applyFont="1"/>
    <xf numFmtId="0" fontId="63" fillId="0" borderId="0" xfId="0" applyFont="1"/>
    <xf numFmtId="0" fontId="168" fillId="0" borderId="22" xfId="0" applyFont="1" applyBorder="1"/>
    <xf numFmtId="0" fontId="63" fillId="0" borderId="22" xfId="0" applyFont="1" applyBorder="1"/>
    <xf numFmtId="3" fontId="75" fillId="35" borderId="45" xfId="0" applyNumberFormat="1" applyFont="1" applyFill="1" applyBorder="1" applyAlignment="1">
      <alignment horizontal="center"/>
    </xf>
    <xf numFmtId="0" fontId="64" fillId="35" borderId="44" xfId="0" applyFont="1" applyFill="1" applyBorder="1" applyAlignment="1">
      <alignment horizontal="center"/>
    </xf>
    <xf numFmtId="2" fontId="25" fillId="0" borderId="0" xfId="0" applyNumberFormat="1" applyFont="1"/>
    <xf numFmtId="3" fontId="63" fillId="0" borderId="0" xfId="0" applyNumberFormat="1" applyFont="1" applyAlignment="1">
      <alignment horizontal="center"/>
    </xf>
    <xf numFmtId="0" fontId="179" fillId="45" borderId="42" xfId="0" applyFont="1" applyFill="1" applyBorder="1"/>
    <xf numFmtId="0" fontId="180" fillId="45" borderId="44" xfId="0" applyFont="1" applyFill="1" applyBorder="1" applyAlignment="1">
      <alignment horizontal="center" vertical="center" wrapText="1"/>
    </xf>
    <xf numFmtId="0" fontId="179" fillId="45" borderId="0" xfId="0" applyFont="1" applyFill="1"/>
    <xf numFmtId="3" fontId="180" fillId="45" borderId="0" xfId="0" applyNumberFormat="1" applyFont="1" applyFill="1"/>
    <xf numFmtId="3" fontId="179" fillId="45" borderId="0" xfId="0" applyNumberFormat="1" applyFont="1" applyFill="1"/>
    <xf numFmtId="3" fontId="179" fillId="45" borderId="22" xfId="0" applyNumberFormat="1" applyFont="1" applyFill="1" applyBorder="1"/>
    <xf numFmtId="0" fontId="0" fillId="34" borderId="43" xfId="0" applyFill="1" applyBorder="1"/>
    <xf numFmtId="3" fontId="23" fillId="45" borderId="22" xfId="0" applyNumberFormat="1" applyFont="1" applyFill="1" applyBorder="1" applyAlignment="1">
      <alignment horizontal="right"/>
    </xf>
    <xf numFmtId="3" fontId="23" fillId="45" borderId="33" xfId="0" applyNumberFormat="1" applyFont="1" applyFill="1" applyBorder="1"/>
    <xf numFmtId="3" fontId="23" fillId="50" borderId="22" xfId="0" applyNumberFormat="1" applyFont="1" applyFill="1" applyBorder="1" applyAlignment="1">
      <alignment horizontal="right"/>
    </xf>
    <xf numFmtId="0" fontId="23" fillId="0" borderId="44" xfId="0" applyFont="1" applyBorder="1" applyAlignment="1">
      <alignment horizontal="left"/>
    </xf>
    <xf numFmtId="0" fontId="137" fillId="0" borderId="0" xfId="0" applyFont="1" applyAlignment="1">
      <alignment horizontal="center"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0" fillId="0" borderId="22" xfId="0" applyBorder="1" applyAlignment="1">
      <alignment horizontal="center" vertical="center" wrapText="1"/>
    </xf>
    <xf numFmtId="3" fontId="0" fillId="0" borderId="22" xfId="0" applyNumberFormat="1" applyBorder="1" applyAlignment="1">
      <alignment horizontal="center" vertical="center" wrapText="1"/>
    </xf>
    <xf numFmtId="0" fontId="157" fillId="0" borderId="22" xfId="0" applyFont="1" applyBorder="1" applyAlignment="1">
      <alignment horizontal="center" vertical="center" wrapText="1"/>
    </xf>
    <xf numFmtId="3" fontId="157" fillId="0" borderId="22" xfId="0" applyNumberFormat="1" applyFont="1" applyBorder="1" applyAlignment="1">
      <alignment horizontal="center" vertical="center" wrapText="1"/>
    </xf>
    <xf numFmtId="0" fontId="23" fillId="0" borderId="22" xfId="0" applyFont="1" applyBorder="1" applyAlignment="1">
      <alignment horizontal="center" vertical="center" wrapText="1"/>
    </xf>
    <xf numFmtId="2" fontId="2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0" fillId="36" borderId="0" xfId="0" applyNumberFormat="1" applyFill="1"/>
    <xf numFmtId="167" fontId="46" fillId="0" borderId="0" xfId="0" applyNumberFormat="1" applyFont="1" applyAlignment="1">
      <alignment horizontal="center"/>
    </xf>
    <xf numFmtId="3" fontId="0" fillId="48" borderId="0" xfId="0" applyNumberFormat="1" applyFill="1"/>
    <xf numFmtId="175" fontId="0" fillId="35" borderId="0" xfId="0" applyNumberFormat="1" applyFill="1"/>
    <xf numFmtId="168" fontId="46" fillId="0" borderId="0" xfId="102" applyNumberFormat="1" applyFont="1"/>
    <xf numFmtId="2" fontId="0" fillId="48" borderId="0" xfId="0" applyNumberFormat="1" applyFill="1"/>
    <xf numFmtId="0" fontId="0" fillId="45" borderId="0" xfId="0" applyFill="1"/>
    <xf numFmtId="170" fontId="0" fillId="0" borderId="0" xfId="0" applyNumberFormat="1"/>
    <xf numFmtId="0" fontId="0" fillId="0" borderId="0" xfId="0" applyAlignment="1">
      <alignment horizontal="left"/>
    </xf>
    <xf numFmtId="0" fontId="175" fillId="0" borderId="0" xfId="0" applyFont="1"/>
    <xf numFmtId="3" fontId="0" fillId="56" borderId="0" xfId="0" applyNumberFormat="1" applyFill="1"/>
    <xf numFmtId="2" fontId="0" fillId="56" borderId="0" xfId="0" applyNumberFormat="1" applyFill="1"/>
    <xf numFmtId="2" fontId="0" fillId="45" borderId="0" xfId="0" applyNumberFormat="1" applyFill="1"/>
    <xf numFmtId="0" fontId="23" fillId="45" borderId="0" xfId="0" applyFont="1" applyFill="1"/>
    <xf numFmtId="178" fontId="0" fillId="35" borderId="43" xfId="0" applyNumberFormat="1" applyFill="1" applyBorder="1"/>
    <xf numFmtId="2" fontId="0" fillId="35" borderId="40" xfId="0" applyNumberFormat="1" applyFill="1" applyBorder="1" applyAlignment="1">
      <alignment horizontal="center"/>
    </xf>
    <xf numFmtId="173" fontId="0" fillId="35" borderId="0" xfId="0" applyNumberFormat="1" applyFill="1"/>
    <xf numFmtId="3" fontId="62" fillId="35" borderId="0" xfId="0" applyNumberFormat="1" applyFont="1" applyFill="1" applyAlignment="1">
      <alignment horizontal="center"/>
    </xf>
    <xf numFmtId="0" fontId="91" fillId="0" borderId="31" xfId="0" applyFont="1" applyBorder="1"/>
    <xf numFmtId="0" fontId="91" fillId="0" borderId="31" xfId="0" applyFont="1" applyBorder="1" applyAlignment="1">
      <alignment horizontal="center"/>
    </xf>
    <xf numFmtId="170" fontId="0" fillId="0" borderId="0" xfId="0" applyNumberFormat="1" applyAlignment="1">
      <alignment horizontal="center"/>
    </xf>
    <xf numFmtId="0" fontId="0" fillId="0" borderId="22" xfId="0" applyBorder="1" applyAlignment="1">
      <alignment horizontal="center"/>
    </xf>
    <xf numFmtId="4" fontId="0" fillId="0" borderId="22" xfId="0" applyNumberFormat="1" applyBorder="1" applyAlignment="1">
      <alignment horizontal="center"/>
    </xf>
    <xf numFmtId="3" fontId="0" fillId="35" borderId="0" xfId="0" applyNumberFormat="1" applyFill="1" applyAlignment="1">
      <alignment horizontal="left" vertical="center" wrapText="1"/>
    </xf>
    <xf numFmtId="2" fontId="0" fillId="35" borderId="0" xfId="0" applyNumberFormat="1" applyFill="1" applyAlignment="1">
      <alignment horizontal="left"/>
    </xf>
    <xf numFmtId="0" fontId="56" fillId="57" borderId="0" xfId="0" applyFont="1" applyFill="1" applyAlignment="1">
      <alignment vertical="center"/>
    </xf>
    <xf numFmtId="168" fontId="0" fillId="0" borderId="0" xfId="102" applyNumberFormat="1" applyFont="1" applyAlignment="1">
      <alignment wrapText="1"/>
    </xf>
    <xf numFmtId="3" fontId="182" fillId="47" borderId="59" xfId="0" applyNumberFormat="1" applyFont="1" applyFill="1" applyBorder="1"/>
    <xf numFmtId="0" fontId="0" fillId="0" borderId="36" xfId="0" applyBorder="1"/>
    <xf numFmtId="168" fontId="11" fillId="0" borderId="0" xfId="71" applyNumberFormat="1"/>
    <xf numFmtId="9" fontId="0" fillId="0" borderId="0" xfId="102" applyFont="1"/>
    <xf numFmtId="168" fontId="0" fillId="0" borderId="0" xfId="102" applyNumberFormat="1" applyFont="1"/>
    <xf numFmtId="0" fontId="52" fillId="0" borderId="53" xfId="0" applyFont="1" applyBorder="1"/>
    <xf numFmtId="0" fontId="52" fillId="0" borderId="35" xfId="0" applyFont="1" applyBorder="1"/>
    <xf numFmtId="0" fontId="52" fillId="0" borderId="39" xfId="0" applyFont="1" applyBorder="1"/>
    <xf numFmtId="3" fontId="11" fillId="0" borderId="36" xfId="49" applyNumberFormat="1" applyFont="1" applyBorder="1"/>
    <xf numFmtId="0" fontId="184" fillId="0" borderId="0" xfId="0" applyFont="1"/>
    <xf numFmtId="0" fontId="184" fillId="0" borderId="35" xfId="0" applyFont="1" applyBorder="1"/>
    <xf numFmtId="0" fontId="184" fillId="0" borderId="56" xfId="0" applyFont="1" applyBorder="1"/>
    <xf numFmtId="0" fontId="184" fillId="0" borderId="39" xfId="0" applyFont="1" applyBorder="1"/>
    <xf numFmtId="0" fontId="184" fillId="0" borderId="0" xfId="0" applyFont="1" applyAlignment="1">
      <alignment horizontal="right"/>
    </xf>
    <xf numFmtId="0" fontId="0" fillId="0" borderId="56" xfId="0" applyBorder="1"/>
    <xf numFmtId="0" fontId="0" fillId="0" borderId="37" xfId="0" applyBorder="1"/>
    <xf numFmtId="3" fontId="0" fillId="0" borderId="37" xfId="0" applyNumberFormat="1" applyBorder="1"/>
    <xf numFmtId="0" fontId="52" fillId="0" borderId="60" xfId="0" applyFont="1" applyBorder="1" applyAlignment="1">
      <alignment horizontal="right"/>
    </xf>
    <xf numFmtId="0" fontId="52" fillId="0" borderId="61" xfId="0" applyFont="1" applyBorder="1" applyAlignment="1">
      <alignment horizontal="right"/>
    </xf>
    <xf numFmtId="170" fontId="0" fillId="0" borderId="52" xfId="0" applyNumberFormat="1" applyBorder="1"/>
    <xf numFmtId="169" fontId="46" fillId="0" borderId="0" xfId="0" applyNumberFormat="1" applyFont="1" applyAlignment="1">
      <alignment horizontal="right"/>
    </xf>
    <xf numFmtId="170" fontId="46" fillId="0" borderId="0" xfId="0" applyNumberFormat="1" applyFont="1" applyAlignment="1">
      <alignment horizontal="right"/>
    </xf>
    <xf numFmtId="178" fontId="46" fillId="0" borderId="0" xfId="0" applyNumberFormat="1" applyFont="1" applyAlignment="1">
      <alignment horizontal="right"/>
    </xf>
    <xf numFmtId="0" fontId="55" fillId="35" borderId="31" xfId="0" applyFont="1" applyFill="1" applyBorder="1" applyAlignment="1">
      <alignment horizontal="center" vertical="center"/>
    </xf>
    <xf numFmtId="167" fontId="0" fillId="0" borderId="22" xfId="0" applyNumberFormat="1" applyBorder="1"/>
    <xf numFmtId="2" fontId="0" fillId="0" borderId="22" xfId="0" applyNumberFormat="1" applyBorder="1"/>
    <xf numFmtId="168" fontId="27" fillId="41" borderId="0" xfId="49" applyNumberFormat="1" applyFont="1" applyFill="1"/>
    <xf numFmtId="169" fontId="83" fillId="35" borderId="22" xfId="98" applyNumberFormat="1" applyFont="1" applyFill="1" applyBorder="1" applyAlignment="1">
      <alignment horizontal="right"/>
    </xf>
    <xf numFmtId="169" fontId="0" fillId="0" borderId="33" xfId="0" applyNumberFormat="1" applyBorder="1" applyAlignment="1">
      <alignment horizontal="center"/>
    </xf>
    <xf numFmtId="3" fontId="23" fillId="50" borderId="33" xfId="0" applyNumberFormat="1" applyFont="1" applyFill="1" applyBorder="1"/>
    <xf numFmtId="3" fontId="23" fillId="35" borderId="33" xfId="0" applyNumberFormat="1" applyFont="1" applyFill="1" applyBorder="1"/>
    <xf numFmtId="3" fontId="83" fillId="54" borderId="22" xfId="98" applyNumberFormat="1" applyFont="1" applyFill="1" applyBorder="1" applyAlignment="1">
      <alignment horizontal="right"/>
    </xf>
    <xf numFmtId="167" fontId="86" fillId="35" borderId="59" xfId="98" applyNumberFormat="1" applyFont="1" applyFill="1" applyBorder="1" applyAlignment="1">
      <alignment horizontal="center"/>
    </xf>
    <xf numFmtId="167" fontId="86" fillId="35" borderId="79" xfId="98" applyNumberFormat="1" applyFont="1" applyFill="1" applyBorder="1" applyAlignment="1">
      <alignment horizontal="center"/>
    </xf>
    <xf numFmtId="167" fontId="86" fillId="35" borderId="59" xfId="98" applyNumberFormat="1" applyFont="1" applyFill="1" applyBorder="1" applyAlignment="1">
      <alignment horizontal="right"/>
    </xf>
    <xf numFmtId="167" fontId="86" fillId="35" borderId="79" xfId="98" applyNumberFormat="1" applyFont="1" applyFill="1" applyBorder="1" applyAlignment="1">
      <alignment horizontal="right"/>
    </xf>
    <xf numFmtId="0" fontId="82" fillId="35" borderId="88" xfId="98" applyFont="1" applyFill="1" applyBorder="1" applyAlignment="1">
      <alignment horizontal="right" wrapText="1"/>
    </xf>
    <xf numFmtId="166" fontId="83" fillId="35" borderId="0" xfId="98" applyNumberFormat="1" applyFont="1" applyFill="1" applyAlignment="1">
      <alignment horizontal="center"/>
    </xf>
    <xf numFmtId="0" fontId="83" fillId="54" borderId="0" xfId="98" applyFont="1" applyFill="1"/>
    <xf numFmtId="0" fontId="86" fillId="54" borderId="0" xfId="98" applyFont="1" applyFill="1"/>
    <xf numFmtId="0" fontId="83" fillId="54" borderId="22" xfId="98" applyFont="1" applyFill="1" applyBorder="1"/>
    <xf numFmtId="0" fontId="86" fillId="54" borderId="22" xfId="98" applyFont="1" applyFill="1" applyBorder="1"/>
    <xf numFmtId="167" fontId="86" fillId="54" borderId="22" xfId="98" applyNumberFormat="1" applyFont="1" applyFill="1" applyBorder="1"/>
    <xf numFmtId="2" fontId="83" fillId="54" borderId="59" xfId="98" applyNumberFormat="1" applyFont="1" applyFill="1" applyBorder="1"/>
    <xf numFmtId="4" fontId="83" fillId="35" borderId="33" xfId="98" applyNumberFormat="1" applyFont="1" applyFill="1" applyBorder="1" applyAlignment="1">
      <alignment horizontal="right"/>
    </xf>
    <xf numFmtId="3" fontId="83" fillId="35" borderId="33" xfId="98" applyNumberFormat="1" applyFont="1" applyFill="1" applyBorder="1" applyAlignment="1">
      <alignment horizontal="right"/>
    </xf>
    <xf numFmtId="0" fontId="1" fillId="35" borderId="0" xfId="98" applyFont="1" applyFill="1"/>
    <xf numFmtId="0" fontId="1" fillId="35" borderId="0" xfId="98" applyFont="1" applyFill="1" applyAlignment="1">
      <alignment horizontal="center"/>
    </xf>
    <xf numFmtId="0" fontId="86" fillId="35" borderId="59" xfId="98" applyFont="1" applyFill="1" applyBorder="1" applyAlignment="1">
      <alignment horizontal="center"/>
    </xf>
    <xf numFmtId="2" fontId="86" fillId="35" borderId="79" xfId="98" applyNumberFormat="1" applyFont="1" applyFill="1" applyBorder="1" applyAlignment="1">
      <alignment horizontal="center"/>
    </xf>
    <xf numFmtId="0" fontId="86" fillId="35" borderId="79" xfId="98" applyFont="1" applyFill="1" applyBorder="1" applyAlignment="1">
      <alignment horizontal="center"/>
    </xf>
    <xf numFmtId="167" fontId="1" fillId="35" borderId="59" xfId="98" applyNumberFormat="1" applyFont="1" applyFill="1" applyBorder="1" applyAlignment="1">
      <alignment horizontal="center"/>
    </xf>
    <xf numFmtId="167" fontId="1" fillId="35" borderId="79" xfId="98" applyNumberFormat="1" applyFont="1" applyFill="1" applyBorder="1" applyAlignment="1">
      <alignment horizontal="center"/>
    </xf>
    <xf numFmtId="2" fontId="1" fillId="35" borderId="77" xfId="98" applyNumberFormat="1" applyFont="1" applyFill="1" applyBorder="1" applyAlignment="1">
      <alignment horizontal="center"/>
    </xf>
    <xf numFmtId="2" fontId="1" fillId="35" borderId="80" xfId="98" applyNumberFormat="1" applyFont="1" applyFill="1" applyBorder="1" applyAlignment="1">
      <alignment horizontal="center"/>
    </xf>
    <xf numFmtId="0" fontId="52" fillId="0" borderId="0" xfId="0" applyFont="1"/>
    <xf numFmtId="166" fontId="83" fillId="35" borderId="22" xfId="98" applyNumberFormat="1" applyFont="1" applyFill="1" applyBorder="1" applyAlignment="1">
      <alignment horizontal="center"/>
    </xf>
    <xf numFmtId="3" fontId="77" fillId="0" borderId="36" xfId="0" applyNumberFormat="1" applyFont="1" applyBorder="1"/>
    <xf numFmtId="167" fontId="0" fillId="54" borderId="0" xfId="0" applyNumberFormat="1" applyFill="1"/>
    <xf numFmtId="0" fontId="137" fillId="0" borderId="60" xfId="0" applyFont="1" applyBorder="1" applyAlignment="1">
      <alignment horizontal="center"/>
    </xf>
    <xf numFmtId="183" fontId="0" fillId="35" borderId="0" xfId="0" applyNumberFormat="1" applyFill="1"/>
    <xf numFmtId="2" fontId="70" fillId="41" borderId="0" xfId="49" applyNumberFormat="1" applyFont="1" applyFill="1"/>
    <xf numFmtId="164" fontId="70" fillId="40" borderId="0" xfId="49" applyNumberFormat="1" applyFont="1" applyFill="1"/>
    <xf numFmtId="164" fontId="70" fillId="41" borderId="0" xfId="49" applyNumberFormat="1" applyFont="1" applyFill="1"/>
    <xf numFmtId="183" fontId="0" fillId="35" borderId="33" xfId="0" applyNumberFormat="1" applyFill="1" applyBorder="1"/>
    <xf numFmtId="185" fontId="0" fillId="35" borderId="33" xfId="0" applyNumberFormat="1" applyFill="1" applyBorder="1"/>
    <xf numFmtId="0" fontId="0" fillId="35" borderId="53" xfId="0" applyFill="1" applyBorder="1"/>
    <xf numFmtId="0" fontId="0" fillId="35" borderId="55" xfId="0" applyFill="1" applyBorder="1"/>
    <xf numFmtId="0" fontId="137" fillId="0" borderId="59" xfId="0" applyFont="1" applyBorder="1" applyAlignment="1">
      <alignment horizontal="center"/>
    </xf>
    <xf numFmtId="173" fontId="0" fillId="35" borderId="61" xfId="0" applyNumberFormat="1" applyFill="1" applyBorder="1"/>
    <xf numFmtId="166" fontId="0" fillId="55" borderId="0" xfId="0" applyNumberFormat="1" applyFill="1"/>
    <xf numFmtId="2" fontId="0" fillId="55" borderId="0" xfId="0" applyNumberFormat="1" applyFill="1"/>
    <xf numFmtId="167" fontId="0" fillId="55" borderId="0" xfId="0" applyNumberFormat="1" applyFill="1"/>
    <xf numFmtId="3" fontId="0" fillId="44" borderId="0" xfId="0" applyNumberFormat="1" applyFill="1" applyAlignment="1">
      <alignment horizontal="center"/>
    </xf>
    <xf numFmtId="169" fontId="0" fillId="44" borderId="0" xfId="0" applyNumberFormat="1" applyFill="1" applyAlignment="1">
      <alignment horizontal="center"/>
    </xf>
    <xf numFmtId="183" fontId="27" fillId="58" borderId="0" xfId="0" applyNumberFormat="1" applyFont="1" applyFill="1" applyAlignment="1">
      <alignment wrapText="1"/>
    </xf>
    <xf numFmtId="183" fontId="27" fillId="58" borderId="0" xfId="0" applyNumberFormat="1" applyFont="1" applyFill="1"/>
    <xf numFmtId="183" fontId="172" fillId="59" borderId="0" xfId="0" applyNumberFormat="1" applyFont="1" applyFill="1"/>
    <xf numFmtId="183" fontId="28" fillId="58" borderId="0" xfId="0" applyNumberFormat="1" applyFont="1" applyFill="1"/>
    <xf numFmtId="10" fontId="0" fillId="35" borderId="0" xfId="102" applyNumberFormat="1" applyFont="1" applyFill="1"/>
    <xf numFmtId="167" fontId="75" fillId="35" borderId="0" xfId="0" applyNumberFormat="1" applyFont="1" applyFill="1" applyAlignment="1">
      <alignment horizontal="center"/>
    </xf>
    <xf numFmtId="166" fontId="0" fillId="35" borderId="0" xfId="0" applyNumberFormat="1" applyFill="1"/>
    <xf numFmtId="166" fontId="83" fillId="54" borderId="0" xfId="98" applyNumberFormat="1" applyFont="1" applyFill="1"/>
    <xf numFmtId="0" fontId="0" fillId="60" borderId="0" xfId="0" applyFill="1"/>
    <xf numFmtId="0" fontId="0" fillId="35" borderId="38" xfId="0" applyFill="1" applyBorder="1"/>
    <xf numFmtId="0" fontId="183" fillId="0" borderId="0" xfId="0" applyFont="1"/>
    <xf numFmtId="0" fontId="184" fillId="0" borderId="0" xfId="0" applyFont="1" applyAlignment="1">
      <alignment horizontal="center"/>
    </xf>
    <xf numFmtId="0" fontId="184" fillId="0" borderId="36" xfId="0" applyFont="1" applyBorder="1"/>
    <xf numFmtId="0" fontId="23" fillId="35" borderId="0" xfId="0" applyFont="1" applyFill="1" applyAlignment="1">
      <alignment horizontal="left"/>
    </xf>
    <xf numFmtId="0" fontId="52" fillId="0" borderId="56" xfId="0" applyFont="1" applyBorder="1" applyAlignment="1">
      <alignment horizontal="center" textRotation="90" wrapText="1"/>
    </xf>
    <xf numFmtId="0" fontId="52" fillId="0" borderId="60" xfId="0" applyFont="1" applyBorder="1" applyAlignment="1">
      <alignment horizontal="center" textRotation="90" wrapText="1"/>
    </xf>
    <xf numFmtId="0" fontId="52" fillId="0" borderId="59" xfId="0" applyFont="1" applyBorder="1" applyAlignment="1">
      <alignment horizontal="center" textRotation="90" wrapText="1"/>
    </xf>
    <xf numFmtId="168" fontId="11" fillId="0" borderId="56" xfId="71" applyNumberFormat="1" applyBorder="1" applyAlignment="1">
      <alignment horizontal="center"/>
    </xf>
    <xf numFmtId="168" fontId="11" fillId="0" borderId="36" xfId="71" applyNumberFormat="1" applyBorder="1" applyAlignment="1">
      <alignment horizontal="center"/>
    </xf>
    <xf numFmtId="171" fontId="184" fillId="0" borderId="37" xfId="0" applyNumberFormat="1" applyFont="1" applyBorder="1" applyAlignment="1">
      <alignment horizontal="center"/>
    </xf>
    <xf numFmtId="0" fontId="184" fillId="0" borderId="36" xfId="0" applyFont="1" applyBorder="1" applyAlignment="1">
      <alignment horizontal="center"/>
    </xf>
    <xf numFmtId="3" fontId="184" fillId="0" borderId="56" xfId="0" applyNumberFormat="1" applyFont="1" applyBorder="1" applyAlignment="1">
      <alignment horizontal="center"/>
    </xf>
    <xf numFmtId="3" fontId="11" fillId="0" borderId="36" xfId="49" applyNumberFormat="1" applyFont="1" applyBorder="1" applyAlignment="1">
      <alignment horizontal="center"/>
    </xf>
    <xf numFmtId="3" fontId="11" fillId="0" borderId="37" xfId="49" applyNumberFormat="1" applyFont="1" applyBorder="1" applyAlignment="1">
      <alignment horizontal="center"/>
    </xf>
    <xf numFmtId="9" fontId="184" fillId="0" borderId="36" xfId="0" applyNumberFormat="1" applyFont="1" applyBorder="1" applyAlignment="1">
      <alignment horizontal="center"/>
    </xf>
    <xf numFmtId="4" fontId="184" fillId="0" borderId="36" xfId="0" applyNumberFormat="1" applyFont="1" applyBorder="1" applyAlignment="1">
      <alignment horizontal="center"/>
    </xf>
    <xf numFmtId="167" fontId="184" fillId="0" borderId="36" xfId="0" applyNumberFormat="1" applyFont="1" applyBorder="1" applyAlignment="1">
      <alignment horizontal="center"/>
    </xf>
    <xf numFmtId="10" fontId="184" fillId="0" borderId="37" xfId="102" applyNumberFormat="1" applyFont="1" applyBorder="1" applyAlignment="1">
      <alignment horizontal="center"/>
    </xf>
    <xf numFmtId="0" fontId="183" fillId="0" borderId="35" xfId="0" applyFont="1" applyBorder="1" applyAlignment="1">
      <alignment horizontal="left"/>
    </xf>
    <xf numFmtId="166" fontId="184" fillId="0" borderId="37" xfId="0" applyNumberFormat="1" applyFont="1" applyBorder="1" applyAlignment="1">
      <alignment horizontal="center"/>
    </xf>
    <xf numFmtId="166" fontId="52" fillId="0" borderId="53" xfId="0" applyNumberFormat="1" applyFont="1" applyBorder="1" applyAlignment="1">
      <alignment horizontal="center" textRotation="90" wrapText="1"/>
    </xf>
    <xf numFmtId="166" fontId="52" fillId="0" borderId="56" xfId="0" applyNumberFormat="1" applyFont="1" applyBorder="1" applyAlignment="1">
      <alignment horizontal="center" textRotation="90" wrapText="1"/>
    </xf>
    <xf numFmtId="4" fontId="184" fillId="0" borderId="52" xfId="0" applyNumberFormat="1" applyFont="1" applyBorder="1" applyAlignment="1">
      <alignment horizontal="center"/>
    </xf>
    <xf numFmtId="3" fontId="184" fillId="0" borderId="55" xfId="0" applyNumberFormat="1" applyFont="1" applyBorder="1" applyAlignment="1">
      <alignment horizontal="center"/>
    </xf>
    <xf numFmtId="9" fontId="184" fillId="0" borderId="52" xfId="0" applyNumberFormat="1" applyFont="1" applyBorder="1" applyAlignment="1">
      <alignment horizontal="center"/>
    </xf>
    <xf numFmtId="167" fontId="184" fillId="0" borderId="52" xfId="0" applyNumberFormat="1" applyFont="1" applyBorder="1" applyAlignment="1">
      <alignment horizontal="center"/>
    </xf>
    <xf numFmtId="10" fontId="184" fillId="0" borderId="38" xfId="102" applyNumberFormat="1" applyFont="1" applyBorder="1" applyAlignment="1">
      <alignment horizontal="center"/>
    </xf>
    <xf numFmtId="0" fontId="184" fillId="0" borderId="37" xfId="0" applyFont="1" applyBorder="1"/>
    <xf numFmtId="180" fontId="184" fillId="0" borderId="37" xfId="102" applyNumberFormat="1" applyFont="1" applyBorder="1" applyAlignment="1">
      <alignment horizontal="center"/>
    </xf>
    <xf numFmtId="3" fontId="11" fillId="0" borderId="0" xfId="49" applyNumberFormat="1" applyFont="1" applyAlignment="1">
      <alignment horizontal="center"/>
    </xf>
    <xf numFmtId="0" fontId="47" fillId="0" borderId="118" xfId="0" applyFont="1" applyBorder="1"/>
    <xf numFmtId="0" fontId="37" fillId="0" borderId="119" xfId="0" applyFont="1" applyBorder="1" applyAlignment="1">
      <alignment horizontal="right"/>
    </xf>
    <xf numFmtId="0" fontId="36" fillId="0" borderId="103" xfId="0" applyFont="1" applyBorder="1" applyAlignment="1">
      <alignment horizontal="center" shrinkToFit="1"/>
    </xf>
    <xf numFmtId="0" fontId="36" fillId="0" borderId="104" xfId="0" applyFont="1" applyBorder="1" applyAlignment="1">
      <alignment horizontal="center" shrinkToFit="1"/>
    </xf>
    <xf numFmtId="0" fontId="36" fillId="0" borderId="112" xfId="0" applyFont="1" applyBorder="1" applyAlignment="1">
      <alignment horizontal="center" shrinkToFit="1"/>
    </xf>
    <xf numFmtId="0" fontId="36" fillId="0" borderId="119" xfId="0" applyFont="1" applyBorder="1" applyAlignment="1">
      <alignment horizontal="center" shrinkToFit="1"/>
    </xf>
    <xf numFmtId="0" fontId="36" fillId="0" borderId="122" xfId="0" applyFont="1" applyBorder="1" applyAlignment="1">
      <alignment horizontal="center" shrinkToFit="1"/>
    </xf>
    <xf numFmtId="0" fontId="36" fillId="0" borderId="115" xfId="0" applyFont="1" applyBorder="1" applyAlignment="1">
      <alignment horizontal="center" shrinkToFit="1"/>
    </xf>
    <xf numFmtId="0" fontId="36" fillId="0" borderId="105" xfId="0" applyFont="1" applyBorder="1" applyAlignment="1">
      <alignment horizontal="center" shrinkToFit="1"/>
    </xf>
    <xf numFmtId="0" fontId="37" fillId="0" borderId="120" xfId="0" applyFont="1" applyBorder="1" applyAlignment="1">
      <alignment horizontal="right"/>
    </xf>
    <xf numFmtId="0" fontId="36" fillId="0" borderId="106" xfId="0" applyFont="1" applyBorder="1" applyAlignment="1">
      <alignment horizontal="center" shrinkToFit="1"/>
    </xf>
    <xf numFmtId="0" fontId="36" fillId="0" borderId="107" xfId="0" applyFont="1" applyBorder="1" applyAlignment="1">
      <alignment horizontal="center" shrinkToFit="1"/>
    </xf>
    <xf numFmtId="0" fontId="36" fillId="0" borderId="113" xfId="0" applyFont="1" applyBorder="1" applyAlignment="1">
      <alignment horizontal="center" shrinkToFit="1"/>
    </xf>
    <xf numFmtId="0" fontId="36" fillId="0" borderId="120" xfId="0" applyFont="1" applyBorder="1" applyAlignment="1">
      <alignment horizontal="center" shrinkToFit="1"/>
    </xf>
    <xf numFmtId="0" fontId="36" fillId="0" borderId="123" xfId="0" applyFont="1" applyBorder="1" applyAlignment="1">
      <alignment horizontal="center" shrinkToFit="1"/>
    </xf>
    <xf numFmtId="0" fontId="36" fillId="0" borderId="116" xfId="0" applyFont="1" applyBorder="1" applyAlignment="1">
      <alignment horizontal="center" shrinkToFit="1"/>
    </xf>
    <xf numFmtId="0" fontId="36" fillId="0" borderId="108" xfId="0" applyFont="1" applyBorder="1" applyAlignment="1">
      <alignment horizontal="center" shrinkToFit="1"/>
    </xf>
    <xf numFmtId="0" fontId="37" fillId="0" borderId="120" xfId="0" applyFont="1" applyBorder="1"/>
    <xf numFmtId="0" fontId="37" fillId="24" borderId="120" xfId="0" applyFont="1" applyFill="1" applyBorder="1"/>
    <xf numFmtId="0" fontId="37" fillId="0" borderId="121" xfId="0" applyFont="1" applyBorder="1"/>
    <xf numFmtId="0" fontId="47" fillId="52" borderId="0" xfId="0" applyFont="1" applyFill="1"/>
    <xf numFmtId="0" fontId="186" fillId="0" borderId="0" xfId="0" applyFont="1" applyAlignment="1">
      <alignment horizontal="center"/>
    </xf>
    <xf numFmtId="0" fontId="36" fillId="0" borderId="0" xfId="0" applyFont="1" applyAlignment="1">
      <alignment horizontal="center" shrinkToFit="1"/>
    </xf>
    <xf numFmtId="183" fontId="37" fillId="0" borderId="0" xfId="0" applyNumberFormat="1" applyFont="1"/>
    <xf numFmtId="185" fontId="37" fillId="0" borderId="0" xfId="0" applyNumberFormat="1" applyFont="1"/>
    <xf numFmtId="185" fontId="37" fillId="24" borderId="0" xfId="0" applyNumberFormat="1" applyFont="1" applyFill="1"/>
    <xf numFmtId="184" fontId="37" fillId="0" borderId="0" xfId="0" applyNumberFormat="1" applyFont="1"/>
    <xf numFmtId="0" fontId="34" fillId="0" borderId="118" xfId="0" applyFont="1" applyBorder="1" applyAlignment="1">
      <alignment horizontal="center"/>
    </xf>
    <xf numFmtId="0" fontId="34" fillId="0" borderId="33" xfId="0" applyFont="1" applyBorder="1" applyAlignment="1">
      <alignment horizontal="center"/>
    </xf>
    <xf numFmtId="0" fontId="31" fillId="0" borderId="33" xfId="0" applyFont="1" applyBorder="1" applyAlignment="1">
      <alignment horizontal="center"/>
    </xf>
    <xf numFmtId="0" fontId="31" fillId="0" borderId="102" xfId="0" applyFont="1" applyBorder="1" applyAlignment="1">
      <alignment horizontal="center"/>
    </xf>
    <xf numFmtId="0" fontId="34" fillId="0" borderId="77" xfId="0" applyFont="1" applyBorder="1" applyAlignment="1">
      <alignment horizontal="center"/>
    </xf>
    <xf numFmtId="183" fontId="37" fillId="0" borderId="106" xfId="0" applyNumberFormat="1" applyFont="1" applyBorder="1" applyAlignment="1">
      <alignment horizontal="center"/>
    </xf>
    <xf numFmtId="183" fontId="37" fillId="0" borderId="107" xfId="0" applyNumberFormat="1" applyFont="1" applyBorder="1" applyAlignment="1">
      <alignment horizontal="center"/>
    </xf>
    <xf numFmtId="183" fontId="37" fillId="0" borderId="113" xfId="0" applyNumberFormat="1" applyFont="1" applyBorder="1" applyAlignment="1">
      <alignment horizontal="center"/>
    </xf>
    <xf numFmtId="183" fontId="37" fillId="0" borderId="116" xfId="0" applyNumberFormat="1" applyFont="1" applyBorder="1" applyAlignment="1">
      <alignment horizontal="center"/>
    </xf>
    <xf numFmtId="183" fontId="37" fillId="0" borderId="108" xfId="0" applyNumberFormat="1" applyFont="1" applyBorder="1" applyAlignment="1">
      <alignment horizontal="center"/>
    </xf>
    <xf numFmtId="183" fontId="37" fillId="0" borderId="120" xfId="0" applyNumberFormat="1" applyFont="1" applyBorder="1" applyAlignment="1">
      <alignment horizontal="center"/>
    </xf>
    <xf numFmtId="183" fontId="37" fillId="0" borderId="123" xfId="0" applyNumberFormat="1" applyFont="1" applyBorder="1" applyAlignment="1">
      <alignment horizontal="center"/>
    </xf>
    <xf numFmtId="185" fontId="37" fillId="0" borderId="108" xfId="0" applyNumberFormat="1" applyFont="1" applyBorder="1" applyAlignment="1">
      <alignment horizontal="center"/>
    </xf>
    <xf numFmtId="183" fontId="37" fillId="24" borderId="106" xfId="0" applyNumberFormat="1" applyFont="1" applyFill="1" applyBorder="1" applyAlignment="1">
      <alignment horizontal="center"/>
    </xf>
    <xf numFmtId="183" fontId="37" fillId="24" borderId="107" xfId="0" applyNumberFormat="1" applyFont="1" applyFill="1" applyBorder="1" applyAlignment="1">
      <alignment horizontal="center"/>
    </xf>
    <xf numFmtId="183" fontId="37" fillId="24" borderId="113" xfId="0" applyNumberFormat="1" applyFont="1" applyFill="1" applyBorder="1" applyAlignment="1">
      <alignment horizontal="center"/>
    </xf>
    <xf numFmtId="183" fontId="37" fillId="24" borderId="116" xfId="0" applyNumberFormat="1" applyFont="1" applyFill="1" applyBorder="1" applyAlignment="1">
      <alignment horizontal="center"/>
    </xf>
    <xf numFmtId="185" fontId="37" fillId="24" borderId="108" xfId="0" applyNumberFormat="1" applyFont="1" applyFill="1" applyBorder="1" applyAlignment="1">
      <alignment horizontal="center"/>
    </xf>
    <xf numFmtId="183" fontId="37" fillId="24" borderId="120" xfId="0" applyNumberFormat="1" applyFont="1" applyFill="1" applyBorder="1" applyAlignment="1">
      <alignment horizontal="center"/>
    </xf>
    <xf numFmtId="183" fontId="37" fillId="24" borderId="123" xfId="0" applyNumberFormat="1" applyFont="1" applyFill="1" applyBorder="1" applyAlignment="1">
      <alignment horizontal="center"/>
    </xf>
    <xf numFmtId="183" fontId="37" fillId="0" borderId="109" xfId="0" applyNumberFormat="1" applyFont="1" applyBorder="1" applyAlignment="1">
      <alignment horizontal="center"/>
    </xf>
    <xf numFmtId="183" fontId="37" fillId="0" borderId="110" xfId="0" applyNumberFormat="1" applyFont="1" applyBorder="1" applyAlignment="1">
      <alignment horizontal="center"/>
    </xf>
    <xf numFmtId="183" fontId="37" fillId="0" borderId="114" xfId="0" applyNumberFormat="1" applyFont="1" applyBorder="1" applyAlignment="1">
      <alignment horizontal="center"/>
    </xf>
    <xf numFmtId="183" fontId="37" fillId="0" borderId="117" xfId="0" applyNumberFormat="1" applyFont="1" applyBorder="1" applyAlignment="1">
      <alignment horizontal="center"/>
    </xf>
    <xf numFmtId="184" fontId="37" fillId="0" borderId="111" xfId="0" applyNumberFormat="1" applyFont="1" applyBorder="1" applyAlignment="1">
      <alignment horizontal="center"/>
    </xf>
    <xf numFmtId="183" fontId="37" fillId="0" borderId="121" xfId="0" applyNumberFormat="1" applyFont="1" applyBorder="1" applyAlignment="1">
      <alignment horizontal="center"/>
    </xf>
    <xf numFmtId="183" fontId="37" fillId="0" borderId="124" xfId="0" applyNumberFormat="1" applyFont="1" applyBorder="1" applyAlignment="1">
      <alignment horizontal="center"/>
    </xf>
    <xf numFmtId="0" fontId="186" fillId="0" borderId="87" xfId="0" applyFont="1" applyBorder="1"/>
    <xf numFmtId="170" fontId="11" fillId="0" borderId="36" xfId="49" applyNumberFormat="1" applyFont="1" applyBorder="1"/>
    <xf numFmtId="170" fontId="0" fillId="0" borderId="53" xfId="0" applyNumberFormat="1" applyBorder="1"/>
    <xf numFmtId="170" fontId="0" fillId="0" borderId="55" xfId="0" applyNumberFormat="1" applyBorder="1"/>
    <xf numFmtId="3" fontId="11" fillId="0" borderId="35" xfId="49" applyNumberFormat="1" applyFont="1" applyBorder="1"/>
    <xf numFmtId="3" fontId="11" fillId="0" borderId="52" xfId="49" applyNumberFormat="1" applyFont="1" applyBorder="1"/>
    <xf numFmtId="170" fontId="11" fillId="0" borderId="35" xfId="49" applyNumberFormat="1" applyFont="1" applyBorder="1"/>
    <xf numFmtId="170" fontId="11" fillId="0" borderId="52" xfId="49" applyNumberFormat="1" applyFont="1" applyBorder="1"/>
    <xf numFmtId="3" fontId="11" fillId="0" borderId="39" xfId="49" applyNumberFormat="1" applyFont="1" applyBorder="1"/>
    <xf numFmtId="3" fontId="11" fillId="0" borderId="38" xfId="49" applyNumberFormat="1" applyFont="1" applyBorder="1"/>
    <xf numFmtId="0" fontId="36" fillId="0" borderId="60" xfId="0" applyFont="1" applyBorder="1" applyAlignment="1">
      <alignment horizontal="right"/>
    </xf>
    <xf numFmtId="0" fontId="36" fillId="0" borderId="61" xfId="0" applyFont="1" applyBorder="1" applyAlignment="1">
      <alignment horizontal="right"/>
    </xf>
    <xf numFmtId="0" fontId="57" fillId="35" borderId="33" xfId="0" applyFont="1" applyFill="1" applyBorder="1" applyAlignment="1">
      <alignment horizontal="center" vertical="center"/>
    </xf>
    <xf numFmtId="0" fontId="51" fillId="0" borderId="0" xfId="0" applyFont="1" applyAlignment="1">
      <alignment vertical="top"/>
    </xf>
    <xf numFmtId="0" fontId="0" fillId="0" borderId="0" xfId="0" applyAlignment="1">
      <alignment vertical="top"/>
    </xf>
    <xf numFmtId="0" fontId="11" fillId="53" borderId="0" xfId="0" applyFont="1" applyFill="1" applyAlignment="1">
      <alignment horizontal="center" vertical="center"/>
    </xf>
    <xf numFmtId="0" fontId="11" fillId="0" borderId="125" xfId="0" applyFont="1" applyBorder="1"/>
    <xf numFmtId="0" fontId="0" fillId="0" borderId="125" xfId="0" applyBorder="1"/>
    <xf numFmtId="0" fontId="0" fillId="0" borderId="125" xfId="0" applyBorder="1" applyAlignment="1">
      <alignment horizontal="right"/>
    </xf>
    <xf numFmtId="0" fontId="0" fillId="0" borderId="126" xfId="0" applyBorder="1" applyAlignment="1">
      <alignment horizontal="right"/>
    </xf>
    <xf numFmtId="0" fontId="0" fillId="0" borderId="130" xfId="0" applyBorder="1"/>
    <xf numFmtId="169" fontId="0" fillId="0" borderId="130" xfId="0" applyNumberFormat="1" applyBorder="1" applyAlignment="1">
      <alignment horizontal="right"/>
    </xf>
    <xf numFmtId="169" fontId="0" fillId="0" borderId="131" xfId="0" applyNumberFormat="1" applyBorder="1" applyAlignment="1">
      <alignment horizontal="right"/>
    </xf>
    <xf numFmtId="167" fontId="11" fillId="0" borderId="132" xfId="0" applyNumberFormat="1" applyFont="1" applyBorder="1" applyAlignment="1">
      <alignment horizontal="right"/>
    </xf>
    <xf numFmtId="167" fontId="11" fillId="0" borderId="133" xfId="0" applyNumberFormat="1" applyFont="1" applyBorder="1" applyAlignment="1">
      <alignment horizontal="right"/>
    </xf>
    <xf numFmtId="0" fontId="11" fillId="0" borderId="35" xfId="0" applyFont="1" applyBorder="1" applyAlignment="1">
      <alignment horizontal="right"/>
    </xf>
    <xf numFmtId="0" fontId="0" fillId="0" borderId="35" xfId="0" applyBorder="1"/>
    <xf numFmtId="169" fontId="0" fillId="0" borderId="35" xfId="0" applyNumberFormat="1" applyBorder="1" applyAlignment="1">
      <alignment horizontal="right"/>
    </xf>
    <xf numFmtId="169" fontId="0" fillId="0" borderId="52" xfId="0" applyNumberFormat="1" applyBorder="1" applyAlignment="1">
      <alignment horizontal="right"/>
    </xf>
    <xf numFmtId="167" fontId="11" fillId="0" borderId="52" xfId="0" applyNumberFormat="1" applyFont="1" applyBorder="1" applyAlignment="1">
      <alignment horizontal="right"/>
    </xf>
    <xf numFmtId="167" fontId="0" fillId="61" borderId="0" xfId="0" applyNumberFormat="1" applyFill="1" applyAlignment="1">
      <alignment horizontal="right"/>
    </xf>
    <xf numFmtId="167" fontId="0" fillId="61" borderId="52" xfId="0" applyNumberFormat="1" applyFill="1" applyBorder="1" applyAlignment="1">
      <alignment horizontal="right"/>
    </xf>
    <xf numFmtId="0" fontId="11" fillId="0" borderId="39" xfId="0" applyFont="1" applyBorder="1" applyAlignment="1">
      <alignment horizontal="right"/>
    </xf>
    <xf numFmtId="0" fontId="0" fillId="0" borderId="39" xfId="0" applyBorder="1"/>
    <xf numFmtId="169" fontId="0" fillId="0" borderId="39" xfId="0" applyNumberFormat="1" applyBorder="1" applyAlignment="1">
      <alignment horizontal="right"/>
    </xf>
    <xf numFmtId="169" fontId="0" fillId="0" borderId="38" xfId="0" applyNumberFormat="1" applyBorder="1" applyAlignment="1">
      <alignment horizontal="right"/>
    </xf>
    <xf numFmtId="0" fontId="11" fillId="0" borderId="35" xfId="0" applyFont="1" applyBorder="1"/>
    <xf numFmtId="167" fontId="11" fillId="0" borderId="0" xfId="0" applyNumberFormat="1" applyFont="1" applyAlignment="1">
      <alignment horizontal="right"/>
    </xf>
    <xf numFmtId="0" fontId="11" fillId="0" borderId="135" xfId="0" applyFont="1" applyBorder="1"/>
    <xf numFmtId="0" fontId="0" fillId="0" borderId="135" xfId="0" applyBorder="1"/>
    <xf numFmtId="167" fontId="11" fillId="0" borderId="128" xfId="0" applyNumberFormat="1" applyFont="1" applyBorder="1" applyAlignment="1">
      <alignment horizontal="right"/>
    </xf>
    <xf numFmtId="167" fontId="11" fillId="0" borderId="127" xfId="0" applyNumberFormat="1" applyFont="1" applyBorder="1" applyAlignment="1">
      <alignment horizontal="right"/>
    </xf>
    <xf numFmtId="0" fontId="11" fillId="0" borderId="39" xfId="0" applyFont="1" applyBorder="1"/>
    <xf numFmtId="169" fontId="0" fillId="0" borderId="135" xfId="0" applyNumberFormat="1" applyBorder="1" applyAlignment="1">
      <alignment horizontal="right"/>
    </xf>
    <xf numFmtId="169" fontId="0" fillId="0" borderId="128" xfId="0" applyNumberFormat="1" applyBorder="1" applyAlignment="1">
      <alignment horizontal="right"/>
    </xf>
    <xf numFmtId="167" fontId="11" fillId="0" borderId="22" xfId="0" applyNumberFormat="1" applyFont="1" applyBorder="1" applyAlignment="1">
      <alignment horizontal="right"/>
    </xf>
    <xf numFmtId="0" fontId="11" fillId="0" borderId="136" xfId="0" applyFont="1" applyBorder="1" applyAlignment="1">
      <alignment horizontal="right"/>
    </xf>
    <xf numFmtId="0" fontId="11" fillId="0" borderId="136" xfId="0" applyFont="1" applyBorder="1"/>
    <xf numFmtId="166" fontId="0" fillId="0" borderId="136" xfId="0" applyNumberFormat="1" applyBorder="1" applyAlignment="1">
      <alignment horizontal="right"/>
    </xf>
    <xf numFmtId="166" fontId="11" fillId="0" borderId="35" xfId="0" applyNumberFormat="1" applyFont="1" applyBorder="1"/>
    <xf numFmtId="166" fontId="11" fillId="0" borderId="0" xfId="0" applyNumberFormat="1" applyFont="1"/>
    <xf numFmtId="166" fontId="11" fillId="0" borderId="22" xfId="0" applyNumberFormat="1" applyFont="1" applyBorder="1"/>
    <xf numFmtId="0" fontId="0" fillId="0" borderId="136" xfId="0" applyBorder="1" applyAlignment="1">
      <alignment horizontal="right"/>
    </xf>
    <xf numFmtId="3" fontId="0" fillId="0" borderId="125" xfId="0" applyNumberFormat="1" applyBorder="1" applyAlignment="1">
      <alignment horizontal="right"/>
    </xf>
    <xf numFmtId="3" fontId="0" fillId="0" borderId="126" xfId="0" applyNumberFormat="1" applyBorder="1" applyAlignment="1">
      <alignment horizontal="right"/>
    </xf>
    <xf numFmtId="3" fontId="11" fillId="61" borderId="125" xfId="0" applyNumberFormat="1" applyFont="1" applyFill="1" applyBorder="1" applyAlignment="1">
      <alignment horizontal="right"/>
    </xf>
    <xf numFmtId="3" fontId="11" fillId="61" borderId="126" xfId="0" applyNumberFormat="1" applyFont="1" applyFill="1" applyBorder="1" applyAlignment="1">
      <alignment horizontal="right"/>
    </xf>
    <xf numFmtId="3" fontId="0" fillId="0" borderId="35" xfId="0" applyNumberFormat="1" applyBorder="1" applyAlignment="1">
      <alignment horizontal="right"/>
    </xf>
    <xf numFmtId="3" fontId="0" fillId="0" borderId="52" xfId="0" applyNumberFormat="1" applyBorder="1" applyAlignment="1">
      <alignment horizontal="right"/>
    </xf>
    <xf numFmtId="3" fontId="11" fillId="61" borderId="35" xfId="0" applyNumberFormat="1" applyFont="1" applyFill="1" applyBorder="1" applyAlignment="1">
      <alignment horizontal="right"/>
    </xf>
    <xf numFmtId="3" fontId="11" fillId="61" borderId="52" xfId="0" applyNumberFormat="1" applyFont="1" applyFill="1" applyBorder="1" applyAlignment="1">
      <alignment horizontal="right"/>
    </xf>
    <xf numFmtId="3" fontId="0" fillId="0" borderId="39" xfId="0" applyNumberFormat="1" applyBorder="1" applyAlignment="1">
      <alignment horizontal="right"/>
    </xf>
    <xf numFmtId="3" fontId="0" fillId="0" borderId="38" xfId="0" applyNumberFormat="1" applyBorder="1" applyAlignment="1">
      <alignment horizontal="right"/>
    </xf>
    <xf numFmtId="169" fontId="11" fillId="0" borderId="136" xfId="0" applyNumberFormat="1" applyFont="1" applyBorder="1" applyAlignment="1">
      <alignment horizontal="right"/>
    </xf>
    <xf numFmtId="0" fontId="189" fillId="35" borderId="0" xfId="0" applyFont="1" applyFill="1"/>
    <xf numFmtId="0" fontId="0" fillId="0" borderId="125" xfId="0" applyBorder="1" applyAlignment="1">
      <alignment horizontal="center" wrapText="1"/>
    </xf>
    <xf numFmtId="0" fontId="0" fillId="0" borderId="129" xfId="0" applyBorder="1" applyAlignment="1">
      <alignment horizontal="center" wrapText="1"/>
    </xf>
    <xf numFmtId="0" fontId="0" fillId="0" borderId="130" xfId="0" applyBorder="1" applyAlignment="1">
      <alignment horizontal="right"/>
    </xf>
    <xf numFmtId="167" fontId="0" fillId="55" borderId="0" xfId="0" applyNumberFormat="1" applyFill="1" applyAlignment="1">
      <alignment horizontal="center"/>
    </xf>
    <xf numFmtId="2" fontId="0" fillId="55" borderId="0" xfId="0" applyNumberFormat="1" applyFill="1" applyAlignment="1">
      <alignment horizontal="center"/>
    </xf>
    <xf numFmtId="166" fontId="0" fillId="55" borderId="0" xfId="0" applyNumberFormat="1" applyFill="1" applyAlignment="1">
      <alignment horizontal="center"/>
    </xf>
    <xf numFmtId="0" fontId="0" fillId="55" borderId="0" xfId="0" applyFill="1" applyAlignment="1">
      <alignment horizontal="center"/>
    </xf>
    <xf numFmtId="166" fontId="0" fillId="52" borderId="0" xfId="0" applyNumberFormat="1" applyFill="1" applyAlignment="1">
      <alignment horizontal="center"/>
    </xf>
    <xf numFmtId="186" fontId="0" fillId="35" borderId="0" xfId="0" applyNumberFormat="1" applyFill="1"/>
    <xf numFmtId="167" fontId="0" fillId="52" borderId="0" xfId="0" applyNumberFormat="1" applyFill="1" applyAlignment="1">
      <alignment horizontal="center"/>
    </xf>
    <xf numFmtId="181" fontId="0" fillId="0" borderId="134" xfId="0" applyNumberFormat="1" applyBorder="1" applyAlignment="1">
      <alignment horizontal="right"/>
    </xf>
    <xf numFmtId="181" fontId="11" fillId="0" borderId="36" xfId="71" applyNumberFormat="1" applyBorder="1" applyAlignment="1">
      <alignment horizontal="right"/>
    </xf>
    <xf numFmtId="181" fontId="11" fillId="0" borderId="129" xfId="71" applyNumberFormat="1" applyBorder="1" applyAlignment="1">
      <alignment horizontal="right"/>
    </xf>
    <xf numFmtId="181" fontId="11" fillId="0" borderId="128" xfId="0" applyNumberFormat="1" applyFont="1" applyBorder="1" applyAlignment="1">
      <alignment horizontal="right"/>
    </xf>
    <xf numFmtId="181" fontId="11" fillId="0" borderId="129" xfId="0" applyNumberFormat="1" applyFont="1" applyBorder="1" applyAlignment="1">
      <alignment horizontal="right"/>
    </xf>
    <xf numFmtId="1" fontId="0" fillId="35" borderId="0" xfId="0" applyNumberFormat="1" applyFill="1" applyAlignment="1">
      <alignment horizontal="center"/>
    </xf>
    <xf numFmtId="169" fontId="64" fillId="35" borderId="22" xfId="0" applyNumberFormat="1" applyFont="1" applyFill="1" applyBorder="1" applyAlignment="1">
      <alignment horizontal="center"/>
    </xf>
    <xf numFmtId="0" fontId="83" fillId="0" borderId="35" xfId="0" applyFont="1" applyBorder="1"/>
    <xf numFmtId="166" fontId="83" fillId="0" borderId="35" xfId="0" applyNumberFormat="1" applyFont="1" applyBorder="1"/>
    <xf numFmtId="166" fontId="83" fillId="0" borderId="0" xfId="0" applyNumberFormat="1" applyFont="1"/>
    <xf numFmtId="166" fontId="83" fillId="0" borderId="52" xfId="0" applyNumberFormat="1" applyFont="1" applyBorder="1"/>
    <xf numFmtId="166" fontId="83" fillId="0" borderId="125" xfId="0" applyNumberFormat="1" applyFont="1" applyBorder="1"/>
    <xf numFmtId="166" fontId="83" fillId="0" borderId="136" xfId="0" applyNumberFormat="1" applyFont="1" applyBorder="1"/>
    <xf numFmtId="166" fontId="83" fillId="0" borderId="126" xfId="0" applyNumberFormat="1" applyFont="1" applyBorder="1"/>
    <xf numFmtId="3" fontId="83" fillId="0" borderId="35" xfId="0" applyNumberFormat="1" applyFont="1" applyBorder="1"/>
    <xf numFmtId="3" fontId="83" fillId="0" borderId="0" xfId="0" applyNumberFormat="1" applyFont="1"/>
    <xf numFmtId="3" fontId="83" fillId="0" borderId="52" xfId="0" applyNumberFormat="1" applyFont="1" applyBorder="1"/>
    <xf numFmtId="0" fontId="83" fillId="0" borderId="39" xfId="0" applyFont="1" applyBorder="1"/>
    <xf numFmtId="3" fontId="83" fillId="0" borderId="39" xfId="0" applyNumberFormat="1" applyFont="1" applyBorder="1"/>
    <xf numFmtId="3" fontId="83" fillId="0" borderId="22" xfId="0" applyNumberFormat="1" applyFont="1" applyBorder="1"/>
    <xf numFmtId="3" fontId="83" fillId="0" borderId="38" xfId="0" applyNumberFormat="1" applyFont="1" applyBorder="1"/>
    <xf numFmtId="0" fontId="83" fillId="0" borderId="129" xfId="0" applyFont="1" applyBorder="1"/>
    <xf numFmtId="2" fontId="83" fillId="0" borderId="39" xfId="0" applyNumberFormat="1" applyFont="1" applyBorder="1"/>
    <xf numFmtId="2" fontId="83" fillId="0" borderId="22" xfId="0" applyNumberFormat="1" applyFont="1" applyBorder="1"/>
    <xf numFmtId="2" fontId="83" fillId="0" borderId="38" xfId="0" applyNumberFormat="1" applyFont="1" applyBorder="1"/>
    <xf numFmtId="3" fontId="168" fillId="35" borderId="0" xfId="0" applyNumberFormat="1" applyFont="1" applyFill="1" applyAlignment="1">
      <alignment horizontal="center" vertical="center"/>
    </xf>
    <xf numFmtId="2" fontId="83" fillId="0" borderId="35" xfId="0" applyNumberFormat="1" applyFont="1" applyBorder="1"/>
    <xf numFmtId="2" fontId="83" fillId="0" borderId="0" xfId="0" applyNumberFormat="1" applyFont="1"/>
    <xf numFmtId="2" fontId="83" fillId="0" borderId="52" xfId="0" applyNumberFormat="1" applyFont="1" applyBorder="1"/>
    <xf numFmtId="4" fontId="11" fillId="0" borderId="35" xfId="49" applyNumberFormat="1" applyFont="1" applyBorder="1"/>
    <xf numFmtId="4" fontId="11" fillId="0" borderId="36" xfId="49" applyNumberFormat="1" applyFont="1" applyBorder="1"/>
    <xf numFmtId="0" fontId="36" fillId="0" borderId="125" xfId="0" applyFont="1" applyBorder="1" applyAlignment="1">
      <alignment horizontal="center" wrapText="1"/>
    </xf>
    <xf numFmtId="0" fontId="36" fillId="0" borderId="39" xfId="0" applyFont="1" applyBorder="1" applyAlignment="1">
      <alignment horizontal="center" wrapText="1"/>
    </xf>
    <xf numFmtId="9" fontId="0" fillId="34" borderId="0" xfId="0" applyNumberFormat="1" applyFill="1" applyAlignment="1">
      <alignment horizontal="center"/>
    </xf>
    <xf numFmtId="10" fontId="0" fillId="0" borderId="0" xfId="102" applyNumberFormat="1" applyFont="1" applyAlignment="1">
      <alignment wrapText="1"/>
    </xf>
    <xf numFmtId="170" fontId="83" fillId="35" borderId="0" xfId="98" applyNumberFormat="1" applyFont="1" applyFill="1" applyAlignment="1">
      <alignment horizontal="right"/>
    </xf>
    <xf numFmtId="170" fontId="83" fillId="35" borderId="47" xfId="98" applyNumberFormat="1" applyFont="1" applyFill="1" applyBorder="1" applyAlignment="1">
      <alignment horizontal="right"/>
    </xf>
    <xf numFmtId="0" fontId="0" fillId="34" borderId="0" xfId="0" applyFill="1" applyAlignment="1">
      <alignment horizontal="center"/>
    </xf>
    <xf numFmtId="4" fontId="137" fillId="0" borderId="33" xfId="0" applyNumberFormat="1" applyFont="1" applyBorder="1"/>
    <xf numFmtId="3" fontId="63" fillId="34" borderId="0" xfId="0" applyNumberFormat="1" applyFont="1" applyFill="1" applyAlignment="1">
      <alignment horizontal="center"/>
    </xf>
    <xf numFmtId="169" fontId="0" fillId="35" borderId="22" xfId="0" applyNumberFormat="1" applyFill="1" applyBorder="1" applyAlignment="1">
      <alignment horizontal="right" indent="1"/>
    </xf>
    <xf numFmtId="170" fontId="0" fillId="35" borderId="22" xfId="0" applyNumberFormat="1" applyFill="1" applyBorder="1" applyAlignment="1">
      <alignment horizontal="right"/>
    </xf>
    <xf numFmtId="178" fontId="0" fillId="35" borderId="22" xfId="0" applyNumberFormat="1" applyFill="1" applyBorder="1" applyAlignment="1">
      <alignment horizontal="right"/>
    </xf>
    <xf numFmtId="3" fontId="0" fillId="34" borderId="0" xfId="0" applyNumberFormat="1" applyFill="1"/>
    <xf numFmtId="169" fontId="0" fillId="35" borderId="22" xfId="0" applyNumberFormat="1" applyFill="1" applyBorder="1"/>
    <xf numFmtId="183" fontId="0" fillId="35" borderId="22" xfId="0" applyNumberFormat="1" applyFill="1" applyBorder="1"/>
    <xf numFmtId="3" fontId="46" fillId="0" borderId="0" xfId="0" applyNumberFormat="1" applyFont="1" applyAlignment="1">
      <alignment horizontal="center"/>
    </xf>
    <xf numFmtId="0" fontId="52" fillId="0" borderId="33" xfId="0" applyFont="1" applyBorder="1"/>
    <xf numFmtId="0" fontId="52" fillId="0" borderId="34" xfId="0" applyFont="1" applyBorder="1"/>
    <xf numFmtId="0" fontId="23" fillId="0" borderId="136" xfId="0" applyFont="1" applyBorder="1"/>
    <xf numFmtId="0" fontId="23" fillId="0" borderId="44" xfId="0" applyFont="1" applyBorder="1" applyAlignment="1">
      <alignment horizontal="center"/>
    </xf>
    <xf numFmtId="0" fontId="0" fillId="0" borderId="127" xfId="0" applyBorder="1" applyAlignment="1">
      <alignment horizontal="left"/>
    </xf>
    <xf numFmtId="167" fontId="0" fillId="0" borderId="127" xfId="0" applyNumberFormat="1" applyBorder="1" applyAlignment="1">
      <alignment horizontal="center"/>
    </xf>
    <xf numFmtId="2" fontId="0" fillId="0" borderId="127" xfId="0" applyNumberFormat="1" applyBorder="1" applyAlignment="1">
      <alignment horizontal="center"/>
    </xf>
    <xf numFmtId="0" fontId="0" fillId="46" borderId="0" xfId="0" applyFill="1" applyAlignment="1">
      <alignment horizontal="right"/>
    </xf>
    <xf numFmtId="3" fontId="77" fillId="34" borderId="36" xfId="0" applyNumberFormat="1" applyFont="1" applyFill="1" applyBorder="1"/>
    <xf numFmtId="169" fontId="164" fillId="34" borderId="0" xfId="49" applyNumberFormat="1" applyFont="1" applyFill="1"/>
    <xf numFmtId="0" fontId="0" fillId="48" borderId="0" xfId="0" applyFill="1" applyAlignment="1">
      <alignment horizontal="left" indent="1"/>
    </xf>
    <xf numFmtId="0" fontId="23" fillId="48" borderId="0" xfId="0" applyFont="1" applyFill="1" applyAlignment="1">
      <alignment horizontal="left" indent="1"/>
    </xf>
    <xf numFmtId="165" fontId="0" fillId="46" borderId="0" xfId="0" applyNumberFormat="1" applyFill="1" applyAlignment="1">
      <alignment horizontal="right"/>
    </xf>
    <xf numFmtId="170" fontId="0" fillId="35" borderId="0" xfId="0" applyNumberFormat="1" applyFill="1"/>
    <xf numFmtId="170" fontId="0" fillId="35" borderId="0" xfId="0" applyNumberFormat="1" applyFill="1" applyAlignment="1">
      <alignment horizontal="right"/>
    </xf>
    <xf numFmtId="4" fontId="23" fillId="0" borderId="33" xfId="0" applyNumberFormat="1" applyFont="1" applyBorder="1"/>
    <xf numFmtId="179" fontId="0" fillId="35" borderId="22" xfId="0" applyNumberFormat="1" applyFill="1" applyBorder="1" applyAlignment="1">
      <alignment horizontal="right"/>
    </xf>
    <xf numFmtId="3" fontId="77" fillId="40" borderId="36" xfId="0" applyNumberFormat="1" applyFont="1" applyFill="1" applyBorder="1"/>
    <xf numFmtId="0" fontId="0" fillId="57" borderId="0" xfId="0" applyFill="1" applyAlignment="1">
      <alignment horizontal="left" indent="1"/>
    </xf>
    <xf numFmtId="0" fontId="23" fillId="52" borderId="0" xfId="0" applyFont="1" applyFill="1" applyAlignment="1">
      <alignment horizontal="left" indent="1"/>
    </xf>
    <xf numFmtId="4" fontId="0" fillId="35" borderId="22" xfId="0" applyNumberFormat="1" applyFill="1" applyBorder="1" applyAlignment="1">
      <alignment horizontal="right" indent="1"/>
    </xf>
    <xf numFmtId="0" fontId="23" fillId="57" borderId="0" xfId="0" applyFont="1" applyFill="1" applyAlignment="1">
      <alignment horizontal="left" indent="1"/>
    </xf>
    <xf numFmtId="3" fontId="0" fillId="57" borderId="0" xfId="0" applyNumberFormat="1" applyFill="1" applyAlignment="1">
      <alignment horizontal="center"/>
    </xf>
    <xf numFmtId="169" fontId="0" fillId="57" borderId="0" xfId="0" applyNumberFormat="1" applyFill="1" applyAlignment="1">
      <alignment horizontal="center"/>
    </xf>
    <xf numFmtId="166" fontId="55" fillId="35" borderId="0" xfId="0" applyNumberFormat="1" applyFont="1" applyFill="1" applyAlignment="1">
      <alignment horizontal="right" vertical="center"/>
    </xf>
    <xf numFmtId="166" fontId="0" fillId="35" borderId="0" xfId="0" applyNumberFormat="1" applyFill="1" applyAlignment="1">
      <alignment horizontal="right" vertical="center"/>
    </xf>
    <xf numFmtId="166" fontId="57" fillId="35" borderId="33" xfId="0" applyNumberFormat="1" applyFont="1" applyFill="1" applyBorder="1" applyAlignment="1">
      <alignment horizontal="right" vertical="center"/>
    </xf>
    <xf numFmtId="173" fontId="55" fillId="35" borderId="22" xfId="0" applyNumberFormat="1" applyFont="1" applyFill="1" applyBorder="1" applyAlignment="1">
      <alignment horizontal="right" vertical="center"/>
    </xf>
    <xf numFmtId="3" fontId="73" fillId="35" borderId="0" xfId="0" applyNumberFormat="1" applyFont="1" applyFill="1"/>
    <xf numFmtId="178" fontId="0" fillId="35" borderId="0" xfId="0" applyNumberFormat="1" applyFill="1"/>
    <xf numFmtId="170" fontId="73" fillId="35" borderId="0" xfId="0" applyNumberFormat="1" applyFont="1" applyFill="1"/>
    <xf numFmtId="168" fontId="0" fillId="35" borderId="0" xfId="102" applyNumberFormat="1" applyFont="1" applyFill="1"/>
    <xf numFmtId="0" fontId="23" fillId="35" borderId="22" xfId="0" applyFont="1" applyFill="1" applyBorder="1" applyAlignment="1">
      <alignment horizontal="center"/>
    </xf>
    <xf numFmtId="3" fontId="23" fillId="35" borderId="22" xfId="0" applyNumberFormat="1" applyFont="1" applyFill="1" applyBorder="1" applyAlignment="1">
      <alignment horizontal="right"/>
    </xf>
    <xf numFmtId="173" fontId="23" fillId="35" borderId="22" xfId="0" applyNumberFormat="1" applyFont="1" applyFill="1" applyBorder="1" applyAlignment="1">
      <alignment horizontal="right"/>
    </xf>
    <xf numFmtId="167" fontId="23" fillId="35" borderId="22" xfId="0" applyNumberFormat="1" applyFont="1" applyFill="1" applyBorder="1" applyAlignment="1">
      <alignment horizontal="right"/>
    </xf>
    <xf numFmtId="0" fontId="23" fillId="0" borderId="127" xfId="0" applyFont="1" applyBorder="1"/>
    <xf numFmtId="0" fontId="23" fillId="35" borderId="127" xfId="0" applyFont="1" applyFill="1" applyBorder="1" applyAlignment="1">
      <alignment horizontal="center"/>
    </xf>
    <xf numFmtId="3" fontId="23" fillId="35" borderId="127" xfId="0" applyNumberFormat="1" applyFont="1" applyFill="1" applyBorder="1" applyAlignment="1">
      <alignment horizontal="right"/>
    </xf>
    <xf numFmtId="4" fontId="23" fillId="35" borderId="127" xfId="0" applyNumberFormat="1" applyFont="1" applyFill="1" applyBorder="1" applyAlignment="1">
      <alignment horizontal="right"/>
    </xf>
    <xf numFmtId="167" fontId="23" fillId="35" borderId="127" xfId="0" applyNumberFormat="1" applyFont="1" applyFill="1" applyBorder="1" applyAlignment="1">
      <alignment horizontal="right"/>
    </xf>
    <xf numFmtId="170" fontId="23" fillId="35" borderId="22" xfId="0" applyNumberFormat="1" applyFont="1" applyFill="1" applyBorder="1" applyAlignment="1">
      <alignment horizontal="right"/>
    </xf>
    <xf numFmtId="170" fontId="23" fillId="35" borderId="127" xfId="0" applyNumberFormat="1" applyFont="1" applyFill="1" applyBorder="1" applyAlignment="1">
      <alignment horizontal="right"/>
    </xf>
    <xf numFmtId="10" fontId="74" fillId="34" borderId="40" xfId="102" applyNumberFormat="1" applyFont="1" applyFill="1" applyBorder="1" applyAlignment="1">
      <alignment horizontal="center"/>
    </xf>
    <xf numFmtId="167" fontId="74" fillId="34" borderId="40" xfId="0" applyNumberFormat="1" applyFont="1" applyFill="1" applyBorder="1" applyAlignment="1">
      <alignment horizontal="center"/>
    </xf>
    <xf numFmtId="3" fontId="74" fillId="0" borderId="40" xfId="0" applyNumberFormat="1" applyFont="1" applyBorder="1" applyAlignment="1">
      <alignment horizontal="center"/>
    </xf>
    <xf numFmtId="167" fontId="74" fillId="0" borderId="40" xfId="0" applyNumberFormat="1" applyFont="1" applyBorder="1" applyAlignment="1">
      <alignment horizontal="center"/>
    </xf>
    <xf numFmtId="166" fontId="74" fillId="0" borderId="40" xfId="0" applyNumberFormat="1" applyFont="1" applyBorder="1" applyAlignment="1">
      <alignment horizontal="center"/>
    </xf>
    <xf numFmtId="173" fontId="0" fillId="0" borderId="0" xfId="0" applyNumberFormat="1"/>
    <xf numFmtId="1" fontId="27" fillId="0" borderId="17" xfId="49" applyNumberFormat="1" applyFont="1" applyBorder="1" applyAlignment="1">
      <alignment horizontal="center"/>
    </xf>
    <xf numFmtId="165" fontId="27" fillId="0" borderId="15" xfId="49" applyNumberFormat="1" applyFont="1" applyBorder="1"/>
    <xf numFmtId="167" fontId="27" fillId="0" borderId="16" xfId="0" applyNumberFormat="1" applyFont="1" applyBorder="1" applyAlignment="1">
      <alignment horizontal="center"/>
    </xf>
    <xf numFmtId="3" fontId="27" fillId="24" borderId="22" xfId="49" applyNumberFormat="1" applyFont="1" applyFill="1" applyBorder="1"/>
    <xf numFmtId="2" fontId="27" fillId="41" borderId="0" xfId="49" applyNumberFormat="1" applyFont="1" applyFill="1"/>
    <xf numFmtId="3" fontId="27" fillId="25" borderId="0" xfId="49" applyNumberFormat="1" applyFont="1" applyFill="1"/>
    <xf numFmtId="3" fontId="27" fillId="24" borderId="0" xfId="49" applyNumberFormat="1" applyFont="1" applyFill="1"/>
    <xf numFmtId="3" fontId="27" fillId="0" borderId="0" xfId="49" applyNumberFormat="1" applyFont="1"/>
    <xf numFmtId="3" fontId="27" fillId="0" borderId="85" xfId="49" applyNumberFormat="1" applyFont="1" applyBorder="1"/>
    <xf numFmtId="3" fontId="28" fillId="24" borderId="30" xfId="49" applyNumberFormat="1" applyFont="1" applyFill="1" applyBorder="1"/>
    <xf numFmtId="172" fontId="27" fillId="40" borderId="17" xfId="49" applyNumberFormat="1" applyFont="1" applyFill="1" applyBorder="1"/>
    <xf numFmtId="172" fontId="27" fillId="0" borderId="17" xfId="49" applyNumberFormat="1" applyFont="1" applyBorder="1"/>
    <xf numFmtId="173" fontId="83" fillId="35" borderId="0" xfId="98" applyNumberFormat="1" applyFont="1" applyFill="1"/>
    <xf numFmtId="1" fontId="23" fillId="0" borderId="0" xfId="0" applyNumberFormat="1" applyFont="1"/>
    <xf numFmtId="0" fontId="46" fillId="0" borderId="43" xfId="0" applyFont="1" applyBorder="1" applyAlignment="1">
      <alignment horizontal="center"/>
    </xf>
    <xf numFmtId="167" fontId="0" fillId="0" borderId="16" xfId="0" applyNumberFormat="1" applyBorder="1"/>
    <xf numFmtId="10" fontId="0" fillId="0" borderId="0" xfId="0" applyNumberFormat="1"/>
    <xf numFmtId="0" fontId="57" fillId="35" borderId="33" xfId="0" applyFont="1" applyFill="1" applyBorder="1" applyAlignment="1">
      <alignment horizontal="center" vertical="center"/>
    </xf>
    <xf numFmtId="0" fontId="23" fillId="35" borderId="31" xfId="0" applyFont="1" applyFill="1" applyBorder="1" applyAlignment="1">
      <alignment horizontal="center"/>
    </xf>
    <xf numFmtId="0" fontId="0" fillId="35" borderId="22" xfId="0" applyFill="1" applyBorder="1" applyAlignment="1">
      <alignment horizontal="center"/>
    </xf>
    <xf numFmtId="0" fontId="23" fillId="35" borderId="33" xfId="0" applyFont="1" applyFill="1" applyBorder="1" applyAlignment="1">
      <alignment horizontal="center"/>
    </xf>
    <xf numFmtId="0" fontId="0" fillId="35" borderId="54" xfId="0" applyFill="1" applyBorder="1" applyAlignment="1">
      <alignment horizontal="center"/>
    </xf>
    <xf numFmtId="3" fontId="23" fillId="35" borderId="33" xfId="0" applyNumberFormat="1" applyFont="1" applyFill="1" applyBorder="1" applyAlignment="1">
      <alignment horizontal="center"/>
    </xf>
    <xf numFmtId="0" fontId="23" fillId="35" borderId="54" xfId="0" applyFont="1" applyFill="1" applyBorder="1" applyAlignment="1">
      <alignment horizontal="center"/>
    </xf>
    <xf numFmtId="0" fontId="36" fillId="0" borderId="60" xfId="0" applyFont="1" applyBorder="1" applyAlignment="1">
      <alignment horizontal="center" wrapText="1"/>
    </xf>
    <xf numFmtId="0" fontId="36" fillId="0" borderId="61" xfId="0" applyFont="1" applyBorder="1" applyAlignment="1">
      <alignment horizontal="center" wrapText="1"/>
    </xf>
    <xf numFmtId="0" fontId="0" fillId="35" borderId="31" xfId="0" applyFill="1" applyBorder="1" applyAlignment="1">
      <alignment horizontal="center"/>
    </xf>
    <xf numFmtId="0" fontId="186" fillId="35" borderId="29" xfId="0" applyFont="1" applyFill="1" applyBorder="1" applyAlignment="1">
      <alignment horizontal="center"/>
    </xf>
    <xf numFmtId="0" fontId="186" fillId="35" borderId="25" xfId="0" applyFont="1" applyFill="1" applyBorder="1" applyAlignment="1">
      <alignment horizontal="center"/>
    </xf>
    <xf numFmtId="0" fontId="186" fillId="35" borderId="28" xfId="0" applyFont="1" applyFill="1" applyBorder="1" applyAlignment="1">
      <alignment horizontal="center"/>
    </xf>
    <xf numFmtId="0" fontId="23" fillId="35" borderId="31" xfId="0" applyFont="1" applyFill="1" applyBorder="1" applyAlignment="1">
      <alignment horizontal="center" wrapText="1"/>
    </xf>
    <xf numFmtId="0" fontId="36" fillId="0" borderId="56" xfId="0" applyFont="1" applyBorder="1" applyAlignment="1">
      <alignment horizontal="center" wrapText="1"/>
    </xf>
    <xf numFmtId="0" fontId="36" fillId="0" borderId="37" xfId="0" applyFont="1" applyBorder="1" applyAlignment="1">
      <alignment horizontal="center" wrapText="1"/>
    </xf>
    <xf numFmtId="0" fontId="83" fillId="0" borderId="125" xfId="0" applyFont="1" applyBorder="1" applyAlignment="1">
      <alignment horizontal="center" wrapText="1"/>
    </xf>
    <xf numFmtId="0" fontId="83" fillId="0" borderId="35" xfId="0" applyFont="1" applyBorder="1" applyAlignment="1">
      <alignment horizontal="center" wrapText="1"/>
    </xf>
    <xf numFmtId="0" fontId="83" fillId="0" borderId="39" xfId="0" applyFont="1" applyBorder="1" applyAlignment="1">
      <alignment horizontal="center" wrapText="1"/>
    </xf>
    <xf numFmtId="0" fontId="83" fillId="0" borderId="126" xfId="0" applyFont="1" applyBorder="1" applyAlignment="1">
      <alignment horizontal="center" wrapText="1"/>
    </xf>
    <xf numFmtId="0" fontId="83" fillId="0" borderId="52" xfId="0" applyFont="1" applyBorder="1" applyAlignment="1">
      <alignment horizontal="center" wrapText="1"/>
    </xf>
    <xf numFmtId="0" fontId="83" fillId="0" borderId="38" xfId="0" applyFont="1" applyBorder="1" applyAlignment="1">
      <alignment horizontal="center" wrapText="1"/>
    </xf>
    <xf numFmtId="0" fontId="83" fillId="0" borderId="135" xfId="0" applyFont="1" applyBorder="1" applyAlignment="1">
      <alignment horizontal="center"/>
    </xf>
    <xf numFmtId="0" fontId="83" fillId="0" borderId="127" xfId="0" applyFont="1" applyBorder="1" applyAlignment="1">
      <alignment horizontal="center"/>
    </xf>
    <xf numFmtId="0" fontId="83" fillId="0" borderId="128" xfId="0" applyFont="1" applyBorder="1" applyAlignment="1">
      <alignment horizontal="center"/>
    </xf>
    <xf numFmtId="0" fontId="83" fillId="0" borderId="0" xfId="0" applyFont="1" applyAlignment="1">
      <alignment horizontal="center" wrapText="1"/>
    </xf>
    <xf numFmtId="0" fontId="83" fillId="0" borderId="22" xfId="0" applyFont="1" applyBorder="1" applyAlignment="1">
      <alignment horizontal="center" wrapText="1"/>
    </xf>
    <xf numFmtId="0" fontId="83" fillId="0" borderId="125" xfId="0" applyFont="1" applyBorder="1" applyAlignment="1">
      <alignment horizontal="center" vertical="center" wrapText="1"/>
    </xf>
    <xf numFmtId="0" fontId="83" fillId="0" borderId="39" xfId="0" applyFont="1" applyBorder="1" applyAlignment="1">
      <alignment horizontal="center" vertical="center" wrapText="1"/>
    </xf>
    <xf numFmtId="0" fontId="83" fillId="0" borderId="136" xfId="0" applyFont="1" applyBorder="1" applyAlignment="1">
      <alignment horizontal="center" vertical="center" wrapText="1"/>
    </xf>
    <xf numFmtId="0" fontId="83" fillId="0" borderId="22" xfId="0" applyFont="1" applyBorder="1" applyAlignment="1">
      <alignment horizontal="center" vertical="center" wrapText="1"/>
    </xf>
    <xf numFmtId="0" fontId="83" fillId="0" borderId="126" xfId="0" applyFont="1" applyBorder="1" applyAlignment="1">
      <alignment horizontal="center" vertical="center"/>
    </xf>
    <xf numFmtId="0" fontId="83" fillId="0" borderId="38" xfId="0" applyFont="1" applyBorder="1" applyAlignment="1">
      <alignment horizontal="center" vertical="center"/>
    </xf>
    <xf numFmtId="0" fontId="0" fillId="0" borderId="125" xfId="0" applyBorder="1" applyAlignment="1">
      <alignment horizontal="center" vertical="center" wrapText="1"/>
    </xf>
    <xf numFmtId="0" fontId="0" fillId="0" borderId="126" xfId="0" applyBorder="1" applyAlignment="1">
      <alignment horizontal="center" vertical="center"/>
    </xf>
    <xf numFmtId="0" fontId="52" fillId="0" borderId="135" xfId="0" applyFont="1" applyBorder="1" applyAlignment="1">
      <alignment horizontal="center"/>
    </xf>
    <xf numFmtId="0" fontId="52" fillId="0" borderId="128" xfId="0" applyFont="1" applyBorder="1" applyAlignment="1">
      <alignment horizontal="center"/>
    </xf>
    <xf numFmtId="0" fontId="0" fillId="0" borderId="135" xfId="0" applyBorder="1" applyAlignment="1">
      <alignment horizontal="center"/>
    </xf>
    <xf numFmtId="0" fontId="0" fillId="0" borderId="128" xfId="0" applyBorder="1" applyAlignment="1">
      <alignment horizontal="center"/>
    </xf>
    <xf numFmtId="0" fontId="83" fillId="0" borderId="56" xfId="0" applyFont="1" applyBorder="1" applyAlignment="1">
      <alignment horizontal="center" vertical="center"/>
    </xf>
    <xf numFmtId="0" fontId="83" fillId="0" borderId="36" xfId="0" applyFont="1" applyBorder="1" applyAlignment="1">
      <alignment horizontal="center" vertical="center"/>
    </xf>
    <xf numFmtId="0" fontId="83" fillId="0" borderId="37" xfId="0" applyFont="1" applyBorder="1" applyAlignment="1">
      <alignment horizontal="center" vertical="center"/>
    </xf>
    <xf numFmtId="0" fontId="52" fillId="0" borderId="135" xfId="0" applyFont="1" applyBorder="1" applyAlignment="1">
      <alignment horizontal="center" vertical="center"/>
    </xf>
    <xf numFmtId="0" fontId="52" fillId="0" borderId="128" xfId="0" applyFont="1"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23" fillId="0" borderId="136" xfId="0" applyFont="1" applyBorder="1" applyAlignment="1">
      <alignment horizontal="center"/>
    </xf>
    <xf numFmtId="0" fontId="52" fillId="0" borderId="60" xfId="0" applyFont="1" applyBorder="1" applyAlignment="1">
      <alignment horizontal="center" wrapText="1"/>
    </xf>
    <xf numFmtId="0" fontId="52" fillId="0" borderId="61" xfId="0" applyFont="1" applyBorder="1" applyAlignment="1">
      <alignment horizontal="center" wrapText="1"/>
    </xf>
    <xf numFmtId="0" fontId="174" fillId="0" borderId="14" xfId="0" applyFont="1" applyBorder="1" applyAlignment="1">
      <alignment horizontal="center" vertical="center" wrapText="1"/>
    </xf>
    <xf numFmtId="0" fontId="174" fillId="0" borderId="20" xfId="0" applyFont="1" applyBorder="1" applyAlignment="1">
      <alignment horizontal="center" vertical="center"/>
    </xf>
    <xf numFmtId="0" fontId="0" fillId="0" borderId="0" xfId="0" applyAlignment="1">
      <alignment horizontal="center" vertical="top"/>
    </xf>
    <xf numFmtId="0" fontId="175" fillId="35" borderId="87" xfId="0" applyFont="1" applyFill="1" applyBorder="1" applyAlignment="1">
      <alignment horizontal="center" vertical="center"/>
    </xf>
    <xf numFmtId="0" fontId="175" fillId="35" borderId="88" xfId="0" applyFont="1" applyFill="1" applyBorder="1" applyAlignment="1">
      <alignment horizontal="center" vertical="center"/>
    </xf>
    <xf numFmtId="0" fontId="175" fillId="35" borderId="89" xfId="0" applyFont="1" applyFill="1" applyBorder="1" applyAlignment="1">
      <alignment horizontal="center" vertical="center"/>
    </xf>
    <xf numFmtId="0" fontId="175" fillId="35" borderId="15" xfId="0" applyFont="1" applyFill="1" applyBorder="1" applyAlignment="1">
      <alignment horizontal="center" vertical="center"/>
    </xf>
    <xf numFmtId="0" fontId="175" fillId="35" borderId="0" xfId="0" applyFont="1" applyFill="1" applyAlignment="1">
      <alignment horizontal="center" vertical="center"/>
    </xf>
    <xf numFmtId="0" fontId="175" fillId="35" borderId="16" xfId="0" applyFont="1" applyFill="1" applyBorder="1" applyAlignment="1">
      <alignment horizontal="center" vertical="center"/>
    </xf>
    <xf numFmtId="0" fontId="175" fillId="35" borderId="18" xfId="0" applyFont="1" applyFill="1" applyBorder="1" applyAlignment="1">
      <alignment horizontal="center" vertical="center"/>
    </xf>
    <xf numFmtId="0" fontId="175" fillId="35" borderId="85" xfId="0" applyFont="1" applyFill="1" applyBorder="1" applyAlignment="1">
      <alignment horizontal="center" vertical="center"/>
    </xf>
    <xf numFmtId="0" fontId="175" fillId="35" borderId="19" xfId="0" applyFont="1" applyFill="1" applyBorder="1" applyAlignment="1">
      <alignment horizontal="center" vertical="center"/>
    </xf>
    <xf numFmtId="3" fontId="23" fillId="35" borderId="127" xfId="0" applyNumberFormat="1" applyFont="1" applyFill="1" applyBorder="1" applyAlignment="1">
      <alignment horizontal="center"/>
    </xf>
    <xf numFmtId="0" fontId="175" fillId="0" borderId="87" xfId="0" applyFont="1" applyBorder="1" applyAlignment="1">
      <alignment horizontal="center" vertical="center"/>
    </xf>
    <xf numFmtId="0" fontId="175" fillId="0" borderId="89" xfId="0" applyFont="1" applyBorder="1" applyAlignment="1">
      <alignment horizontal="center" vertical="center"/>
    </xf>
    <xf numFmtId="0" fontId="175" fillId="0" borderId="18" xfId="0" applyFont="1" applyBorder="1" applyAlignment="1">
      <alignment horizontal="center" vertical="center"/>
    </xf>
    <xf numFmtId="0" fontId="175" fillId="0" borderId="19" xfId="0" applyFont="1" applyBorder="1" applyAlignment="1">
      <alignment horizontal="center" vertical="center"/>
    </xf>
    <xf numFmtId="0" fontId="57" fillId="0" borderId="33" xfId="0" applyFont="1" applyBorder="1" applyAlignment="1">
      <alignment horizontal="center"/>
    </xf>
    <xf numFmtId="0" fontId="0" fillId="0" borderId="42" xfId="0" applyBorder="1" applyAlignment="1">
      <alignment horizontal="center"/>
    </xf>
    <xf numFmtId="0" fontId="174" fillId="0" borderId="87" xfId="0" applyFont="1" applyBorder="1" applyAlignment="1">
      <alignment horizontal="center" vertical="center" wrapText="1"/>
    </xf>
    <xf numFmtId="0" fontId="174" fillId="0" borderId="89" xfId="0" applyFont="1" applyBorder="1" applyAlignment="1">
      <alignment horizontal="center" vertical="center"/>
    </xf>
    <xf numFmtId="0" fontId="174" fillId="0" borderId="18" xfId="0" applyFont="1" applyBorder="1" applyAlignment="1">
      <alignment horizontal="center" vertical="center"/>
    </xf>
    <xf numFmtId="0" fontId="174" fillId="0" borderId="19" xfId="0" applyFont="1" applyBorder="1" applyAlignment="1">
      <alignment horizontal="center" vertical="center"/>
    </xf>
    <xf numFmtId="0" fontId="175" fillId="0" borderId="87" xfId="0" applyFont="1" applyBorder="1" applyAlignment="1">
      <alignment horizontal="center" vertical="center" wrapText="1"/>
    </xf>
    <xf numFmtId="0" fontId="175" fillId="35" borderId="87" xfId="0" applyFont="1" applyFill="1" applyBorder="1" applyAlignment="1">
      <alignment horizontal="center" vertical="center" wrapText="1"/>
    </xf>
    <xf numFmtId="0" fontId="175" fillId="35" borderId="89" xfId="0" applyFont="1" applyFill="1" applyBorder="1" applyAlignment="1">
      <alignment horizontal="center" vertical="center" wrapText="1"/>
    </xf>
    <xf numFmtId="0" fontId="175" fillId="35" borderId="15" xfId="0" applyFont="1" applyFill="1" applyBorder="1" applyAlignment="1">
      <alignment horizontal="center" vertical="center" wrapText="1"/>
    </xf>
    <xf numFmtId="0" fontId="175" fillId="35" borderId="16" xfId="0" applyFont="1" applyFill="1" applyBorder="1" applyAlignment="1">
      <alignment horizontal="center" vertical="center" wrapText="1"/>
    </xf>
    <xf numFmtId="0" fontId="175" fillId="35" borderId="18" xfId="0" applyFont="1" applyFill="1" applyBorder="1" applyAlignment="1">
      <alignment horizontal="center" vertical="center" wrapText="1"/>
    </xf>
    <xf numFmtId="0" fontId="175" fillId="35" borderId="19" xfId="0" applyFont="1" applyFill="1" applyBorder="1" applyAlignment="1">
      <alignment horizontal="center" vertical="center" wrapText="1"/>
    </xf>
    <xf numFmtId="0" fontId="184" fillId="0" borderId="60" xfId="0" applyFont="1" applyBorder="1" applyAlignment="1">
      <alignment horizontal="center"/>
    </xf>
    <xf numFmtId="0" fontId="184" fillId="0" borderId="61" xfId="0" applyFont="1" applyBorder="1" applyAlignment="1">
      <alignment horizontal="center"/>
    </xf>
    <xf numFmtId="0" fontId="184" fillId="0" borderId="33" xfId="0" applyFont="1" applyBorder="1" applyAlignment="1">
      <alignment horizontal="center"/>
    </xf>
    <xf numFmtId="0" fontId="183" fillId="0" borderId="56" xfId="0" applyFont="1" applyBorder="1" applyAlignment="1">
      <alignment horizontal="center"/>
    </xf>
    <xf numFmtId="0" fontId="183" fillId="0" borderId="37" xfId="0" applyFont="1" applyBorder="1" applyAlignment="1">
      <alignment horizontal="center"/>
    </xf>
    <xf numFmtId="0" fontId="52" fillId="0" borderId="53" xfId="0" applyFont="1" applyBorder="1" applyAlignment="1">
      <alignment horizontal="left"/>
    </xf>
    <xf numFmtId="0" fontId="52" fillId="0" borderId="54" xfId="0" applyFont="1" applyBorder="1" applyAlignment="1">
      <alignment horizontal="left"/>
    </xf>
    <xf numFmtId="0" fontId="52" fillId="0" borderId="55" xfId="0" applyFont="1" applyBorder="1" applyAlignment="1">
      <alignment horizontal="left"/>
    </xf>
    <xf numFmtId="0" fontId="140" fillId="43" borderId="90" xfId="0" applyFont="1" applyFill="1" applyBorder="1" applyAlignment="1">
      <alignment horizontal="center"/>
    </xf>
    <xf numFmtId="0" fontId="140" fillId="43" borderId="92" xfId="0" applyFont="1" applyFill="1" applyBorder="1" applyAlignment="1">
      <alignment horizontal="center"/>
    </xf>
    <xf numFmtId="0" fontId="140" fillId="43" borderId="94" xfId="0" applyFont="1" applyFill="1" applyBorder="1" applyAlignment="1">
      <alignment horizontal="center"/>
    </xf>
    <xf numFmtId="0" fontId="0" fillId="0" borderId="22" xfId="0" applyBorder="1" applyAlignment="1">
      <alignment horizontal="left" vertical="top"/>
    </xf>
    <xf numFmtId="0" fontId="138" fillId="0" borderId="59" xfId="0" applyFont="1" applyBorder="1" applyAlignment="1">
      <alignment horizontal="center"/>
    </xf>
    <xf numFmtId="0" fontId="142" fillId="43" borderId="90" xfId="0" applyFont="1" applyFill="1" applyBorder="1" applyAlignment="1">
      <alignment horizontal="center"/>
    </xf>
    <xf numFmtId="0" fontId="142" fillId="43" borderId="92" xfId="0" applyFont="1" applyFill="1" applyBorder="1" applyAlignment="1">
      <alignment horizontal="center"/>
    </xf>
    <xf numFmtId="0" fontId="142" fillId="43" borderId="94" xfId="0" applyFont="1" applyFill="1" applyBorder="1" applyAlignment="1">
      <alignment horizontal="center"/>
    </xf>
    <xf numFmtId="0" fontId="111" fillId="0" borderId="45" xfId="96" applyFont="1" applyBorder="1" applyAlignment="1">
      <alignment horizontal="center" vertical="center"/>
    </xf>
    <xf numFmtId="0" fontId="111" fillId="0" borderId="0" xfId="96" applyFont="1" applyAlignment="1">
      <alignment horizontal="center" vertical="center"/>
    </xf>
    <xf numFmtId="0" fontId="111" fillId="0" borderId="22" xfId="96" applyFont="1" applyBorder="1" applyAlignment="1">
      <alignment horizontal="center" vertical="center"/>
    </xf>
    <xf numFmtId="0" fontId="112" fillId="0" borderId="54" xfId="97" applyFont="1" applyBorder="1" applyAlignment="1">
      <alignment horizontal="center" vertical="center"/>
    </xf>
    <xf numFmtId="0" fontId="112" fillId="0" borderId="0" xfId="97" applyFont="1" applyAlignment="1">
      <alignment horizontal="center" vertical="center"/>
    </xf>
    <xf numFmtId="0" fontId="112" fillId="0" borderId="22" xfId="97" applyFont="1" applyBorder="1" applyAlignment="1">
      <alignment horizontal="center" vertical="center"/>
    </xf>
    <xf numFmtId="0" fontId="111" fillId="0" borderId="56" xfId="96" applyFont="1" applyBorder="1" applyAlignment="1">
      <alignment horizontal="center" vertical="center"/>
    </xf>
    <xf numFmtId="0" fontId="27" fillId="0" borderId="45" xfId="97" applyFont="1" applyBorder="1" applyAlignment="1">
      <alignment horizontal="center" vertical="center"/>
    </xf>
    <xf numFmtId="0" fontId="27" fillId="0" borderId="0" xfId="97" applyFont="1" applyAlignment="1">
      <alignment horizontal="center" vertical="center"/>
    </xf>
    <xf numFmtId="0" fontId="27" fillId="0" borderId="22" xfId="97" applyFont="1" applyBorder="1" applyAlignment="1">
      <alignment horizontal="center" vertical="center"/>
    </xf>
    <xf numFmtId="0" fontId="45" fillId="0" borderId="45" xfId="0" applyFont="1" applyBorder="1" applyAlignment="1">
      <alignment horizontal="left"/>
    </xf>
    <xf numFmtId="0" fontId="0" fillId="0" borderId="0" xfId="0" applyAlignment="1">
      <alignment horizontal="center" vertical="center" wrapText="1"/>
    </xf>
    <xf numFmtId="0" fontId="23" fillId="35" borderId="54" xfId="0" applyFont="1" applyFill="1" applyBorder="1" applyAlignment="1">
      <alignment horizontal="center" vertical="center" wrapText="1"/>
    </xf>
    <xf numFmtId="0" fontId="154" fillId="35" borderId="54" xfId="98" applyFont="1" applyFill="1" applyBorder="1" applyAlignment="1">
      <alignment horizontal="center"/>
    </xf>
    <xf numFmtId="0" fontId="82" fillId="35" borderId="31" xfId="98" applyFont="1" applyFill="1" applyBorder="1" applyAlignment="1">
      <alignment horizontal="right" wrapText="1"/>
    </xf>
    <xf numFmtId="0" fontId="83" fillId="35" borderId="0" xfId="98" applyFont="1" applyFill="1" applyAlignment="1">
      <alignment horizontal="right" wrapText="1"/>
    </xf>
    <xf numFmtId="0" fontId="83" fillId="35" borderId="22" xfId="98" applyFont="1" applyFill="1" applyBorder="1" applyAlignment="1">
      <alignment horizontal="right" wrapText="1"/>
    </xf>
    <xf numFmtId="0" fontId="126" fillId="35" borderId="0" xfId="98" applyFont="1" applyFill="1" applyAlignment="1">
      <alignment horizontal="left"/>
    </xf>
    <xf numFmtId="0" fontId="127" fillId="35" borderId="0" xfId="98" applyFont="1" applyFill="1" applyAlignment="1">
      <alignment horizontal="left"/>
    </xf>
    <xf numFmtId="0" fontId="128" fillId="35" borderId="54" xfId="98" applyFont="1" applyFill="1" applyBorder="1" applyAlignment="1">
      <alignment horizontal="center"/>
    </xf>
    <xf numFmtId="0" fontId="129" fillId="35" borderId="54" xfId="98" applyFont="1" applyFill="1" applyBorder="1" applyAlignment="1">
      <alignment horizontal="center"/>
    </xf>
    <xf numFmtId="0" fontId="82" fillId="35" borderId="41" xfId="87" applyFont="1" applyFill="1" applyBorder="1" applyAlignment="1">
      <alignment horizontal="left" vertical="center" wrapText="1"/>
    </xf>
    <xf numFmtId="0" fontId="82" fillId="35" borderId="36" xfId="87" applyFont="1" applyFill="1" applyBorder="1" applyAlignment="1">
      <alignment horizontal="left" vertical="center" wrapText="1"/>
    </xf>
    <xf numFmtId="0" fontId="82" fillId="35" borderId="50" xfId="87" applyFont="1" applyFill="1" applyBorder="1" applyAlignment="1">
      <alignment horizontal="left" vertical="center" wrapText="1"/>
    </xf>
    <xf numFmtId="0" fontId="82" fillId="35" borderId="56" xfId="87" applyFont="1" applyFill="1" applyBorder="1" applyAlignment="1">
      <alignment horizontal="center" vertical="center" wrapText="1"/>
    </xf>
    <xf numFmtId="0" fontId="82" fillId="35" borderId="36" xfId="87" applyFont="1" applyFill="1" applyBorder="1" applyAlignment="1">
      <alignment horizontal="center" vertical="center" wrapText="1"/>
    </xf>
    <xf numFmtId="0" fontId="82" fillId="35" borderId="50" xfId="87" applyFont="1" applyFill="1" applyBorder="1" applyAlignment="1">
      <alignment horizontal="center" vertical="center" wrapText="1"/>
    </xf>
    <xf numFmtId="0" fontId="82" fillId="35" borderId="53" xfId="87" applyFont="1" applyFill="1" applyBorder="1" applyAlignment="1">
      <alignment horizontal="left" vertical="center" wrapText="1"/>
    </xf>
    <xf numFmtId="0" fontId="82" fillId="35" borderId="49" xfId="87" applyFont="1" applyFill="1" applyBorder="1" applyAlignment="1">
      <alignment horizontal="left" vertical="center" wrapText="1"/>
    </xf>
    <xf numFmtId="0" fontId="83" fillId="35" borderId="0" xfId="87" quotePrefix="1" applyFont="1" applyFill="1" applyAlignment="1">
      <alignment horizontal="left" vertical="center" wrapText="1"/>
    </xf>
    <xf numFmtId="0" fontId="83" fillId="35" borderId="0" xfId="91" quotePrefix="1" applyFont="1" applyFill="1" applyAlignment="1">
      <alignment horizontal="left" vertical="center"/>
    </xf>
    <xf numFmtId="0" fontId="108" fillId="35" borderId="0" xfId="87" quotePrefix="1" applyFont="1" applyFill="1" applyAlignment="1">
      <alignment vertical="center"/>
    </xf>
    <xf numFmtId="0" fontId="83" fillId="35" borderId="0" xfId="91" applyFont="1" applyFill="1" applyAlignment="1">
      <alignment horizontal="left" vertical="center" wrapText="1"/>
    </xf>
    <xf numFmtId="0" fontId="83" fillId="35" borderId="0" xfId="91" applyFont="1" applyFill="1" applyAlignment="1">
      <alignment horizontal="left" vertical="center"/>
    </xf>
    <xf numFmtId="0" fontId="83" fillId="35" borderId="0" xfId="87" quotePrefix="1" applyFont="1" applyFill="1" applyAlignment="1">
      <alignment horizontal="left" vertical="center"/>
    </xf>
    <xf numFmtId="0" fontId="47" fillId="24" borderId="33" xfId="0" applyFont="1" applyFill="1" applyBorder="1" applyAlignment="1">
      <alignment horizontal="center"/>
    </xf>
    <xf numFmtId="0" fontId="25" fillId="24" borderId="0" xfId="0" applyFont="1" applyFill="1" applyAlignment="1">
      <alignment horizontal="left"/>
    </xf>
    <xf numFmtId="0" fontId="28" fillId="24" borderId="12" xfId="0" applyFont="1" applyFill="1" applyBorder="1" applyAlignment="1">
      <alignment horizontal="center"/>
    </xf>
    <xf numFmtId="0" fontId="52" fillId="0" borderId="40" xfId="0" applyFont="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127" xfId="0" applyFont="1" applyBorder="1" applyAlignment="1">
      <alignment horizontal="center"/>
    </xf>
    <xf numFmtId="0" fontId="52" fillId="0" borderId="34" xfId="0" applyFont="1" applyBorder="1" applyAlignment="1">
      <alignment horizontal="center"/>
    </xf>
    <xf numFmtId="0" fontId="145" fillId="35" borderId="0" xfId="98" applyFont="1" applyFill="1" applyAlignment="1">
      <alignment horizontal="left" vertical="top" wrapText="1"/>
    </xf>
    <xf numFmtId="0" fontId="145" fillId="35" borderId="0" xfId="98" applyFont="1" applyFill="1" applyAlignment="1">
      <alignment horizontal="left" vertical="top"/>
    </xf>
    <xf numFmtId="0" fontId="83" fillId="35" borderId="0" xfId="98" applyFont="1" applyFill="1" applyAlignment="1">
      <alignment horizontal="left" wrapText="1"/>
    </xf>
    <xf numFmtId="0" fontId="83" fillId="35" borderId="0" xfId="98" applyFont="1" applyFill="1" applyAlignment="1">
      <alignment wrapText="1"/>
    </xf>
    <xf numFmtId="0" fontId="102" fillId="0" borderId="0" xfId="87" quotePrefix="1" applyFont="1" applyAlignment="1">
      <alignment horizontal="left" vertical="center" wrapText="1"/>
    </xf>
    <xf numFmtId="0" fontId="82" fillId="37" borderId="41" xfId="89" applyFont="1" applyFill="1" applyBorder="1" applyAlignment="1">
      <alignment horizontal="center" vertical="center" wrapText="1"/>
    </xf>
    <xf numFmtId="0" fontId="82" fillId="37" borderId="50" xfId="89" applyFont="1" applyFill="1" applyBorder="1" applyAlignment="1">
      <alignment horizontal="center" vertical="center" wrapText="1"/>
    </xf>
    <xf numFmtId="0" fontId="3" fillId="0" borderId="0" xfId="87" quotePrefix="1" applyAlignment="1">
      <alignment horizontal="left" vertical="center"/>
    </xf>
    <xf numFmtId="0" fontId="3" fillId="0" borderId="0" xfId="87" quotePrefix="1" applyAlignment="1">
      <alignment horizontal="left" vertical="center" wrapText="1"/>
    </xf>
  </cellXfs>
  <cellStyles count="104">
    <cellStyle name="20 % - Accent1" xfId="1"/>
    <cellStyle name="20 % - Accent2" xfId="2"/>
    <cellStyle name="20 % - Accent3" xfId="3"/>
    <cellStyle name="20 % - Accent4" xfId="4"/>
    <cellStyle name="20 % - Accent5" xfId="5"/>
    <cellStyle name="20 % - Accent6" xfId="6"/>
    <cellStyle name="20% - Accent1" xfId="7" builtinId="30" customBuiltin="1"/>
    <cellStyle name="20% - Accent2" xfId="8" builtinId="34" customBuiltin="1"/>
    <cellStyle name="20% - Accent3" xfId="9" builtinId="38" customBuiltin="1"/>
    <cellStyle name="20% - Accent4" xfId="10" builtinId="42" customBuiltin="1"/>
    <cellStyle name="20% - Accent5" xfId="11" builtinId="46" customBuiltin="1"/>
    <cellStyle name="20% - Accent6" xfId="12" builtinId="50" customBuiltin="1"/>
    <cellStyle name="40 % - Accent1" xfId="13"/>
    <cellStyle name="40 % - Accent2" xfId="14"/>
    <cellStyle name="40 % - Accent3" xfId="15"/>
    <cellStyle name="40 % - Accent4" xfId="16"/>
    <cellStyle name="40 % - Accent5" xfId="17"/>
    <cellStyle name="40 % - Accent6" xfId="18"/>
    <cellStyle name="40% - Accent1" xfId="19" builtinId="31" customBuiltin="1"/>
    <cellStyle name="40% - Accent2" xfId="20" builtinId="35" customBuiltin="1"/>
    <cellStyle name="40% - Accent3" xfId="21" builtinId="39" customBuiltin="1"/>
    <cellStyle name="40% - Accent4" xfId="22" builtinId="43" customBuiltin="1"/>
    <cellStyle name="40% - Accent5" xfId="23" builtinId="47" customBuiltin="1"/>
    <cellStyle name="40% - Accent6" xfId="24" builtinId="51" customBuiltin="1"/>
    <cellStyle name="60 % - Accent1" xfId="25"/>
    <cellStyle name="60 % - Accent2" xfId="26"/>
    <cellStyle name="60 % - Accent3" xfId="27"/>
    <cellStyle name="60 % - Accent4" xfId="28"/>
    <cellStyle name="60 % - Accent5" xfId="29"/>
    <cellStyle name="60 % - Accent6" xfId="30"/>
    <cellStyle name="60% - Accent1" xfId="31" builtinId="32" customBuiltin="1"/>
    <cellStyle name="60% - Accent2" xfId="32" builtinId="36" customBuiltin="1"/>
    <cellStyle name="60% - Accent3" xfId="33" builtinId="40" customBuiltin="1"/>
    <cellStyle name="60% - Accent4" xfId="34" builtinId="44" customBuiltin="1"/>
    <cellStyle name="60% - Accent5" xfId="35" builtinId="48" customBuiltin="1"/>
    <cellStyle name="60% - Accent6" xfId="36" builtinId="52" customBuiltin="1"/>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cellStyle name="Bad" xfId="44" builtinId="27" customBuiltin="1"/>
    <cellStyle name="Calcul" xfId="45"/>
    <cellStyle name="Calculation" xfId="46" builtinId="22" customBuiltin="1"/>
    <cellStyle name="Cellule liée" xfId="47"/>
    <cellStyle name="Check Cell" xfId="48" builtinId="23" customBuiltin="1"/>
    <cellStyle name="Comma" xfId="49"/>
    <cellStyle name="Comma 2" xfId="50"/>
    <cellStyle name="Commentaire" xfId="51"/>
    <cellStyle name="Entrée" xfId="52"/>
    <cellStyle name="Explanatory Text" xfId="53" builtinId="53" customBuiltin="1"/>
    <cellStyle name="Good" xfId="90" builtinId="26" customBuiltin="1"/>
    <cellStyle name="Heading 1" xfId="54" builtinId="16" customBuiltin="1"/>
    <cellStyle name="Heading 2" xfId="55" builtinId="17" customBuiltin="1"/>
    <cellStyle name="Heading 3" xfId="56" builtinId="18" customBuiltin="1"/>
    <cellStyle name="Heading 4" xfId="57" builtinId="19" customBuiltin="1"/>
    <cellStyle name="Hyperlink" xfId="99"/>
    <cellStyle name="Hyperlink 2" xfId="58"/>
    <cellStyle name="Input" xfId="59" builtinId="20" customBuiltin="1"/>
    <cellStyle name="Insatisfaisant" xfId="60"/>
    <cellStyle name="Linked Cell" xfId="61" builtinId="24" customBuiltin="1"/>
    <cellStyle name="Neutral" xfId="62" builtinId="28" customBuiltin="1"/>
    <cellStyle name="Neutre" xfId="63"/>
    <cellStyle name="Normal" xfId="0" builtinId="0"/>
    <cellStyle name="Normal 2" xfId="64"/>
    <cellStyle name="Normal 2 2" xfId="97"/>
    <cellStyle name="Normal 2 2 2" xfId="92"/>
    <cellStyle name="Normal 3" xfId="65"/>
    <cellStyle name="Normal 3 2" xfId="89"/>
    <cellStyle name="Normal 4" xfId="66"/>
    <cellStyle name="Normal 5" xfId="87"/>
    <cellStyle name="Normal 5 2" xfId="88"/>
    <cellStyle name="Normal 6" xfId="96"/>
    <cellStyle name="Normal 6 2" xfId="103"/>
    <cellStyle name="Normal 7" xfId="98"/>
    <cellStyle name="Normal_Boilers-a_1" xfId="94"/>
    <cellStyle name="Normal_Danville2" xfId="91"/>
    <cellStyle name="Normal_Fuel trans V1" xfId="101"/>
    <cellStyle name="Normal_LCA_GHG_Fulcrum_MSW_v21" xfId="67"/>
    <cellStyle name="Normal_LCI Vectors_GREET1.8c.0_v5" xfId="68"/>
    <cellStyle name="Normal_Veneer Dryers" xfId="93"/>
    <cellStyle name="Normal_WFIA PTE - 3-06" xfId="95"/>
    <cellStyle name="Note" xfId="69" builtinId="10" customBuiltin="1"/>
    <cellStyle name="Output" xfId="70" builtinId="21" customBuiltin="1"/>
    <cellStyle name="Percent" xfId="102"/>
    <cellStyle name="Percent 2" xfId="71"/>
    <cellStyle name="Percent 3" xfId="100"/>
    <cellStyle name="Plain" xfId="72"/>
    <cellStyle name="Pourcentage 2" xfId="73"/>
    <cellStyle name="Satisfaisant" xfId="74"/>
    <cellStyle name="Scientific" xfId="75"/>
    <cellStyle name="Sortie" xfId="76"/>
    <cellStyle name="Texte explicatif" xfId="77"/>
    <cellStyle name="Title" xfId="78" builtinId="15" customBuiltin="1"/>
    <cellStyle name="Titre" xfId="79"/>
    <cellStyle name="Titre 1" xfId="80"/>
    <cellStyle name="Titre 2" xfId="81"/>
    <cellStyle name="Titre 3" xfId="82"/>
    <cellStyle name="Titre 4" xfId="83"/>
    <cellStyle name="Total" xfId="84" builtinId="25" customBuiltin="1"/>
    <cellStyle name="Vérification" xfId="85"/>
    <cellStyle name="Warning Text" xfId="86" builtinId="11" customBuiltin="1"/>
  </cellStyles>
  <dxfs count="1">
    <dxf>
      <fill>
        <patternFill>
          <bgColor theme="1" tint="0.24994659260841701"/>
        </patternFill>
      </fill>
    </dxf>
  </dxfs>
  <tableStyles count="0" defaultTableStyle="TableStyleMedium2" defaultPivotStyle="PivotStyleLight16"/>
  <colors>
    <mruColors>
      <color rgb="FFFFFFCC"/>
      <color rgb="FFCCCCFF"/>
      <color rgb="FFCCFFCC"/>
      <color rgb="FFFF99FF"/>
      <color rgb="FFFF9900"/>
      <color rgb="FFCCECFF"/>
      <color rgb="FFFFCCFF"/>
      <color rgb="FFFF33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3865338131551"/>
          <c:y val="4.1785375118708452E-2"/>
          <c:w val="0.48394402787015395"/>
          <c:h val="0.64129208848893882"/>
        </c:manualLayout>
      </c:layout>
      <c:barChart>
        <c:barDir val="col"/>
        <c:grouping val="stacked"/>
        <c:varyColors val="0"/>
        <c:ser>
          <c:idx val="0"/>
          <c:order val="0"/>
          <c:tx>
            <c:strRef>
              <c:f>Results!$M$60</c:f>
              <c:strCache>
                <c:ptCount val="1"/>
                <c:pt idx="0">
                  <c:v>Construction</c:v>
                </c:pt>
              </c:strCache>
            </c:strRef>
          </c:tx>
          <c:spPr>
            <a:solidFill>
              <a:schemeClr val="accent1"/>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Results!$N$60:$Q$60</c:f>
              <c:numCache>
                <c:formatCode>General</c:formatCode>
                <c:ptCount val="4"/>
                <c:pt idx="0" formatCode="#,##0">
                  <c:v>1580.7997202170586</c:v>
                </c:pt>
                <c:pt idx="2">
                  <c:v>1580.7997202170586</c:v>
                </c:pt>
              </c:numCache>
            </c:numRef>
          </c:val>
          <c:extLst xmlns:c16r2="http://schemas.microsoft.com/office/drawing/2015/06/chart">
            <c:ext xmlns:c16="http://schemas.microsoft.com/office/drawing/2014/chart" uri="{C3380CC4-5D6E-409C-BE32-E72D297353CC}">
              <c16:uniqueId val="{00000000-946B-4BD4-BDFB-7332A311A48B}"/>
            </c:ext>
          </c:extLst>
        </c:ser>
        <c:ser>
          <c:idx val="1"/>
          <c:order val="1"/>
          <c:tx>
            <c:strRef>
              <c:f>Results!$M$61</c:f>
              <c:strCache>
                <c:ptCount val="1"/>
                <c:pt idx="0">
                  <c:v>Upstream Life cycle</c:v>
                </c:pt>
              </c:strCache>
            </c:strRef>
          </c:tx>
          <c:spPr>
            <a:solidFill>
              <a:srgbClr val="C00000"/>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Results!$N$61:$Q$61</c:f>
              <c:numCache>
                <c:formatCode>#,##0</c:formatCode>
                <c:ptCount val="4"/>
                <c:pt idx="0">
                  <c:v>215757.18498103466</c:v>
                </c:pt>
                <c:pt idx="1">
                  <c:v>298718.59670037974</c:v>
                </c:pt>
                <c:pt idx="2" formatCode="General">
                  <c:v>107910.96397302329</c:v>
                </c:pt>
                <c:pt idx="3" formatCode="General">
                  <c:v>149319.44082220312</c:v>
                </c:pt>
              </c:numCache>
            </c:numRef>
          </c:val>
          <c:extLst xmlns:c16r2="http://schemas.microsoft.com/office/drawing/2015/06/chart">
            <c:ext xmlns:c16="http://schemas.microsoft.com/office/drawing/2014/chart" uri="{C3380CC4-5D6E-409C-BE32-E72D297353CC}">
              <c16:uniqueId val="{00000001-946B-4BD4-BDFB-7332A311A48B}"/>
            </c:ext>
          </c:extLst>
        </c:ser>
        <c:ser>
          <c:idx val="2"/>
          <c:order val="2"/>
          <c:tx>
            <c:strRef>
              <c:f>Results!$M$62</c:f>
              <c:strCache>
                <c:ptCount val="1"/>
                <c:pt idx="0">
                  <c:v>LNG Plant and Fugitives</c:v>
                </c:pt>
              </c:strCache>
            </c:strRef>
          </c:tx>
          <c:spPr>
            <a:solidFill>
              <a:srgbClr val="FFFF00"/>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Results!$N$62:$Q$62</c:f>
              <c:numCache>
                <c:formatCode>General</c:formatCode>
                <c:ptCount val="4"/>
                <c:pt idx="0" formatCode="#,##0">
                  <c:v>113280.84210940388</c:v>
                </c:pt>
                <c:pt idx="2">
                  <c:v>54521.505006099578</c:v>
                </c:pt>
              </c:numCache>
            </c:numRef>
          </c:val>
          <c:extLst xmlns:c16r2="http://schemas.microsoft.com/office/drawing/2015/06/chart">
            <c:ext xmlns:c16="http://schemas.microsoft.com/office/drawing/2014/chart" uri="{C3380CC4-5D6E-409C-BE32-E72D297353CC}">
              <c16:uniqueId val="{00000002-946B-4BD4-BDFB-7332A311A48B}"/>
            </c:ext>
          </c:extLst>
        </c:ser>
        <c:ser>
          <c:idx val="4"/>
          <c:order val="3"/>
          <c:tx>
            <c:strRef>
              <c:f>Results!$M$64</c:f>
              <c:strCache>
                <c:ptCount val="1"/>
                <c:pt idx="0">
                  <c:v>On-site Peak Shaving</c:v>
                </c:pt>
              </c:strCache>
            </c:strRef>
          </c:tx>
          <c:spPr>
            <a:solidFill>
              <a:srgbClr val="7030A0"/>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Results!$N$64:$Q$64</c:f>
              <c:numCache>
                <c:formatCode>#,##0</c:formatCode>
                <c:ptCount val="4"/>
                <c:pt idx="0">
                  <c:v>8879.1871482224105</c:v>
                </c:pt>
                <c:pt idx="1">
                  <c:v>8973.3866043995695</c:v>
                </c:pt>
                <c:pt idx="2" formatCode="0.0">
                  <c:v>8879.1871482224105</c:v>
                </c:pt>
                <c:pt idx="3" formatCode="0.0">
                  <c:v>8973.3866043995695</c:v>
                </c:pt>
              </c:numCache>
            </c:numRef>
          </c:val>
          <c:extLst xmlns:c16r2="http://schemas.microsoft.com/office/drawing/2015/06/chart">
            <c:ext xmlns:c16="http://schemas.microsoft.com/office/drawing/2014/chart" uri="{C3380CC4-5D6E-409C-BE32-E72D297353CC}">
              <c16:uniqueId val="{00000003-946B-4BD4-BDFB-7332A311A48B}"/>
            </c:ext>
          </c:extLst>
        </c:ser>
        <c:ser>
          <c:idx val="5"/>
          <c:order val="4"/>
          <c:tx>
            <c:strRef>
              <c:f>Results!$M$65</c:f>
              <c:strCache>
                <c:ptCount val="1"/>
                <c:pt idx="0">
                  <c:v>Gig harbor LNG</c:v>
                </c:pt>
              </c:strCache>
            </c:strRef>
          </c:tx>
          <c:spPr>
            <a:solidFill>
              <a:schemeClr val="accent4">
                <a:lumMod val="60000"/>
                <a:lumOff val="40000"/>
              </a:schemeClr>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Results!$N$65:$Q$65</c:f>
              <c:numCache>
                <c:formatCode>#,##0</c:formatCode>
                <c:ptCount val="4"/>
                <c:pt idx="0">
                  <c:v>8041.4637209028569</c:v>
                </c:pt>
                <c:pt idx="1">
                  <c:v>8080.4371930752468</c:v>
                </c:pt>
                <c:pt idx="2" formatCode="General">
                  <c:v>0</c:v>
                </c:pt>
                <c:pt idx="3" formatCode="General">
                  <c:v>0</c:v>
                </c:pt>
              </c:numCache>
            </c:numRef>
          </c:val>
          <c:extLst xmlns:c16r2="http://schemas.microsoft.com/office/drawing/2015/06/chart">
            <c:ext xmlns:c16="http://schemas.microsoft.com/office/drawing/2014/chart" uri="{C3380CC4-5D6E-409C-BE32-E72D297353CC}">
              <c16:uniqueId val="{00000004-946B-4BD4-BDFB-7332A311A48B}"/>
            </c:ext>
          </c:extLst>
        </c:ser>
        <c:ser>
          <c:idx val="6"/>
          <c:order val="5"/>
          <c:tx>
            <c:strRef>
              <c:f>Results!$M$66</c:f>
              <c:strCache>
                <c:ptCount val="1"/>
                <c:pt idx="0">
                  <c:v>On-road Trucking</c:v>
                </c:pt>
              </c:strCache>
            </c:strRef>
          </c:tx>
          <c:spPr>
            <a:solidFill>
              <a:srgbClr val="FFC000"/>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Results!$N$66:$Q$66</c:f>
              <c:numCache>
                <c:formatCode>#,##0</c:formatCode>
                <c:ptCount val="4"/>
                <c:pt idx="0">
                  <c:v>17862.044151279966</c:v>
                </c:pt>
                <c:pt idx="1">
                  <c:v>19315.926792699673</c:v>
                </c:pt>
                <c:pt idx="2" formatCode="General">
                  <c:v>0</c:v>
                </c:pt>
                <c:pt idx="3" formatCode="General">
                  <c:v>0</c:v>
                </c:pt>
              </c:numCache>
            </c:numRef>
          </c:val>
          <c:extLst xmlns:c16r2="http://schemas.microsoft.com/office/drawing/2015/06/chart">
            <c:ext xmlns:c16="http://schemas.microsoft.com/office/drawing/2014/chart" uri="{C3380CC4-5D6E-409C-BE32-E72D297353CC}">
              <c16:uniqueId val="{00000005-946B-4BD4-BDFB-7332A311A48B}"/>
            </c:ext>
          </c:extLst>
        </c:ser>
        <c:ser>
          <c:idx val="7"/>
          <c:order val="6"/>
          <c:tx>
            <c:strRef>
              <c:f>Results!$M$67</c:f>
              <c:strCache>
                <c:ptCount val="1"/>
                <c:pt idx="0">
                  <c:v>TOTE Marine</c:v>
                </c:pt>
              </c:strCache>
            </c:strRef>
          </c:tx>
          <c:spPr>
            <a:solidFill>
              <a:srgbClr val="00B050"/>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Results!$N$67:$Q$67</c:f>
              <c:numCache>
                <c:formatCode>#,##0</c:formatCode>
                <c:ptCount val="4"/>
                <c:pt idx="0">
                  <c:v>216544.64286583982</c:v>
                </c:pt>
                <c:pt idx="1">
                  <c:v>238763.77251289575</c:v>
                </c:pt>
                <c:pt idx="2" formatCode="General">
                  <c:v>216544.64286584005</c:v>
                </c:pt>
                <c:pt idx="3" formatCode="General">
                  <c:v>238763.77251289604</c:v>
                </c:pt>
              </c:numCache>
            </c:numRef>
          </c:val>
          <c:extLst xmlns:c16r2="http://schemas.microsoft.com/office/drawing/2015/06/chart">
            <c:ext xmlns:c16="http://schemas.microsoft.com/office/drawing/2014/chart" uri="{C3380CC4-5D6E-409C-BE32-E72D297353CC}">
              <c16:uniqueId val="{00000006-946B-4BD4-BDFB-7332A311A48B}"/>
            </c:ext>
          </c:extLst>
        </c:ser>
        <c:ser>
          <c:idx val="8"/>
          <c:order val="7"/>
          <c:tx>
            <c:strRef>
              <c:f>Results!$M$69</c:f>
              <c:strCache>
                <c:ptCount val="1"/>
                <c:pt idx="0">
                  <c:v>Marine by Truck</c:v>
                </c:pt>
              </c:strCache>
            </c:strRef>
          </c:tx>
          <c:spPr>
            <a:solidFill>
              <a:srgbClr val="FF3399"/>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Results!$N$69:$Q$69</c:f>
              <c:numCache>
                <c:formatCode>#,##0</c:formatCode>
                <c:ptCount val="4"/>
                <c:pt idx="0">
                  <c:v>10133.178800773285</c:v>
                </c:pt>
                <c:pt idx="1">
                  <c:v>11172.920124000904</c:v>
                </c:pt>
                <c:pt idx="2" formatCode="General">
                  <c:v>0</c:v>
                </c:pt>
                <c:pt idx="3" formatCode="General">
                  <c:v>0</c:v>
                </c:pt>
              </c:numCache>
            </c:numRef>
          </c:val>
          <c:extLst xmlns:c16r2="http://schemas.microsoft.com/office/drawing/2015/06/chart">
            <c:ext xmlns:c16="http://schemas.microsoft.com/office/drawing/2014/chart" uri="{C3380CC4-5D6E-409C-BE32-E72D297353CC}">
              <c16:uniqueId val="{00000007-946B-4BD4-BDFB-7332A311A48B}"/>
            </c:ext>
          </c:extLst>
        </c:ser>
        <c:ser>
          <c:idx val="11"/>
          <c:order val="8"/>
          <c:tx>
            <c:strRef>
              <c:f>Results!$M$71</c:f>
              <c:strCache>
                <c:ptCount val="1"/>
                <c:pt idx="0">
                  <c:v>Marine Fuel</c:v>
                </c:pt>
              </c:strCache>
            </c:strRef>
          </c:tx>
          <c:spPr>
            <a:solidFill>
              <a:srgbClr val="0070C0"/>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Results!$N$71:$Q$71</c:f>
              <c:numCache>
                <c:formatCode>#,##0</c:formatCode>
                <c:ptCount val="4"/>
                <c:pt idx="0">
                  <c:v>743121.73883815389</c:v>
                </c:pt>
                <c:pt idx="1">
                  <c:v>811454.92907824507</c:v>
                </c:pt>
                <c:pt idx="2" formatCode="General">
                  <c:v>278214.84897952381</c:v>
                </c:pt>
                <c:pt idx="3" formatCode="General">
                  <c:v>305834.63817532116</c:v>
                </c:pt>
              </c:numCache>
            </c:numRef>
          </c:val>
          <c:extLst xmlns:c16r2="http://schemas.microsoft.com/office/drawing/2015/06/chart">
            <c:ext xmlns:c16="http://schemas.microsoft.com/office/drawing/2014/chart" uri="{C3380CC4-5D6E-409C-BE32-E72D297353CC}">
              <c16:uniqueId val="{00000008-946B-4BD4-BDFB-7332A311A48B}"/>
            </c:ext>
          </c:extLst>
        </c:ser>
        <c:ser>
          <c:idx val="12"/>
          <c:order val="9"/>
          <c:tx>
            <c:strRef>
              <c:f>Results!$M$72</c:f>
              <c:strCache>
                <c:ptCount val="1"/>
                <c:pt idx="0">
                  <c:v>Pilot Fuel</c:v>
                </c:pt>
              </c:strCache>
            </c:strRef>
          </c:tx>
          <c:spPr>
            <a:solidFill>
              <a:schemeClr val="tx1">
                <a:lumMod val="75000"/>
                <a:lumOff val="25000"/>
              </a:schemeClr>
            </a:solidFill>
            <a:ln>
              <a:noFill/>
            </a:ln>
            <a:effectLst/>
          </c:spPr>
          <c:invertIfNegative val="0"/>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Results!$N$72:$Q$72</c:f>
              <c:numCache>
                <c:formatCode>General</c:formatCode>
                <c:ptCount val="4"/>
                <c:pt idx="0" formatCode="#,##0">
                  <c:v>30914.319079081797</c:v>
                </c:pt>
                <c:pt idx="2">
                  <c:v>15862.089631695642</c:v>
                </c:pt>
              </c:numCache>
            </c:numRef>
          </c:val>
          <c:extLst xmlns:c16r2="http://schemas.microsoft.com/office/drawing/2015/06/chart">
            <c:ext xmlns:c16="http://schemas.microsoft.com/office/drawing/2014/chart" uri="{C3380CC4-5D6E-409C-BE32-E72D297353CC}">
              <c16:uniqueId val="{00000009-946B-4BD4-BDFB-7332A311A48B}"/>
            </c:ext>
          </c:extLst>
        </c:ser>
        <c:dLbls>
          <c:showLegendKey val="0"/>
          <c:showVal val="0"/>
          <c:showCatName val="0"/>
          <c:showSerName val="0"/>
          <c:showPercent val="0"/>
          <c:showBubbleSize val="0"/>
        </c:dLbls>
        <c:gapWidth val="150"/>
        <c:overlap val="100"/>
        <c:axId val="81912192"/>
        <c:axId val="81914112"/>
      </c:barChart>
      <c:lineChart>
        <c:grouping val="stacked"/>
        <c:varyColors val="0"/>
        <c:ser>
          <c:idx val="13"/>
          <c:order val="10"/>
          <c:tx>
            <c:strRef>
              <c:f>Results!$M$73</c:f>
              <c:strCache>
                <c:ptCount val="1"/>
                <c:pt idx="0">
                  <c:v>Net Emissions</c:v>
                </c:pt>
              </c:strCache>
            </c:strRef>
          </c:tx>
          <c:spPr>
            <a:ln w="28575" cap="rnd">
              <a:noFill/>
              <a:round/>
            </a:ln>
            <a:effectLst/>
          </c:spPr>
          <c:marker>
            <c:symbol val="diamond"/>
            <c:size val="7"/>
            <c:spPr>
              <a:solidFill>
                <a:srgbClr val="FFFF00"/>
              </a:solidFill>
              <a:ln w="9525">
                <a:solidFill>
                  <a:srgbClr val="0070C0"/>
                </a:solidFill>
              </a:ln>
              <a:effectLst/>
            </c:spPr>
          </c:marker>
          <c:cat>
            <c:multiLvlStrRef>
              <c:f>Results!$N$58:$Q$59</c:f>
              <c:multiLvlStrCache>
                <c:ptCount val="4"/>
                <c:lvl>
                  <c:pt idx="0">
                    <c:v>Tacoma LNG</c:v>
                  </c:pt>
                  <c:pt idx="1">
                    <c:v>No Action</c:v>
                  </c:pt>
                  <c:pt idx="2">
                    <c:v>Tacoma LNG</c:v>
                  </c:pt>
                  <c:pt idx="3">
                    <c:v>No Action</c:v>
                  </c:pt>
                </c:lvl>
                <c:lvl>
                  <c:pt idx="0">
                    <c:v>Scenario B 500,000 gal/d</c:v>
                  </c:pt>
                  <c:pt idx="2">
                    <c:v>Scenario A 250,000 gal/d</c:v>
                  </c:pt>
                </c:lvl>
              </c:multiLvlStrCache>
            </c:multiLvlStrRef>
          </c:cat>
          <c:val>
            <c:numRef>
              <c:f>Results!$N$73:$Q$73</c:f>
              <c:numCache>
                <c:formatCode>#,##0</c:formatCode>
                <c:ptCount val="4"/>
                <c:pt idx="0">
                  <c:v>1366440.8262728902</c:v>
                </c:pt>
                <c:pt idx="1">
                  <c:v>1396479.969005696</c:v>
                </c:pt>
                <c:pt idx="2">
                  <c:v>683514.03732462192</c:v>
                </c:pt>
                <c:pt idx="3">
                  <c:v>702891.23811481986</c:v>
                </c:pt>
              </c:numCache>
            </c:numRef>
          </c:val>
          <c:smooth val="0"/>
          <c:extLst xmlns:c16r2="http://schemas.microsoft.com/office/drawing/2015/06/chart">
            <c:ext xmlns:c16="http://schemas.microsoft.com/office/drawing/2014/chart" uri="{C3380CC4-5D6E-409C-BE32-E72D297353CC}">
              <c16:uniqueId val="{0000000A-946B-4BD4-BDFB-7332A311A48B}"/>
            </c:ext>
          </c:extLst>
        </c:ser>
        <c:dLbls>
          <c:showLegendKey val="0"/>
          <c:showVal val="0"/>
          <c:showCatName val="0"/>
          <c:showSerName val="0"/>
          <c:showPercent val="0"/>
          <c:showBubbleSize val="0"/>
        </c:dLbls>
        <c:marker val="1"/>
        <c:smooth val="0"/>
        <c:axId val="81912192"/>
        <c:axId val="81914112"/>
      </c:lineChart>
      <c:catAx>
        <c:axId val="819121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1914112"/>
        <c:crosses val="autoZero"/>
        <c:auto val="1"/>
        <c:lblAlgn val="ctr"/>
        <c:lblOffset val="100"/>
        <c:noMultiLvlLbl val="0"/>
      </c:catAx>
      <c:valAx>
        <c:axId val="81914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GHG Emissions (ktonne CO</a:t>
                </a:r>
                <a:r>
                  <a:rPr lang="en-US" baseline="-25000">
                    <a:solidFill>
                      <a:schemeClr val="tx1"/>
                    </a:solidFill>
                  </a:rPr>
                  <a:t>2 </a:t>
                </a:r>
                <a:r>
                  <a:rPr lang="en-US">
                    <a:solidFill>
                      <a:schemeClr val="tx1"/>
                    </a:solidFill>
                  </a:rPr>
                  <a:t>e/year)</a:t>
                </a:r>
              </a:p>
            </c:rich>
          </c:tx>
          <c:layout>
            <c:manualLayout>
              <c:xMode val="edge"/>
              <c:yMode val="edge"/>
              <c:x val="7.393925344122255E-3"/>
              <c:y val="0.14444840996248917"/>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1912192"/>
        <c:crosses val="autoZero"/>
        <c:crossBetween val="between"/>
        <c:dispUnits>
          <c:builtInUnit val="thousands"/>
        </c:dispUnits>
      </c:valAx>
      <c:spPr>
        <a:noFill/>
        <a:ln>
          <a:solidFill>
            <a:schemeClr val="tx1"/>
          </a:solidFill>
        </a:ln>
        <a:effectLst/>
      </c:spPr>
    </c:plotArea>
    <c:legend>
      <c:legendPos val="r"/>
      <c:layout>
        <c:manualLayout>
          <c:xMode val="edge"/>
          <c:yMode val="edge"/>
          <c:x val="0.62686710988821948"/>
          <c:y val="4.6292221828977263E-2"/>
          <c:w val="0.37041473136707809"/>
          <c:h val="0.925695978635179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49407389098783"/>
          <c:y val="3.1088145231846019E-2"/>
          <c:w val="0.566826857908312"/>
          <c:h val="0.67922079310221972"/>
        </c:manualLayout>
      </c:layout>
      <c:barChart>
        <c:barDir val="col"/>
        <c:grouping val="stacked"/>
        <c:varyColors val="0"/>
        <c:ser>
          <c:idx val="0"/>
          <c:order val="0"/>
          <c:tx>
            <c:strRef>
              <c:f>'Compare Results'!$B$5</c:f>
              <c:strCache>
                <c:ptCount val="1"/>
                <c:pt idx="0">
                  <c:v>Construction</c:v>
                </c:pt>
              </c:strCache>
            </c:strRef>
          </c:tx>
          <c:spPr>
            <a:solidFill>
              <a:srgbClr val="92D050"/>
            </a:solidFill>
            <a:ln>
              <a:solidFill>
                <a:srgbClr val="00B05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Results'!$C$5:$F$5</c:f>
              <c:numCache>
                <c:formatCode>#,##0</c:formatCode>
                <c:ptCount val="4"/>
                <c:pt idx="0">
                  <c:v>1580.7997202170586</c:v>
                </c:pt>
              </c:numCache>
            </c:numRef>
          </c:val>
          <c:extLst xmlns:c16r2="http://schemas.microsoft.com/office/drawing/2015/06/chart">
            <c:ext xmlns:c16="http://schemas.microsoft.com/office/drawing/2014/chart" uri="{C3380CC4-5D6E-409C-BE32-E72D297353CC}">
              <c16:uniqueId val="{00000000-EB7A-485F-B018-EB4D9F372EA1}"/>
            </c:ext>
          </c:extLst>
        </c:ser>
        <c:ser>
          <c:idx val="1"/>
          <c:order val="1"/>
          <c:tx>
            <c:strRef>
              <c:f>'Compare Results'!$B$6</c:f>
              <c:strCache>
                <c:ptCount val="1"/>
                <c:pt idx="0">
                  <c:v>Upstream Life Cycle</c:v>
                </c:pt>
              </c:strCache>
            </c:strRef>
          </c:tx>
          <c:spPr>
            <a:pattFill prst="wdUpDiag">
              <a:fgClr>
                <a:srgbClr val="0070C0"/>
              </a:fgClr>
              <a:bgClr>
                <a:schemeClr val="bg1"/>
              </a:bgClr>
            </a:pattFill>
            <a:ln>
              <a:solidFill>
                <a:srgbClr val="0070C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Results'!$C$6:$F$6</c:f>
              <c:numCache>
                <c:formatCode>#,##0</c:formatCode>
                <c:ptCount val="4"/>
                <c:pt idx="0">
                  <c:v>215757.18498103466</c:v>
                </c:pt>
                <c:pt idx="1">
                  <c:v>298718.59670037974</c:v>
                </c:pt>
                <c:pt idx="2">
                  <c:v>69299.090233008988</c:v>
                </c:pt>
                <c:pt idx="3">
                  <c:v>119237.89482183899</c:v>
                </c:pt>
              </c:numCache>
            </c:numRef>
          </c:val>
          <c:extLst xmlns:c16r2="http://schemas.microsoft.com/office/drawing/2015/06/chart">
            <c:ext xmlns:c16="http://schemas.microsoft.com/office/drawing/2014/chart" uri="{C3380CC4-5D6E-409C-BE32-E72D297353CC}">
              <c16:uniqueId val="{00000001-EB7A-485F-B018-EB4D9F372EA1}"/>
            </c:ext>
          </c:extLst>
        </c:ser>
        <c:ser>
          <c:idx val="2"/>
          <c:order val="2"/>
          <c:tx>
            <c:strRef>
              <c:f>'Compare Results'!$B$7</c:f>
              <c:strCache>
                <c:ptCount val="1"/>
                <c:pt idx="0">
                  <c:v>Operation LNG plant</c:v>
                </c:pt>
              </c:strCache>
            </c:strRef>
          </c:tx>
          <c:spPr>
            <a:pattFill prst="sphere">
              <a:fgClr>
                <a:srgbClr val="C00000"/>
              </a:fgClr>
              <a:bgClr>
                <a:schemeClr val="bg1"/>
              </a:bgClr>
            </a:pattFill>
            <a:ln>
              <a:solidFill>
                <a:srgbClr val="C00000"/>
              </a:solidFill>
            </a:ln>
            <a:effectLst/>
          </c:spPr>
          <c:invertIfNegative val="0"/>
          <c:cat>
            <c:strRef>
              <c:f>'Compare Results'!$C$4:$F$4</c:f>
              <c:strCache>
                <c:ptCount val="4"/>
                <c:pt idx="0">
                  <c:v>Tacoma LNG</c:v>
                </c:pt>
                <c:pt idx="1">
                  <c:v>No Action Alternative</c:v>
                </c:pt>
                <c:pt idx="2">
                  <c:v>FEIS Project</c:v>
                </c:pt>
                <c:pt idx="3">
                  <c:v>FEIS
 No Project</c:v>
                </c:pt>
              </c:strCache>
            </c:strRef>
          </c:cat>
          <c:val>
            <c:numRef>
              <c:f>'Compare Results'!$C$7:$F$7</c:f>
              <c:numCache>
                <c:formatCode>#,##0</c:formatCode>
                <c:ptCount val="4"/>
                <c:pt idx="0">
                  <c:v>113280.84210940388</c:v>
                </c:pt>
                <c:pt idx="1">
                  <c:v>0</c:v>
                </c:pt>
                <c:pt idx="2">
                  <c:v>33538.556699216962</c:v>
                </c:pt>
                <c:pt idx="3">
                  <c:v>0</c:v>
                </c:pt>
              </c:numCache>
            </c:numRef>
          </c:val>
          <c:extLst xmlns:c16r2="http://schemas.microsoft.com/office/drawing/2015/06/chart">
            <c:ext xmlns:c16="http://schemas.microsoft.com/office/drawing/2014/chart" uri="{C3380CC4-5D6E-409C-BE32-E72D297353CC}">
              <c16:uniqueId val="{00000002-EB7A-485F-B018-EB4D9F372EA1}"/>
            </c:ext>
          </c:extLst>
        </c:ser>
        <c:ser>
          <c:idx val="3"/>
          <c:order val="3"/>
          <c:tx>
            <c:strRef>
              <c:f>'Compare Results'!$B$8</c:f>
              <c:strCache>
                <c:ptCount val="1"/>
                <c:pt idx="0">
                  <c:v>Enduse</c:v>
                </c:pt>
              </c:strCache>
            </c:strRef>
          </c:tx>
          <c:spPr>
            <a:solidFill>
              <a:srgbClr val="FFC000"/>
            </a:solidFill>
            <a:ln w="3175">
              <a:solidFill>
                <a:srgbClr val="FF6600"/>
              </a:solidFill>
              <a:prstDash val="solid"/>
            </a:ln>
          </c:spPr>
          <c:invertIfNegative val="0"/>
          <c:cat>
            <c:strRef>
              <c:f>'Compare Results'!$C$4:$F$4</c:f>
              <c:strCache>
                <c:ptCount val="4"/>
                <c:pt idx="0">
                  <c:v>Tacoma LNG</c:v>
                </c:pt>
                <c:pt idx="1">
                  <c:v>No Action Alternative</c:v>
                </c:pt>
                <c:pt idx="2">
                  <c:v>FEIS Project</c:v>
                </c:pt>
                <c:pt idx="3">
                  <c:v>FEIS
 No Project</c:v>
                </c:pt>
              </c:strCache>
            </c:strRef>
          </c:cat>
          <c:val>
            <c:numRef>
              <c:f>'Compare Results'!$C$8:$F$8</c:f>
              <c:numCache>
                <c:formatCode>#,##0</c:formatCode>
                <c:ptCount val="4"/>
                <c:pt idx="0">
                  <c:v>1035496.574604254</c:v>
                </c:pt>
                <c:pt idx="1">
                  <c:v>1097761.3723053162</c:v>
                </c:pt>
                <c:pt idx="2">
                  <c:v>488941.96755081962</c:v>
                </c:pt>
                <c:pt idx="3">
                  <c:v>573926.32171790814</c:v>
                </c:pt>
              </c:numCache>
            </c:numRef>
          </c:val>
          <c:extLst xmlns:c16r2="http://schemas.microsoft.com/office/drawing/2015/06/chart">
            <c:ext xmlns:c16="http://schemas.microsoft.com/office/drawing/2014/chart" uri="{C3380CC4-5D6E-409C-BE32-E72D297353CC}">
              <c16:uniqueId val="{00000003-EB7A-485F-B018-EB4D9F372EA1}"/>
            </c:ext>
          </c:extLst>
        </c:ser>
        <c:dLbls>
          <c:showLegendKey val="0"/>
          <c:showVal val="0"/>
          <c:showCatName val="0"/>
          <c:showSerName val="0"/>
          <c:showPercent val="0"/>
          <c:showBubbleSize val="0"/>
        </c:dLbls>
        <c:gapWidth val="150"/>
        <c:overlap val="100"/>
        <c:axId val="104352768"/>
        <c:axId val="104375040"/>
      </c:barChart>
      <c:lineChart>
        <c:grouping val="standard"/>
        <c:varyColors val="0"/>
        <c:ser>
          <c:idx val="4"/>
          <c:order val="4"/>
          <c:tx>
            <c:strRef>
              <c:f>'Compare Results'!$B$9</c:f>
              <c:strCache>
                <c:ptCount val="1"/>
                <c:pt idx="0">
                  <c:v>Total</c:v>
                </c:pt>
              </c:strCache>
            </c:strRef>
          </c:tx>
          <c:spPr>
            <a:ln w="19050">
              <a:noFill/>
            </a:ln>
          </c:spPr>
          <c:marker>
            <c:symbol val="diamond"/>
            <c:size val="9"/>
            <c:spPr>
              <a:noFill/>
              <a:ln w="9525">
                <a:noFill/>
              </a:ln>
              <a:effectLst/>
            </c:spPr>
          </c:marker>
          <c:dLbls>
            <c:dLbl>
              <c:idx val="0"/>
              <c:layout>
                <c:manualLayout>
                  <c:x val="-8.3713291862766701E-2"/>
                  <c:y val="-4.085338175215615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B45-4554-A2FB-9794F99A5057}"/>
                </c:ext>
              </c:extLst>
            </c:dLbl>
            <c:dLbl>
              <c:idx val="1"/>
              <c:layout>
                <c:manualLayout>
                  <c:x val="-8.9692812710107178E-2"/>
                  <c:y val="-3.63141171130277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B45-4554-A2FB-9794F99A5057}"/>
                </c:ext>
              </c:extLst>
            </c:dLbl>
            <c:dLbl>
              <c:idx val="2"/>
              <c:layout>
                <c:manualLayout>
                  <c:x val="-9.8662093981117902E-2"/>
                  <c:y val="-3.63141171130276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B45-4554-A2FB-9794F99A5057}"/>
                </c:ext>
              </c:extLst>
            </c:dLbl>
            <c:dLbl>
              <c:idx val="3"/>
              <c:layout>
                <c:manualLayout>
                  <c:x val="-6.2784968897075022E-2"/>
                  <c:y val="-4.085338175215615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B45-4554-A2FB-9794F99A5057}"/>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'Compare Results'!$C$4:$F$4</c:f>
              <c:strCache>
                <c:ptCount val="4"/>
                <c:pt idx="0">
                  <c:v>Tacoma LNG</c:v>
                </c:pt>
                <c:pt idx="1">
                  <c:v>No Action Alternative</c:v>
                </c:pt>
                <c:pt idx="2">
                  <c:v>FEIS Project</c:v>
                </c:pt>
                <c:pt idx="3">
                  <c:v>FEIS
 No Project</c:v>
                </c:pt>
              </c:strCache>
            </c:strRef>
          </c:cat>
          <c:val>
            <c:numRef>
              <c:f>'Compare Results'!$C$9:$F$9</c:f>
              <c:numCache>
                <c:formatCode>#,##0</c:formatCode>
                <c:ptCount val="4"/>
                <c:pt idx="0">
                  <c:v>1366115.4014149096</c:v>
                </c:pt>
                <c:pt idx="1">
                  <c:v>1396479.969005696</c:v>
                </c:pt>
                <c:pt idx="2">
                  <c:v>591779.61448304553</c:v>
                </c:pt>
                <c:pt idx="3">
                  <c:v>693164.21653974708</c:v>
                </c:pt>
              </c:numCache>
            </c:numRef>
          </c:val>
          <c:smooth val="0"/>
          <c:extLst xmlns:c16r2="http://schemas.microsoft.com/office/drawing/2015/06/chart">
            <c:ext xmlns:c16="http://schemas.microsoft.com/office/drawing/2014/chart" uri="{C3380CC4-5D6E-409C-BE32-E72D297353CC}">
              <c16:uniqueId val="{00000004-EB7A-485F-B018-EB4D9F372EA1}"/>
            </c:ext>
          </c:extLst>
        </c:ser>
        <c:dLbls>
          <c:showLegendKey val="0"/>
          <c:showVal val="0"/>
          <c:showCatName val="0"/>
          <c:showSerName val="0"/>
          <c:showPercent val="0"/>
          <c:showBubbleSize val="0"/>
        </c:dLbls>
        <c:marker val="1"/>
        <c:smooth val="0"/>
        <c:axId val="104352768"/>
        <c:axId val="104375040"/>
      </c:lineChart>
      <c:catAx>
        <c:axId val="10435276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1100" b="0" i="0" u="none" strike="noStrike" baseline="0">
                <a:solidFill>
                  <a:srgbClr val="000000"/>
                </a:solidFill>
                <a:latin typeface="Calibri"/>
                <a:ea typeface="Calibri"/>
                <a:cs typeface="Calibri"/>
              </a:defRPr>
            </a:pPr>
            <a:endParaRPr lang="en-US"/>
          </a:p>
        </c:txPr>
        <c:crossAx val="104375040"/>
        <c:crosses val="autoZero"/>
        <c:auto val="1"/>
        <c:lblAlgn val="ctr"/>
        <c:lblOffset val="100"/>
        <c:noMultiLvlLbl val="0"/>
      </c:catAx>
      <c:valAx>
        <c:axId val="104375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0" i="0" u="none" strike="noStrike" baseline="0">
                    <a:solidFill>
                      <a:srgbClr val="000000"/>
                    </a:solidFill>
                    <a:latin typeface="Calibri"/>
                    <a:ea typeface="Calibri"/>
                    <a:cs typeface="Calibri"/>
                  </a:defRPr>
                </a:pPr>
                <a:r>
                  <a:rPr lang="en-US"/>
                  <a:t>GHG Emissions tonne /year)</a:t>
                </a:r>
              </a:p>
            </c:rich>
          </c:tx>
          <c:layout>
            <c:manualLayout>
              <c:xMode val="edge"/>
              <c:yMode val="edge"/>
              <c:x val="3.1753609841443826E-2"/>
              <c:y val="8.1706763504312302E-2"/>
            </c:manualLayout>
          </c:layout>
          <c:overlay val="0"/>
          <c:spPr>
            <a:noFill/>
            <a:ln w="25400">
              <a:noFill/>
            </a:ln>
          </c:spPr>
        </c:title>
        <c:numFmt formatCode="#,##0" sourceLinked="1"/>
        <c:majorTickMark val="none"/>
        <c:minorTickMark val="none"/>
        <c:tickLblPos val="nextTo"/>
        <c:spPr>
          <a:ln w="6350">
            <a:noFill/>
          </a:ln>
        </c:spPr>
        <c:txPr>
          <a:bodyPr rot="0" vert="horz"/>
          <a:lstStyle/>
          <a:p>
            <a:pPr>
              <a:defRPr sz="900" b="0" i="0" u="none" strike="noStrike" baseline="0">
                <a:solidFill>
                  <a:srgbClr val="000000"/>
                </a:solidFill>
                <a:latin typeface="Calibri"/>
                <a:ea typeface="Calibri"/>
                <a:cs typeface="Calibri"/>
              </a:defRPr>
            </a:pPr>
            <a:endParaRPr lang="en-US"/>
          </a:p>
        </c:txPr>
        <c:crossAx val="104352768"/>
        <c:crosses val="autoZero"/>
        <c:crossBetween val="between"/>
      </c:valAx>
      <c:spPr>
        <a:noFill/>
        <a:ln>
          <a:solidFill>
            <a:schemeClr val="tx1"/>
          </a:solidFill>
        </a:ln>
        <a:effectLst/>
      </c:spPr>
    </c:plotArea>
    <c:legend>
      <c:legendPos val="r"/>
      <c:layout>
        <c:manualLayout>
          <c:xMode val="edge"/>
          <c:yMode val="edge"/>
          <c:x val="0.76258757493107521"/>
          <c:y val="5.4459718908881675E-2"/>
          <c:w val="0.23418064836120622"/>
          <c:h val="0.68467342497040307"/>
        </c:manualLayout>
      </c:layout>
      <c:overlay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22222222222216E-2"/>
          <c:y val="0.1319743550975141"/>
          <c:w val="0.85282633420822396"/>
          <c:h val="0.65472276733164303"/>
        </c:manualLayout>
      </c:layout>
      <c:barChart>
        <c:barDir val="bar"/>
        <c:grouping val="stacked"/>
        <c:varyColors val="0"/>
        <c:ser>
          <c:idx val="0"/>
          <c:order val="0"/>
          <c:tx>
            <c:strRef>
              <c:f>'Compare Results'!$C$16</c:f>
              <c:strCache>
                <c:ptCount val="1"/>
                <c:pt idx="0">
                  <c:v>No Action Alternative</c:v>
                </c:pt>
              </c:strCache>
            </c:strRef>
          </c:tx>
          <c:spPr>
            <a:solidFill>
              <a:schemeClr val="accent1">
                <a:lumMod val="60000"/>
                <a:lumOff val="40000"/>
              </a:schemeClr>
            </a:solidFill>
            <a:ln>
              <a:solidFill>
                <a:srgbClr val="0070C0"/>
              </a:solidFill>
            </a:ln>
            <a:effectLst/>
          </c:spPr>
          <c:invertIfNegative val="0"/>
          <c:dLbls>
            <c:dLbl>
              <c:idx val="1"/>
              <c:layout>
                <c:manualLayout>
                  <c:x val="-0.1624817138851499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D3-4E0C-8E83-B6ABB93488B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D3-4E0C-8E83-B6ABB93488B8}"/>
                </c:ext>
              </c:extLst>
            </c:dLbl>
            <c:dLbl>
              <c:idx val="3"/>
              <c:layout>
                <c:manualLayout>
                  <c:x val="-0.15278131305618578"/>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9D3-4E0C-8E83-B6ABB93488B8}"/>
                </c:ext>
              </c:extLst>
            </c:dLbl>
            <c:dLbl>
              <c:idx val="4"/>
              <c:layout>
                <c:manualLayout>
                  <c:x val="-0.15763151347066787"/>
                  <c:y val="2.1962478125672761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9D3-4E0C-8E83-B6ABB93488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'Compare Results'!$B$17:$B$21</c:f>
              <c:strCache>
                <c:ptCount val="5"/>
                <c:pt idx="0">
                  <c:v>Construction</c:v>
                </c:pt>
                <c:pt idx="1">
                  <c:v>Upstream</c:v>
                </c:pt>
                <c:pt idx="2">
                  <c:v>Operation LNG plant</c:v>
                </c:pt>
                <c:pt idx="3">
                  <c:v>Enduse</c:v>
                </c:pt>
                <c:pt idx="4">
                  <c:v>Total</c:v>
                </c:pt>
              </c:strCache>
            </c:strRef>
          </c:cat>
          <c:val>
            <c:numRef>
              <c:f>'Compare Results'!$C$17:$C$21</c:f>
              <c:numCache>
                <c:formatCode>#,##0</c:formatCode>
                <c:ptCount val="5"/>
                <c:pt idx="1">
                  <c:v>-298718.59670037974</c:v>
                </c:pt>
                <c:pt idx="2">
                  <c:v>0</c:v>
                </c:pt>
                <c:pt idx="3">
                  <c:v>-1097761.3723053162</c:v>
                </c:pt>
                <c:pt idx="4">
                  <c:v>-1396479.969005696</c:v>
                </c:pt>
              </c:numCache>
            </c:numRef>
          </c:val>
          <c:extLst xmlns:c16r2="http://schemas.microsoft.com/office/drawing/2015/06/chart">
            <c:ext xmlns:c16="http://schemas.microsoft.com/office/drawing/2014/chart" uri="{C3380CC4-5D6E-409C-BE32-E72D297353CC}">
              <c16:uniqueId val="{00000000-250F-4614-9A75-F389D727E47B}"/>
            </c:ext>
          </c:extLst>
        </c:ser>
        <c:ser>
          <c:idx val="1"/>
          <c:order val="1"/>
          <c:tx>
            <c:strRef>
              <c:f>'Compare Results'!$D$16</c:f>
              <c:strCache>
                <c:ptCount val="1"/>
                <c:pt idx="0">
                  <c:v>Tacoma LNG</c:v>
                </c:pt>
              </c:strCache>
            </c:strRef>
          </c:tx>
          <c:spPr>
            <a:solidFill>
              <a:srgbClr val="FFC000"/>
            </a:solidFill>
            <a:ln>
              <a:solidFill>
                <a:srgbClr val="C00000"/>
              </a:solidFill>
            </a:ln>
            <a:effectLst/>
          </c:spPr>
          <c:invertIfNegative val="0"/>
          <c:dLbls>
            <c:dLbl>
              <c:idx val="0"/>
              <c:layout>
                <c:manualLayout>
                  <c:x val="4.1666666666666664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A62-4E75-84FC-3ACF7A591A7C}"/>
                </c:ext>
              </c:extLst>
            </c:dLbl>
            <c:dLbl>
              <c:idx val="1"/>
              <c:layout>
                <c:manualLayout>
                  <c:x val="7.7777777777777682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62-4E75-84FC-3ACF7A591A7C}"/>
                </c:ext>
              </c:extLst>
            </c:dLbl>
            <c:dLbl>
              <c:idx val="2"/>
              <c:layout>
                <c:manualLayout>
                  <c:x val="5.8333333333333334E-2"/>
                  <c:y val="-8.4875562720133283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A62-4E75-84FC-3ACF7A591A7C}"/>
                </c:ext>
              </c:extLst>
            </c:dLbl>
            <c:dLbl>
              <c:idx val="3"/>
              <c:layout>
                <c:manualLayout>
                  <c:x val="8.8888888888888892E-2"/>
                  <c:y val="-4.62962962962962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A62-4E75-84FC-3ACF7A591A7C}"/>
                </c:ext>
              </c:extLst>
            </c:dLbl>
            <c:dLbl>
              <c:idx val="4"/>
              <c:layout>
                <c:manualLayout>
                  <c:x val="0.1222222222222222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A62-4E75-84FC-3ACF7A591A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'Compare Results'!$B$17:$B$21</c:f>
              <c:strCache>
                <c:ptCount val="5"/>
                <c:pt idx="0">
                  <c:v>Construction</c:v>
                </c:pt>
                <c:pt idx="1">
                  <c:v>Upstream</c:v>
                </c:pt>
                <c:pt idx="2">
                  <c:v>Operation LNG plant</c:v>
                </c:pt>
                <c:pt idx="3">
                  <c:v>Enduse</c:v>
                </c:pt>
                <c:pt idx="4">
                  <c:v>Total</c:v>
                </c:pt>
              </c:strCache>
            </c:strRef>
          </c:cat>
          <c:val>
            <c:numRef>
              <c:f>'Compare Results'!$D$17:$D$21</c:f>
              <c:numCache>
                <c:formatCode>#,##0</c:formatCode>
                <c:ptCount val="5"/>
                <c:pt idx="0">
                  <c:v>1580.7997202170586</c:v>
                </c:pt>
                <c:pt idx="1">
                  <c:v>215757.18498103466</c:v>
                </c:pt>
                <c:pt idx="2">
                  <c:v>113280.84210940388</c:v>
                </c:pt>
                <c:pt idx="3">
                  <c:v>1035496.574604254</c:v>
                </c:pt>
                <c:pt idx="4">
                  <c:v>1366115.4014149096</c:v>
                </c:pt>
              </c:numCache>
            </c:numRef>
          </c:val>
          <c:extLst xmlns:c16r2="http://schemas.microsoft.com/office/drawing/2015/06/chart">
            <c:ext xmlns:c16="http://schemas.microsoft.com/office/drawing/2014/chart" uri="{C3380CC4-5D6E-409C-BE32-E72D297353CC}">
              <c16:uniqueId val="{00000001-250F-4614-9A75-F389D727E47B}"/>
            </c:ext>
          </c:extLst>
        </c:ser>
        <c:dLbls>
          <c:showLegendKey val="0"/>
          <c:showVal val="0"/>
          <c:showCatName val="0"/>
          <c:showSerName val="0"/>
          <c:showPercent val="0"/>
          <c:showBubbleSize val="0"/>
        </c:dLbls>
        <c:gapWidth val="150"/>
        <c:overlap val="100"/>
        <c:axId val="104156160"/>
        <c:axId val="104178432"/>
      </c:barChart>
      <c:catAx>
        <c:axId val="104156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4178432"/>
        <c:crosses val="autoZero"/>
        <c:auto val="1"/>
        <c:lblAlgn val="ctr"/>
        <c:lblOffset val="100"/>
        <c:noMultiLvlLbl val="0"/>
      </c:catAx>
      <c:valAx>
        <c:axId val="1041784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GHG Emissions (tonne/year)</a:t>
                </a:r>
              </a:p>
            </c:rich>
          </c:tx>
          <c:layout>
            <c:manualLayout>
              <c:xMode val="edge"/>
              <c:yMode val="edge"/>
              <c:x val="0.37084361329833776"/>
              <c:y val="0.88822785301123375"/>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4156160"/>
        <c:crosses val="autoZero"/>
        <c:crossBetween val="between"/>
      </c:valAx>
      <c:spPr>
        <a:noFill/>
        <a:ln w="3175">
          <a:solidFill>
            <a:schemeClr val="tx1"/>
          </a:solidFill>
        </a:ln>
        <a:effectLst/>
      </c:spPr>
    </c:plotArea>
    <c:legend>
      <c:legendPos val="b"/>
      <c:layout>
        <c:manualLayout>
          <c:xMode val="edge"/>
          <c:yMode val="edge"/>
          <c:x val="0.25087289960681686"/>
          <c:y val="4.3389496830572999E-2"/>
          <c:w val="0.44799648756911559"/>
          <c:h val="8.49024200957199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180975</xdr:colOff>
      <xdr:row>158</xdr:row>
      <xdr:rowOff>133350</xdr:rowOff>
    </xdr:from>
    <xdr:to>
      <xdr:col>13</xdr:col>
      <xdr:colOff>1037547</xdr:colOff>
      <xdr:row>165</xdr:row>
      <xdr:rowOff>161751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429500" y="30746700"/>
          <a:ext cx="5428571" cy="1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157162</xdr:colOff>
      <xdr:row>57</xdr:row>
      <xdr:rowOff>361950</xdr:rowOff>
    </xdr:from>
    <xdr:to>
      <xdr:col>28</xdr:col>
      <xdr:colOff>238126</xdr:colOff>
      <xdr:row>74</xdr:row>
      <xdr:rowOff>123826</xdr:rowOff>
    </xdr:to>
    <xdr:graphicFrame macro="">
      <xdr:nvGraphicFramePr>
        <xdr:cNvPr id="2" name="Chart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615641</xdr:colOff>
      <xdr:row>0</xdr:row>
      <xdr:rowOff>113982</xdr:rowOff>
    </xdr:from>
    <xdr:to>
      <xdr:col>14</xdr:col>
      <xdr:colOff>376238</xdr:colOff>
      <xdr:row>13</xdr:row>
      <xdr:rowOff>11616</xdr:rowOff>
    </xdr:to>
    <xdr:graphicFrame macro="">
      <xdr:nvGraphicFramePr>
        <xdr:cNvPr id="43163" name="Chart 1">
          <a:extLst>
            <a:ext uri="{FF2B5EF4-FFF2-40B4-BE49-F238E27FC236}">
              <a16:creationId xmlns:a16="http://schemas.microsoft.com/office/drawing/2014/main" xmlns="" id="{00000000-0008-0000-0300-00009BA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162152</xdr:colOff>
      <xdr:row>14</xdr:row>
      <xdr:rowOff>30616</xdr:rowOff>
    </xdr:from>
    <xdr:to>
      <xdr:col>15</xdr:col>
      <xdr:colOff>418171</xdr:colOff>
      <xdr:row>27</xdr:row>
      <xdr:rowOff>69696</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20</xdr:row>
      <xdr:rowOff>0</xdr:rowOff>
    </xdr:from>
    <xdr:to>
      <xdr:col>10</xdr:col>
      <xdr:colOff>9525</xdr:colOff>
      <xdr:row>20</xdr:row>
      <xdr:rowOff>9525</xdr:rowOff>
    </xdr:to>
    <xdr:pic>
      <xdr:nvPicPr>
        <xdr:cNvPr id="2" name="Imagen 1" descr="https://ssl.gstatic.com/ui/v1/icons/mail/images/cleardot.gif">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4025" y="3762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22</xdr:row>
      <xdr:rowOff>9525</xdr:rowOff>
    </xdr:from>
    <xdr:to>
      <xdr:col>21</xdr:col>
      <xdr:colOff>104192</xdr:colOff>
      <xdr:row>47</xdr:row>
      <xdr:rowOff>142249</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12744450" y="4391025"/>
          <a:ext cx="4666667" cy="5009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38</xdr:col>
      <xdr:colOff>0</xdr:colOff>
      <xdr:row>41</xdr:row>
      <xdr:rowOff>107156</xdr:rowOff>
    </xdr:from>
    <xdr:to>
      <xdr:col>39</xdr:col>
      <xdr:colOff>914400</xdr:colOff>
      <xdr:row>41</xdr:row>
      <xdr:rowOff>111126</xdr:rowOff>
    </xdr:to>
    <xdr:cxnSp macro="">
      <xdr:nvCxnSpPr>
        <xdr:cNvPr id="5" name="Straight Arrow Connector 4">
          <a:extLst>
            <a:ext uri="{FF2B5EF4-FFF2-40B4-BE49-F238E27FC236}">
              <a16:creationId xmlns:a16="http://schemas.microsoft.com/office/drawing/2014/main" xmlns="" id="{00000000-0008-0000-0800-000005000000}"/>
            </a:ext>
          </a:extLst>
        </xdr:cNvPr>
        <xdr:cNvCxnSpPr/>
      </xdr:nvCxnSpPr>
      <xdr:spPr>
        <a:xfrm>
          <a:off x="7441406" y="8405812"/>
          <a:ext cx="1819275" cy="3970"/>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557936</xdr:colOff>
      <xdr:row>42</xdr:row>
      <xdr:rowOff>187620</xdr:rowOff>
    </xdr:from>
    <xdr:to>
      <xdr:col>43</xdr:col>
      <xdr:colOff>72159</xdr:colOff>
      <xdr:row>44</xdr:row>
      <xdr:rowOff>57728</xdr:rowOff>
    </xdr:to>
    <xdr:cxnSp macro="">
      <xdr:nvCxnSpPr>
        <xdr:cNvPr id="10" name="Straight Arrow Connector 4">
          <a:extLst>
            <a:ext uri="{FF2B5EF4-FFF2-40B4-BE49-F238E27FC236}">
              <a16:creationId xmlns:a16="http://schemas.microsoft.com/office/drawing/2014/main" xmlns="" id="{00000000-0008-0000-0800-00000A000000}"/>
            </a:ext>
          </a:extLst>
        </xdr:cNvPr>
        <xdr:cNvCxnSpPr/>
      </xdr:nvCxnSpPr>
      <xdr:spPr>
        <a:xfrm rot="10800000">
          <a:off x="8654186" y="8630234"/>
          <a:ext cx="1534678" cy="259767"/>
        </a:xfrm>
        <a:prstGeom prst="bentConnector3">
          <a:avLst>
            <a:gd name="adj1" fmla="val 99840"/>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9525</xdr:colOff>
      <xdr:row>42</xdr:row>
      <xdr:rowOff>47624</xdr:rowOff>
    </xdr:from>
    <xdr:to>
      <xdr:col>43</xdr:col>
      <xdr:colOff>0</xdr:colOff>
      <xdr:row>42</xdr:row>
      <xdr:rowOff>47627</xdr:rowOff>
    </xdr:to>
    <xdr:cxnSp macro="">
      <xdr:nvCxnSpPr>
        <xdr:cNvPr id="11" name="Straight Arrow Connector 4">
          <a:extLst>
            <a:ext uri="{FF2B5EF4-FFF2-40B4-BE49-F238E27FC236}">
              <a16:creationId xmlns:a16="http://schemas.microsoft.com/office/drawing/2014/main" xmlns="" id="{00000000-0008-0000-0800-00000B000000}"/>
            </a:ext>
          </a:extLst>
        </xdr:cNvPr>
        <xdr:cNvCxnSpPr/>
      </xdr:nvCxnSpPr>
      <xdr:spPr>
        <a:xfrm flipV="1">
          <a:off x="12796838" y="8548687"/>
          <a:ext cx="538162" cy="3"/>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390526</xdr:colOff>
      <xdr:row>43</xdr:row>
      <xdr:rowOff>9523</xdr:rowOff>
    </xdr:from>
    <xdr:to>
      <xdr:col>43</xdr:col>
      <xdr:colOff>266707</xdr:colOff>
      <xdr:row>44</xdr:row>
      <xdr:rowOff>161925</xdr:rowOff>
    </xdr:to>
    <xdr:cxnSp macro="">
      <xdr:nvCxnSpPr>
        <xdr:cNvPr id="14" name="Straight Arrow Connector 4">
          <a:extLst>
            <a:ext uri="{FF2B5EF4-FFF2-40B4-BE49-F238E27FC236}">
              <a16:creationId xmlns:a16="http://schemas.microsoft.com/office/drawing/2014/main" xmlns="" id="{00000000-0008-0000-0800-00000E000000}"/>
            </a:ext>
          </a:extLst>
        </xdr:cNvPr>
        <xdr:cNvCxnSpPr/>
      </xdr:nvCxnSpPr>
      <xdr:spPr>
        <a:xfrm rot="10800000" flipV="1">
          <a:off x="2724151" y="2295523"/>
          <a:ext cx="3952881" cy="342902"/>
        </a:xfrm>
        <a:prstGeom prst="bentConnector3">
          <a:avLst>
            <a:gd name="adj1" fmla="val 121"/>
          </a:avLst>
        </a:prstGeom>
        <a:ln w="15875">
          <a:solidFill>
            <a:srgbClr val="92D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9910</xdr:colOff>
      <xdr:row>34</xdr:row>
      <xdr:rowOff>101023</xdr:rowOff>
    </xdr:from>
    <xdr:to>
      <xdr:col>45</xdr:col>
      <xdr:colOff>350212</xdr:colOff>
      <xdr:row>39</xdr:row>
      <xdr:rowOff>43297</xdr:rowOff>
    </xdr:to>
    <xdr:cxnSp macro="">
      <xdr:nvCxnSpPr>
        <xdr:cNvPr id="19" name="Straight Arrow Connector 4">
          <a:extLst>
            <a:ext uri="{FF2B5EF4-FFF2-40B4-BE49-F238E27FC236}">
              <a16:creationId xmlns:a16="http://schemas.microsoft.com/office/drawing/2014/main" xmlns="" id="{00000000-0008-0000-0800-000013000000}"/>
            </a:ext>
          </a:extLst>
        </xdr:cNvPr>
        <xdr:cNvCxnSpPr/>
      </xdr:nvCxnSpPr>
      <xdr:spPr>
        <a:xfrm flipV="1">
          <a:off x="42618410" y="6937856"/>
          <a:ext cx="3060219" cy="1074691"/>
        </a:xfrm>
        <a:prstGeom prst="bentConnector3">
          <a:avLst>
            <a:gd name="adj1" fmla="val 50000"/>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276225</xdr:colOff>
      <xdr:row>43</xdr:row>
      <xdr:rowOff>0</xdr:rowOff>
    </xdr:from>
    <xdr:to>
      <xdr:col>43</xdr:col>
      <xdr:colOff>3</xdr:colOff>
      <xdr:row>46</xdr:row>
      <xdr:rowOff>28575</xdr:rowOff>
    </xdr:to>
    <xdr:cxnSp macro="">
      <xdr:nvCxnSpPr>
        <xdr:cNvPr id="20" name="Straight Arrow Connector 4">
          <a:extLst>
            <a:ext uri="{FF2B5EF4-FFF2-40B4-BE49-F238E27FC236}">
              <a16:creationId xmlns:a16="http://schemas.microsoft.com/office/drawing/2014/main" xmlns="" id="{00000000-0008-0000-0800-000014000000}"/>
            </a:ext>
          </a:extLst>
        </xdr:cNvPr>
        <xdr:cNvCxnSpPr/>
      </xdr:nvCxnSpPr>
      <xdr:spPr>
        <a:xfrm>
          <a:off x="4810125" y="1847850"/>
          <a:ext cx="1685928" cy="609600"/>
        </a:xfrm>
        <a:prstGeom prst="bentConnector3">
          <a:avLst>
            <a:gd name="adj1" fmla="val 283"/>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523875</xdr:colOff>
      <xdr:row>43</xdr:row>
      <xdr:rowOff>19049</xdr:rowOff>
    </xdr:from>
    <xdr:to>
      <xdr:col>43</xdr:col>
      <xdr:colOff>523879</xdr:colOff>
      <xdr:row>45</xdr:row>
      <xdr:rowOff>28577</xdr:rowOff>
    </xdr:to>
    <xdr:cxnSp macro="">
      <xdr:nvCxnSpPr>
        <xdr:cNvPr id="29" name="Straight Arrow Connector 4">
          <a:extLst>
            <a:ext uri="{FF2B5EF4-FFF2-40B4-BE49-F238E27FC236}">
              <a16:creationId xmlns:a16="http://schemas.microsoft.com/office/drawing/2014/main" xmlns="" id="{00000000-0008-0000-0800-00001D000000}"/>
            </a:ext>
          </a:extLst>
        </xdr:cNvPr>
        <xdr:cNvCxnSpPr/>
      </xdr:nvCxnSpPr>
      <xdr:spPr>
        <a:xfrm rot="16200000" flipH="1">
          <a:off x="6819900" y="1790699"/>
          <a:ext cx="400053" cy="4"/>
        </a:xfrm>
        <a:prstGeom prst="bentConnector3">
          <a:avLst>
            <a:gd name="adj1" fmla="val 49999"/>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9525</xdr:colOff>
      <xdr:row>46</xdr:row>
      <xdr:rowOff>19050</xdr:rowOff>
    </xdr:from>
    <xdr:to>
      <xdr:col>45</xdr:col>
      <xdr:colOff>590550</xdr:colOff>
      <xdr:row>46</xdr:row>
      <xdr:rowOff>19051</xdr:rowOff>
    </xdr:to>
    <xdr:cxnSp macro="">
      <xdr:nvCxnSpPr>
        <xdr:cNvPr id="35" name="Straight Arrow Connector 4">
          <a:extLst>
            <a:ext uri="{FF2B5EF4-FFF2-40B4-BE49-F238E27FC236}">
              <a16:creationId xmlns:a16="http://schemas.microsoft.com/office/drawing/2014/main" xmlns="" id="{00000000-0008-0000-0800-000023000000}"/>
            </a:ext>
          </a:extLst>
        </xdr:cNvPr>
        <xdr:cNvCxnSpPr/>
      </xdr:nvCxnSpPr>
      <xdr:spPr>
        <a:xfrm flipV="1">
          <a:off x="7591425" y="2171700"/>
          <a:ext cx="5810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742950</xdr:colOff>
      <xdr:row>37</xdr:row>
      <xdr:rowOff>190500</xdr:rowOff>
    </xdr:from>
    <xdr:to>
      <xdr:col>40</xdr:col>
      <xdr:colOff>742950</xdr:colOff>
      <xdr:row>40</xdr:row>
      <xdr:rowOff>1</xdr:rowOff>
    </xdr:to>
    <xdr:cxnSp macro="">
      <xdr:nvCxnSpPr>
        <xdr:cNvPr id="34" name="Conector recto de flecha 33">
          <a:extLst>
            <a:ext uri="{FF2B5EF4-FFF2-40B4-BE49-F238E27FC236}">
              <a16:creationId xmlns:a16="http://schemas.microsoft.com/office/drawing/2014/main" xmlns="" id="{00000000-0008-0000-0800-000022000000}"/>
            </a:ext>
          </a:extLst>
        </xdr:cNvPr>
        <xdr:cNvCxnSpPr/>
      </xdr:nvCxnSpPr>
      <xdr:spPr>
        <a:xfrm flipV="1">
          <a:off x="5276850" y="866775"/>
          <a:ext cx="0" cy="438151"/>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66676</xdr:colOff>
      <xdr:row>42</xdr:row>
      <xdr:rowOff>180976</xdr:rowOff>
    </xdr:from>
    <xdr:to>
      <xdr:col>43</xdr:col>
      <xdr:colOff>66679</xdr:colOff>
      <xdr:row>44</xdr:row>
      <xdr:rowOff>47628</xdr:rowOff>
    </xdr:to>
    <xdr:cxnSp macro="">
      <xdr:nvCxnSpPr>
        <xdr:cNvPr id="63" name="Straight Arrow Connector 4">
          <a:extLst>
            <a:ext uri="{FF2B5EF4-FFF2-40B4-BE49-F238E27FC236}">
              <a16:creationId xmlns:a16="http://schemas.microsoft.com/office/drawing/2014/main" xmlns="" id="{00000000-0008-0000-0800-00003F000000}"/>
            </a:ext>
          </a:extLst>
        </xdr:cNvPr>
        <xdr:cNvCxnSpPr/>
      </xdr:nvCxnSpPr>
      <xdr:spPr>
        <a:xfrm rot="5400000">
          <a:off x="6348414" y="5443538"/>
          <a:ext cx="257177" cy="3"/>
        </a:xfrm>
        <a:prstGeom prst="bentConnector3">
          <a:avLst>
            <a:gd name="adj1" fmla="val 50000"/>
          </a:avLst>
        </a:prstGeom>
        <a:ln w="15875">
          <a:solidFill>
            <a:srgbClr val="0070C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41</xdr:row>
      <xdr:rowOff>180975</xdr:rowOff>
    </xdr:from>
    <xdr:to>
      <xdr:col>45</xdr:col>
      <xdr:colOff>581025</xdr:colOff>
      <xdr:row>41</xdr:row>
      <xdr:rowOff>180976</xdr:rowOff>
    </xdr:to>
    <xdr:cxnSp macro="">
      <xdr:nvCxnSpPr>
        <xdr:cNvPr id="72" name="Straight Arrow Connector 4">
          <a:extLst>
            <a:ext uri="{FF2B5EF4-FFF2-40B4-BE49-F238E27FC236}">
              <a16:creationId xmlns:a16="http://schemas.microsoft.com/office/drawing/2014/main" xmlns="" id="{00000000-0008-0000-0800-000048000000}"/>
            </a:ext>
          </a:extLst>
        </xdr:cNvPr>
        <xdr:cNvCxnSpPr/>
      </xdr:nvCxnSpPr>
      <xdr:spPr>
        <a:xfrm flipV="1">
          <a:off x="7496175" y="5114925"/>
          <a:ext cx="5810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476250</xdr:colOff>
      <xdr:row>41</xdr:row>
      <xdr:rowOff>85725</xdr:rowOff>
    </xdr:from>
    <xdr:to>
      <xdr:col>34</xdr:col>
      <xdr:colOff>1095375</xdr:colOff>
      <xdr:row>41</xdr:row>
      <xdr:rowOff>85726</xdr:rowOff>
    </xdr:to>
    <xdr:cxnSp macro="">
      <xdr:nvCxnSpPr>
        <xdr:cNvPr id="80" name="Straight Arrow Connector 4">
          <a:extLst>
            <a:ext uri="{FF2B5EF4-FFF2-40B4-BE49-F238E27FC236}">
              <a16:creationId xmlns:a16="http://schemas.microsoft.com/office/drawing/2014/main" xmlns="" id="{00000000-0008-0000-0800-000050000000}"/>
            </a:ext>
          </a:extLst>
        </xdr:cNvPr>
        <xdr:cNvCxnSpPr/>
      </xdr:nvCxnSpPr>
      <xdr:spPr>
        <a:xfrm>
          <a:off x="1085850" y="5019675"/>
          <a:ext cx="12287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504826</xdr:colOff>
      <xdr:row>28</xdr:row>
      <xdr:rowOff>114300</xdr:rowOff>
    </xdr:from>
    <xdr:to>
      <xdr:col>40</xdr:col>
      <xdr:colOff>504830</xdr:colOff>
      <xdr:row>36</xdr:row>
      <xdr:rowOff>19051</xdr:rowOff>
    </xdr:to>
    <xdr:cxnSp macro="">
      <xdr:nvCxnSpPr>
        <xdr:cNvPr id="92" name="Straight Arrow Connector 4">
          <a:extLst>
            <a:ext uri="{FF2B5EF4-FFF2-40B4-BE49-F238E27FC236}">
              <a16:creationId xmlns:a16="http://schemas.microsoft.com/office/drawing/2014/main" xmlns="" id="{00000000-0008-0000-0800-00005C000000}"/>
            </a:ext>
          </a:extLst>
        </xdr:cNvPr>
        <xdr:cNvCxnSpPr/>
      </xdr:nvCxnSpPr>
      <xdr:spPr>
        <a:xfrm rot="5400000" flipH="1" flipV="1">
          <a:off x="4914902" y="3324224"/>
          <a:ext cx="1466851" cy="4"/>
        </a:xfrm>
        <a:prstGeom prst="bentConnector3">
          <a:avLst>
            <a:gd name="adj1" fmla="val 50000"/>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203201</xdr:colOff>
      <xdr:row>32</xdr:row>
      <xdr:rowOff>59267</xdr:rowOff>
    </xdr:from>
    <xdr:to>
      <xdr:col>36</xdr:col>
      <xdr:colOff>203202</xdr:colOff>
      <xdr:row>40</xdr:row>
      <xdr:rowOff>8468</xdr:rowOff>
    </xdr:to>
    <xdr:cxnSp macro="">
      <xdr:nvCxnSpPr>
        <xdr:cNvPr id="97" name="Straight Arrow Connector 4">
          <a:extLst>
            <a:ext uri="{FF2B5EF4-FFF2-40B4-BE49-F238E27FC236}">
              <a16:creationId xmlns:a16="http://schemas.microsoft.com/office/drawing/2014/main" xmlns="" id="{00000000-0008-0000-0800-000061000000}"/>
            </a:ext>
          </a:extLst>
        </xdr:cNvPr>
        <xdr:cNvCxnSpPr/>
      </xdr:nvCxnSpPr>
      <xdr:spPr>
        <a:xfrm flipH="1" flipV="1">
          <a:off x="40013468" y="6172200"/>
          <a:ext cx="1" cy="1752601"/>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714375</xdr:colOff>
      <xdr:row>43</xdr:row>
      <xdr:rowOff>9525</xdr:rowOff>
    </xdr:from>
    <xdr:to>
      <xdr:col>40</xdr:col>
      <xdr:colOff>714375</xdr:colOff>
      <xdr:row>44</xdr:row>
      <xdr:rowOff>152400</xdr:rowOff>
    </xdr:to>
    <xdr:cxnSp macro="">
      <xdr:nvCxnSpPr>
        <xdr:cNvPr id="84" name="Conector recto 83">
          <a:extLst>
            <a:ext uri="{FF2B5EF4-FFF2-40B4-BE49-F238E27FC236}">
              <a16:creationId xmlns:a16="http://schemas.microsoft.com/office/drawing/2014/main" xmlns="" id="{00000000-0008-0000-0800-000054000000}"/>
            </a:ext>
          </a:extLst>
        </xdr:cNvPr>
        <xdr:cNvCxnSpPr/>
      </xdr:nvCxnSpPr>
      <xdr:spPr>
        <a:xfrm>
          <a:off x="5162550" y="2295525"/>
          <a:ext cx="0" cy="333375"/>
        </a:xfrm>
        <a:prstGeom prst="line">
          <a:avLst/>
        </a:prstGeom>
        <a:ln w="15875">
          <a:solidFill>
            <a:srgbClr val="92D05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371475</xdr:colOff>
      <xdr:row>43</xdr:row>
      <xdr:rowOff>9525</xdr:rowOff>
    </xdr:from>
    <xdr:to>
      <xdr:col>35</xdr:col>
      <xdr:colOff>390526</xdr:colOff>
      <xdr:row>47</xdr:row>
      <xdr:rowOff>161925</xdr:rowOff>
    </xdr:to>
    <xdr:cxnSp macro="">
      <xdr:nvCxnSpPr>
        <xdr:cNvPr id="87" name="Conector recto de flecha 86">
          <a:extLst>
            <a:ext uri="{FF2B5EF4-FFF2-40B4-BE49-F238E27FC236}">
              <a16:creationId xmlns:a16="http://schemas.microsoft.com/office/drawing/2014/main" xmlns="" id="{00000000-0008-0000-0800-000057000000}"/>
            </a:ext>
          </a:extLst>
        </xdr:cNvPr>
        <xdr:cNvCxnSpPr/>
      </xdr:nvCxnSpPr>
      <xdr:spPr>
        <a:xfrm flipH="1">
          <a:off x="2705100" y="2295525"/>
          <a:ext cx="19051" cy="933450"/>
        </a:xfrm>
        <a:prstGeom prst="straightConnector1">
          <a:avLst/>
        </a:prstGeom>
        <a:ln w="12700">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4763</xdr:colOff>
      <xdr:row>32</xdr:row>
      <xdr:rowOff>88106</xdr:rowOff>
    </xdr:from>
    <xdr:to>
      <xdr:col>43</xdr:col>
      <xdr:colOff>595312</xdr:colOff>
      <xdr:row>49</xdr:row>
      <xdr:rowOff>11906</xdr:rowOff>
    </xdr:to>
    <xdr:cxnSp macro="">
      <xdr:nvCxnSpPr>
        <xdr:cNvPr id="40" name="Straight Arrow Connector 4">
          <a:extLst>
            <a:ext uri="{FF2B5EF4-FFF2-40B4-BE49-F238E27FC236}">
              <a16:creationId xmlns:a16="http://schemas.microsoft.com/office/drawing/2014/main" xmlns="" id="{00000000-0008-0000-0800-000028000000}"/>
            </a:ext>
          </a:extLst>
        </xdr:cNvPr>
        <xdr:cNvCxnSpPr/>
      </xdr:nvCxnSpPr>
      <xdr:spPr>
        <a:xfrm rot="10800000">
          <a:off x="6850857" y="6386512"/>
          <a:ext cx="5126830" cy="3519488"/>
        </a:xfrm>
        <a:prstGeom prst="bentConnector3">
          <a:avLst>
            <a:gd name="adj1" fmla="val 99758"/>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581024</xdr:colOff>
      <xdr:row>47</xdr:row>
      <xdr:rowOff>1</xdr:rowOff>
    </xdr:from>
    <xdr:to>
      <xdr:col>43</xdr:col>
      <xdr:colOff>581027</xdr:colOff>
      <xdr:row>49</xdr:row>
      <xdr:rowOff>9529</xdr:rowOff>
    </xdr:to>
    <xdr:cxnSp macro="">
      <xdr:nvCxnSpPr>
        <xdr:cNvPr id="49" name="Straight Arrow Connector 4">
          <a:extLst>
            <a:ext uri="{FF2B5EF4-FFF2-40B4-BE49-F238E27FC236}">
              <a16:creationId xmlns:a16="http://schemas.microsoft.com/office/drawing/2014/main" xmlns="" id="{00000000-0008-0000-0800-000031000000}"/>
            </a:ext>
          </a:extLst>
        </xdr:cNvPr>
        <xdr:cNvCxnSpPr/>
      </xdr:nvCxnSpPr>
      <xdr:spPr>
        <a:xfrm rot="5400000" flipH="1" flipV="1">
          <a:off x="6796087" y="6500813"/>
          <a:ext cx="390528" cy="3"/>
        </a:xfrm>
        <a:prstGeom prst="bentConnector3">
          <a:avLst>
            <a:gd name="adj1" fmla="val 50000"/>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28575</xdr:colOff>
      <xdr:row>32</xdr:row>
      <xdr:rowOff>63500</xdr:rowOff>
    </xdr:from>
    <xdr:to>
      <xdr:col>40</xdr:col>
      <xdr:colOff>518583</xdr:colOff>
      <xdr:row>32</xdr:row>
      <xdr:rowOff>66675</xdr:rowOff>
    </xdr:to>
    <xdr:cxnSp macro="">
      <xdr:nvCxnSpPr>
        <xdr:cNvPr id="30" name="Straight Arrow Connector 4">
          <a:extLst>
            <a:ext uri="{FF2B5EF4-FFF2-40B4-BE49-F238E27FC236}">
              <a16:creationId xmlns:a16="http://schemas.microsoft.com/office/drawing/2014/main" xmlns="" id="{00000000-0008-0000-0800-00001E000000}"/>
            </a:ext>
          </a:extLst>
        </xdr:cNvPr>
        <xdr:cNvCxnSpPr/>
      </xdr:nvCxnSpPr>
      <xdr:spPr>
        <a:xfrm flipV="1">
          <a:off x="37662908" y="6381750"/>
          <a:ext cx="4797425" cy="3175"/>
        </a:xfrm>
        <a:prstGeom prst="bentConnector3">
          <a:avLst>
            <a:gd name="adj1" fmla="val 50000"/>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295275</xdr:colOff>
      <xdr:row>31</xdr:row>
      <xdr:rowOff>171450</xdr:rowOff>
    </xdr:from>
    <xdr:to>
      <xdr:col>33</xdr:col>
      <xdr:colOff>9525</xdr:colOff>
      <xdr:row>31</xdr:row>
      <xdr:rowOff>171451</xdr:rowOff>
    </xdr:to>
    <xdr:cxnSp macro="">
      <xdr:nvCxnSpPr>
        <xdr:cNvPr id="37" name="Straight Arrow Connector 4">
          <a:extLst>
            <a:ext uri="{FF2B5EF4-FFF2-40B4-BE49-F238E27FC236}">
              <a16:creationId xmlns:a16="http://schemas.microsoft.com/office/drawing/2014/main" xmlns="" id="{00000000-0008-0000-0800-000025000000}"/>
            </a:ext>
          </a:extLst>
        </xdr:cNvPr>
        <xdr:cNvCxnSpPr/>
      </xdr:nvCxnSpPr>
      <xdr:spPr>
        <a:xfrm>
          <a:off x="904875" y="5895975"/>
          <a:ext cx="657225" cy="1"/>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524933</xdr:colOff>
      <xdr:row>32</xdr:row>
      <xdr:rowOff>76200</xdr:rowOff>
    </xdr:from>
    <xdr:to>
      <xdr:col>36</xdr:col>
      <xdr:colOff>524934</xdr:colOff>
      <xdr:row>40</xdr:row>
      <xdr:rowOff>0</xdr:rowOff>
    </xdr:to>
    <xdr:cxnSp macro="">
      <xdr:nvCxnSpPr>
        <xdr:cNvPr id="27" name="Straight Arrow Connector 4">
          <a:extLst>
            <a:ext uri="{FF2B5EF4-FFF2-40B4-BE49-F238E27FC236}">
              <a16:creationId xmlns:a16="http://schemas.microsoft.com/office/drawing/2014/main" xmlns="" id="{00000000-0008-0000-0800-00001B000000}"/>
            </a:ext>
          </a:extLst>
        </xdr:cNvPr>
        <xdr:cNvCxnSpPr/>
      </xdr:nvCxnSpPr>
      <xdr:spPr>
        <a:xfrm flipV="1">
          <a:off x="40335200" y="6189133"/>
          <a:ext cx="1" cy="172720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742950</xdr:colOff>
      <xdr:row>37</xdr:row>
      <xdr:rowOff>190500</xdr:rowOff>
    </xdr:from>
    <xdr:to>
      <xdr:col>40</xdr:col>
      <xdr:colOff>742950</xdr:colOff>
      <xdr:row>40</xdr:row>
      <xdr:rowOff>1</xdr:rowOff>
    </xdr:to>
    <xdr:cxnSp macro="">
      <xdr:nvCxnSpPr>
        <xdr:cNvPr id="26" name="Conector recto de flecha 25">
          <a:extLst>
            <a:ext uri="{FF2B5EF4-FFF2-40B4-BE49-F238E27FC236}">
              <a16:creationId xmlns:a16="http://schemas.microsoft.com/office/drawing/2014/main" xmlns="" id="{00000000-0008-0000-0800-00001A000000}"/>
            </a:ext>
          </a:extLst>
        </xdr:cNvPr>
        <xdr:cNvCxnSpPr/>
      </xdr:nvCxnSpPr>
      <xdr:spPr>
        <a:xfrm flipV="1">
          <a:off x="7896225" y="7362825"/>
          <a:ext cx="0" cy="438151"/>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523876</xdr:colOff>
      <xdr:row>31</xdr:row>
      <xdr:rowOff>107156</xdr:rowOff>
    </xdr:from>
    <xdr:to>
      <xdr:col>45</xdr:col>
      <xdr:colOff>666754</xdr:colOff>
      <xdr:row>31</xdr:row>
      <xdr:rowOff>107158</xdr:rowOff>
    </xdr:to>
    <xdr:cxnSp macro="">
      <xdr:nvCxnSpPr>
        <xdr:cNvPr id="28" name="Straight Arrow Connector 4">
          <a:extLst>
            <a:ext uri="{FF2B5EF4-FFF2-40B4-BE49-F238E27FC236}">
              <a16:creationId xmlns:a16="http://schemas.microsoft.com/office/drawing/2014/main" xmlns="" id="{00000000-0008-0000-0800-00001C000000}"/>
            </a:ext>
          </a:extLst>
        </xdr:cNvPr>
        <xdr:cNvCxnSpPr/>
      </xdr:nvCxnSpPr>
      <xdr:spPr>
        <a:xfrm rot="10800000">
          <a:off x="7858126" y="6215062"/>
          <a:ext cx="4369597" cy="2"/>
        </a:xfrm>
        <a:prstGeom prst="bentConnector3">
          <a:avLst>
            <a:gd name="adj1" fmla="val 50000"/>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193379</xdr:colOff>
      <xdr:row>27</xdr:row>
      <xdr:rowOff>11338</xdr:rowOff>
    </xdr:from>
    <xdr:to>
      <xdr:col>17</xdr:col>
      <xdr:colOff>506777</xdr:colOff>
      <xdr:row>58</xdr:row>
      <xdr:rowOff>113391</xdr:rowOff>
    </xdr:to>
    <xdr:pic>
      <xdr:nvPicPr>
        <xdr:cNvPr id="3" name="Picture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3708558" y="5340802"/>
          <a:ext cx="13500987" cy="6871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efan\Dropbox\LCA%20LLC\NW%20Innovation\GHG%20Analysis\LCA_-_GHG%20Inputs%20v25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ropbox\Life%20Cycle%20associates\NW%20Innovation\Life%20Cycle%20Data%20and%20GREET\GREET1_2017_china%20for%20NWIW%20v4_lo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nado"/>
      <sheetName val="Upstream"/>
      <sheetName val="Cut Off"/>
      <sheetName val="Results"/>
      <sheetName val="Compare"/>
      <sheetName val="KMMEF GHG"/>
      <sheetName val="Kalama Mass BOL Confidential"/>
      <sheetName val="Kalama Mass EOL Confidential"/>
      <sheetName val="Coal GHG"/>
      <sheetName val="Methanol Plants"/>
      <sheetName val="Solid Fuels"/>
      <sheetName val="Kalama Input Notes"/>
      <sheetName val="T&amp;D"/>
      <sheetName val="Construction"/>
      <sheetName val="Quantities"/>
      <sheetName val="Coal Volume"/>
      <sheetName val="Fugitive"/>
      <sheetName val="Olefins"/>
      <sheetName val="Fuel"/>
      <sheetName val="Notes"/>
      <sheetName val="EFs"/>
      <sheetName val="Fuel_Specs"/>
      <sheetName val="Factors"/>
      <sheetName val="Properties"/>
      <sheetName val="Direct"/>
      <sheetName val="NG SR GHG"/>
      <sheetName val="T&amp;D NZ"/>
    </sheetNames>
    <sheetDataSet>
      <sheetData sheetId="0"/>
      <sheetData sheetId="1"/>
      <sheetData sheetId="2"/>
      <sheetData sheetId="3">
        <row r="57">
          <cell r="K57" t="str">
            <v>Power Generation Mix</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9">
          <cell r="Y19">
            <v>19.045242847638061</v>
          </cell>
          <cell r="AA19">
            <v>21.689953426480375</v>
          </cell>
        </row>
        <row r="46">
          <cell r="AA46">
            <v>51.102743047635016</v>
          </cell>
        </row>
      </sheetData>
      <sheetData sheetId="22">
        <row r="8">
          <cell r="D8">
            <v>43.998699999999999</v>
          </cell>
        </row>
      </sheetData>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Elec Disag"/>
      <sheetName val="NG Disag"/>
      <sheetName val="Inputs"/>
      <sheetName val="Results"/>
      <sheetName val="Petroleum"/>
      <sheetName val="NG"/>
      <sheetName val="MeOH&amp;FTD"/>
      <sheetName val="EtOH"/>
      <sheetName val="Electric"/>
      <sheetName val="Hydrogen"/>
      <sheetName val="BioOil"/>
      <sheetName val="Algae"/>
      <sheetName val="RNG"/>
      <sheetName val="Pyrolysis&amp;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48">
          <cell r="H148">
            <v>1055.05585</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arad.dot.gov/wp-content/uploads/pdf/Methane-emissions-from-LNG-bunkering-20151124-final.pdf" TargetMode="External"/><Relationship Id="rId1" Type="http://schemas.openxmlformats.org/officeDocument/2006/relationships/hyperlink" Target="https://www.nho.no/siteassets/nhos-filer-og-bilder/filer-og-dokumenter/nox-fondet/dette-er-nox-fondet/presentasjoner-og-rapporter/methane-slip-from-gas-engines-mainreport-1492296.pdf"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marad.dot.gov/wp-content/uploads/pdf/Methane-emissions-from-LNG-bunkering-20151124-final.pdf"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1:AB241"/>
  <sheetViews>
    <sheetView showGridLines="0" zoomScale="80" zoomScaleNormal="80" workbookViewId="0">
      <selection activeCell="L20" sqref="L20"/>
    </sheetView>
  </sheetViews>
  <sheetFormatPr defaultColWidth="11.42578125" defaultRowHeight="15"/>
  <cols>
    <col min="1" max="1" width="4.140625" style="183" customWidth="1"/>
    <col min="2" max="2" width="32.42578125" style="183" customWidth="1"/>
    <col min="3" max="3" width="22.85546875" style="183" customWidth="1"/>
    <col min="4" max="4" width="14.28515625" style="183" customWidth="1"/>
    <col min="5" max="5" width="9.42578125" style="183" customWidth="1"/>
    <col min="6" max="6" width="11.5703125" style="183" customWidth="1"/>
    <col min="7" max="7" width="9.42578125" style="183" customWidth="1"/>
    <col min="8" max="8" width="12.28515625" style="183" customWidth="1"/>
    <col min="9" max="11" width="9.42578125" style="183" customWidth="1"/>
    <col min="12" max="12" width="12.28515625" style="183" customWidth="1"/>
    <col min="13" max="13" width="15.7109375" style="183" customWidth="1"/>
    <col min="14" max="14" width="33" style="1204" customWidth="1"/>
    <col min="15" max="16384" width="11.42578125" style="183"/>
  </cols>
  <sheetData>
    <row r="1" spans="2:15" ht="6" customHeight="1"/>
    <row r="2" spans="2:15" ht="21">
      <c r="B2" s="1140" t="s">
        <v>511</v>
      </c>
      <c r="K2" s="183" t="s">
        <v>513</v>
      </c>
      <c r="L2" s="349">
        <v>43364</v>
      </c>
      <c r="N2" s="1204" t="s">
        <v>1200</v>
      </c>
    </row>
    <row r="3" spans="2:15">
      <c r="K3" s="183" t="s">
        <v>512</v>
      </c>
      <c r="L3" s="350" t="s">
        <v>1464</v>
      </c>
    </row>
    <row r="4" spans="2:15" ht="15.75">
      <c r="B4" s="1139" t="s">
        <v>1187</v>
      </c>
    </row>
    <row r="5" spans="2:15">
      <c r="D5" s="1225">
        <v>0</v>
      </c>
      <c r="E5" s="183" t="s">
        <v>1466</v>
      </c>
    </row>
    <row r="6" spans="2:15" ht="15.75">
      <c r="B6" s="255" t="s">
        <v>1188</v>
      </c>
      <c r="N6" s="261"/>
    </row>
    <row r="7" spans="2:15">
      <c r="B7" s="324"/>
      <c r="C7" s="236" t="s">
        <v>360</v>
      </c>
      <c r="D7" s="236"/>
      <c r="E7" s="236"/>
      <c r="F7" s="324"/>
      <c r="G7" s="324"/>
      <c r="H7" s="336" t="s">
        <v>361</v>
      </c>
      <c r="I7" s="236"/>
      <c r="J7" s="236"/>
      <c r="K7" s="324"/>
      <c r="L7" s="324"/>
      <c r="M7" s="1437" t="s">
        <v>1295</v>
      </c>
    </row>
    <row r="8" spans="2:15" ht="45.75" thickBot="1">
      <c r="B8" s="215" t="s">
        <v>351</v>
      </c>
      <c r="C8" s="332" t="s">
        <v>1173</v>
      </c>
      <c r="D8" s="331" t="s">
        <v>352</v>
      </c>
      <c r="E8" s="331" t="s">
        <v>478</v>
      </c>
      <c r="F8" s="332" t="s">
        <v>507</v>
      </c>
      <c r="G8" s="332" t="s">
        <v>508</v>
      </c>
      <c r="H8" s="337" t="s">
        <v>353</v>
      </c>
      <c r="I8" s="331" t="s">
        <v>352</v>
      </c>
      <c r="J8" s="331" t="s">
        <v>478</v>
      </c>
      <c r="K8" s="332" t="s">
        <v>507</v>
      </c>
      <c r="L8" s="332" t="s">
        <v>508</v>
      </c>
      <c r="M8" s="1438" t="s">
        <v>1294</v>
      </c>
      <c r="N8" s="1204" t="s">
        <v>1465</v>
      </c>
      <c r="O8" s="332" t="s">
        <v>1467</v>
      </c>
    </row>
    <row r="9" spans="2:15" ht="15.75" thickTop="1">
      <c r="H9" s="338"/>
      <c r="M9" s="1439"/>
    </row>
    <row r="10" spans="2:15">
      <c r="B10" s="208" t="s">
        <v>200</v>
      </c>
      <c r="C10" s="333">
        <f>SUM(C11:C16)</f>
        <v>0.99999999999999989</v>
      </c>
      <c r="D10" s="1222">
        <f>SUM(D11:D16)</f>
        <v>250000</v>
      </c>
      <c r="E10" s="347">
        <f t="shared" ref="E10:E16" si="0">D10*$H$57</f>
        <v>907192.89999999991</v>
      </c>
      <c r="F10" s="342">
        <f>D10*$D$28/1000000</f>
        <v>88.75</v>
      </c>
      <c r="G10" s="347">
        <f t="shared" ref="G10:G16" si="1">E10*$D$28/lbperkg/1000</f>
        <v>146082.5</v>
      </c>
      <c r="H10" s="339">
        <f>SUM(H11:H16)</f>
        <v>1</v>
      </c>
      <c r="I10" s="1222">
        <f>SUM(I11:I16)</f>
        <v>500000</v>
      </c>
      <c r="J10" s="347">
        <f t="shared" ref="J10:J16" si="2">I10*$H$57</f>
        <v>1814385.7999999998</v>
      </c>
      <c r="K10" s="1221">
        <f t="shared" ref="K10" si="3">I10*$D$28/1000000</f>
        <v>177.5</v>
      </c>
      <c r="L10" s="347">
        <f t="shared" ref="L10:L16" si="4">J10*$D$28/lbperkg/1000</f>
        <v>292165</v>
      </c>
      <c r="M10" s="1440">
        <f>I10*365</f>
        <v>182500000</v>
      </c>
      <c r="O10" s="321">
        <v>250000</v>
      </c>
    </row>
    <row r="11" spans="2:15">
      <c r="B11" s="210" t="s">
        <v>355</v>
      </c>
      <c r="C11" s="334">
        <f t="shared" ref="C11:C16" si="5">D11/$D$10</f>
        <v>2.2045915027227202E-2</v>
      </c>
      <c r="D11" s="265">
        <f>I11</f>
        <v>5511.4787568068004</v>
      </c>
      <c r="E11" s="261">
        <f t="shared" si="0"/>
        <v>19999.897586703821</v>
      </c>
      <c r="F11" s="343">
        <f t="shared" ref="F11:F16" si="6">D11*$D$28/1000000</f>
        <v>1.9565749586664143</v>
      </c>
      <c r="G11" s="261">
        <f t="shared" si="1"/>
        <v>3220.5223819649173</v>
      </c>
      <c r="H11" s="340">
        <f t="shared" ref="H11:H16" si="7">I11/$I$10</f>
        <v>1.1022957513613601E-2</v>
      </c>
      <c r="I11" s="1223">
        <f>27397.2602739726*C31/240*66000/82020.6</f>
        <v>5511.4787568068004</v>
      </c>
      <c r="J11" s="261">
        <f t="shared" si="2"/>
        <v>19999.897586703821</v>
      </c>
      <c r="K11" s="343">
        <f>I11*$D$28/1000000</f>
        <v>1.9565749586664143</v>
      </c>
      <c r="L11" s="261">
        <f t="shared" si="4"/>
        <v>3220.5223819649173</v>
      </c>
      <c r="M11" s="1441">
        <f t="shared" ref="M11:M15" si="8">I11*365</f>
        <v>2011689.7462344822</v>
      </c>
      <c r="N11" s="1788">
        <f>K11*Fuel_Specs!$D$25/D31</f>
        <v>66000.003590791777</v>
      </c>
      <c r="O11" s="322">
        <v>27397.260273972606</v>
      </c>
    </row>
    <row r="12" spans="2:15">
      <c r="B12" s="210" t="s">
        <v>1351</v>
      </c>
      <c r="C12" s="334">
        <f t="shared" si="5"/>
        <v>0</v>
      </c>
      <c r="D12" s="265">
        <f t="shared" ref="D12:D15" si="9">O12*(1-$D$5)</f>
        <v>0</v>
      </c>
      <c r="E12" s="261">
        <f t="shared" si="0"/>
        <v>0</v>
      </c>
      <c r="F12" s="343">
        <f t="shared" si="6"/>
        <v>0</v>
      </c>
      <c r="G12" s="261">
        <f t="shared" si="1"/>
        <v>0</v>
      </c>
      <c r="H12" s="340">
        <f t="shared" si="7"/>
        <v>0.01</v>
      </c>
      <c r="I12" s="1223">
        <f>5000</f>
        <v>5000</v>
      </c>
      <c r="J12" s="261">
        <f t="shared" si="2"/>
        <v>18143.857999999997</v>
      </c>
      <c r="K12" s="343">
        <f t="shared" ref="K12:K16" si="10">I12*$D$28/1000000</f>
        <v>1.7749999999999999</v>
      </c>
      <c r="L12" s="261">
        <f t="shared" si="4"/>
        <v>2921.65</v>
      </c>
      <c r="M12" s="1441">
        <f t="shared" si="8"/>
        <v>1825000</v>
      </c>
      <c r="N12" s="1783" t="s">
        <v>1715</v>
      </c>
      <c r="O12" s="322">
        <v>0</v>
      </c>
    </row>
    <row r="13" spans="2:15">
      <c r="B13" s="210" t="s">
        <v>357</v>
      </c>
      <c r="C13" s="334">
        <f t="shared" si="5"/>
        <v>0</v>
      </c>
      <c r="D13" s="265">
        <f t="shared" si="9"/>
        <v>0</v>
      </c>
      <c r="E13" s="261">
        <f t="shared" si="0"/>
        <v>0</v>
      </c>
      <c r="F13" s="343">
        <f t="shared" si="6"/>
        <v>0</v>
      </c>
      <c r="G13" s="261">
        <f t="shared" si="1"/>
        <v>0</v>
      </c>
      <c r="H13" s="340">
        <f t="shared" si="7"/>
        <v>0.02</v>
      </c>
      <c r="I13" s="1223">
        <f>10000</f>
        <v>10000</v>
      </c>
      <c r="J13" s="261">
        <f t="shared" si="2"/>
        <v>36287.715999999993</v>
      </c>
      <c r="K13" s="343">
        <f t="shared" si="10"/>
        <v>3.55</v>
      </c>
      <c r="L13" s="261">
        <f t="shared" si="4"/>
        <v>5843.3</v>
      </c>
      <c r="M13" s="1441">
        <f t="shared" si="8"/>
        <v>3650000</v>
      </c>
      <c r="O13" s="322">
        <v>0</v>
      </c>
    </row>
    <row r="14" spans="2:15">
      <c r="B14" s="210" t="s">
        <v>354</v>
      </c>
      <c r="C14" s="334">
        <f t="shared" si="5"/>
        <v>0.42739726027397262</v>
      </c>
      <c r="D14" s="265">
        <f t="shared" si="9"/>
        <v>106849.31506849316</v>
      </c>
      <c r="E14" s="261">
        <f t="shared" si="0"/>
        <v>387731.75999999995</v>
      </c>
      <c r="F14" s="343">
        <f t="shared" si="6"/>
        <v>37.93150684931507</v>
      </c>
      <c r="G14" s="261">
        <f t="shared" si="1"/>
        <v>62435.260273972599</v>
      </c>
      <c r="H14" s="340">
        <f t="shared" si="7"/>
        <v>0.21369863013698601</v>
      </c>
      <c r="I14" s="1223">
        <f>106849.315068493</f>
        <v>106849.315068493</v>
      </c>
      <c r="J14" s="261">
        <f t="shared" si="2"/>
        <v>387731.75999999937</v>
      </c>
      <c r="K14" s="343">
        <f t="shared" si="10"/>
        <v>37.931506849315021</v>
      </c>
      <c r="L14" s="261">
        <f t="shared" si="4"/>
        <v>62435.260273972512</v>
      </c>
      <c r="M14" s="1441">
        <f t="shared" si="8"/>
        <v>38999999.999999948</v>
      </c>
      <c r="O14" s="322">
        <v>106849.31506849316</v>
      </c>
    </row>
    <row r="15" spans="2:15">
      <c r="B15" s="210" t="s">
        <v>358</v>
      </c>
      <c r="C15" s="334">
        <f t="shared" si="5"/>
        <v>0</v>
      </c>
      <c r="D15" s="265">
        <f t="shared" si="9"/>
        <v>0</v>
      </c>
      <c r="E15" s="261">
        <f t="shared" si="0"/>
        <v>0</v>
      </c>
      <c r="F15" s="343">
        <f t="shared" si="6"/>
        <v>0</v>
      </c>
      <c r="G15" s="261">
        <f t="shared" si="1"/>
        <v>0</v>
      </c>
      <c r="H15" s="340">
        <f t="shared" si="7"/>
        <v>0.01</v>
      </c>
      <c r="I15" s="1223">
        <f>5000</f>
        <v>5000</v>
      </c>
      <c r="J15" s="261">
        <f t="shared" si="2"/>
        <v>18143.857999999997</v>
      </c>
      <c r="K15" s="343">
        <f t="shared" si="10"/>
        <v>1.7749999999999999</v>
      </c>
      <c r="L15" s="261">
        <f t="shared" si="4"/>
        <v>2921.65</v>
      </c>
      <c r="M15" s="1441">
        <f t="shared" si="8"/>
        <v>1825000</v>
      </c>
      <c r="O15" s="322">
        <v>0</v>
      </c>
    </row>
    <row r="16" spans="2:15">
      <c r="B16" s="211" t="s">
        <v>359</v>
      </c>
      <c r="C16" s="335">
        <f t="shared" si="5"/>
        <v>0.55055682469880007</v>
      </c>
      <c r="D16" s="1101">
        <f>250000-D14-D11</f>
        <v>137639.20617470003</v>
      </c>
      <c r="E16" s="345">
        <f t="shared" si="0"/>
        <v>499461.24241329602</v>
      </c>
      <c r="F16" s="344">
        <f t="shared" si="6"/>
        <v>48.861918192018507</v>
      </c>
      <c r="G16" s="345">
        <f t="shared" si="1"/>
        <v>80426.717344062461</v>
      </c>
      <c r="H16" s="220">
        <f t="shared" si="7"/>
        <v>0.73527841234940039</v>
      </c>
      <c r="I16" s="1224">
        <f>500000-I11-I12-I13-I14-I15</f>
        <v>367639.20617470017</v>
      </c>
      <c r="J16" s="345">
        <f t="shared" si="2"/>
        <v>1334078.7104132965</v>
      </c>
      <c r="K16" s="344">
        <f t="shared" si="10"/>
        <v>130.51191819201856</v>
      </c>
      <c r="L16" s="345">
        <f t="shared" si="4"/>
        <v>214822.61734406257</v>
      </c>
      <c r="M16" s="1442">
        <f>I16*365</f>
        <v>134188310.25376557</v>
      </c>
      <c r="O16" s="323">
        <v>115753.42465753424</v>
      </c>
    </row>
    <row r="17" spans="1:14">
      <c r="B17" s="210"/>
      <c r="C17" s="334"/>
      <c r="D17" s="322"/>
      <c r="E17" s="261"/>
      <c r="F17" s="343"/>
      <c r="G17" s="261"/>
      <c r="H17" s="217"/>
      <c r="I17" s="322"/>
      <c r="J17" s="261"/>
      <c r="K17" s="343"/>
      <c r="L17" s="261"/>
    </row>
    <row r="18" spans="1:14">
      <c r="F18" s="1398" t="s">
        <v>1225</v>
      </c>
      <c r="G18" s="1399">
        <f>Results!F53</f>
        <v>-2.174364707315235E-2</v>
      </c>
      <c r="H18" s="1400">
        <f>Results!E52/1000</f>
        <v>-30.364567590786375</v>
      </c>
      <c r="I18" s="263" t="s">
        <v>1446</v>
      </c>
      <c r="J18" s="1341"/>
    </row>
    <row r="19" spans="1:14" ht="15.75">
      <c r="A19" s="253"/>
      <c r="B19" s="255" t="s">
        <v>1174</v>
      </c>
    </row>
    <row r="20" spans="1:14" ht="15.75" thickBot="1">
      <c r="A20" s="253"/>
      <c r="B20" s="346"/>
      <c r="C20" s="346" t="s">
        <v>258</v>
      </c>
      <c r="D20" s="1843" t="s">
        <v>506</v>
      </c>
      <c r="E20" s="1843"/>
      <c r="G20" s="1843" t="s">
        <v>1449</v>
      </c>
      <c r="H20" s="1843"/>
      <c r="I20" s="187" t="s">
        <v>1473</v>
      </c>
      <c r="J20" s="187"/>
    </row>
    <row r="21" spans="1:14" ht="15.75" thickTop="1">
      <c r="A21" s="253"/>
      <c r="B21" s="1397" t="s">
        <v>1445</v>
      </c>
      <c r="C21" s="1219" t="s">
        <v>488</v>
      </c>
      <c r="D21" s="1844" t="s">
        <v>1235</v>
      </c>
      <c r="E21" s="1844"/>
      <c r="G21" s="1443">
        <v>1</v>
      </c>
      <c r="H21" s="282" t="s">
        <v>1412</v>
      </c>
      <c r="I21" s="282" t="s">
        <v>1474</v>
      </c>
      <c r="J21" s="282"/>
    </row>
    <row r="22" spans="1:14">
      <c r="A22" s="253"/>
    </row>
    <row r="23" spans="1:14" ht="15.75" thickBot="1">
      <c r="A23" s="253"/>
      <c r="B23" s="346"/>
      <c r="C23" s="346" t="s">
        <v>1203</v>
      </c>
      <c r="D23" s="1843" t="s">
        <v>506</v>
      </c>
      <c r="E23" s="1843"/>
      <c r="G23" s="208" t="s">
        <v>1194</v>
      </c>
    </row>
    <row r="24" spans="1:14" ht="16.5" thickTop="1" thickBot="1">
      <c r="A24" s="253"/>
      <c r="B24" s="1397" t="s">
        <v>1204</v>
      </c>
      <c r="C24" s="1379" t="s">
        <v>1491</v>
      </c>
      <c r="D24" s="1844" t="s">
        <v>1235</v>
      </c>
      <c r="E24" s="1844"/>
      <c r="F24" s="183" t="s">
        <v>1427</v>
      </c>
      <c r="G24" s="182" t="str">
        <f>IF(H24=C172,B172,IF(H24=C174,B174,IF(H24=C176,B176,IF(H24=C178,B178,"N/A"))))</f>
        <v>Washington</v>
      </c>
      <c r="H24" s="1272" t="s">
        <v>301</v>
      </c>
      <c r="I24" s="183" t="s">
        <v>1235</v>
      </c>
    </row>
    <row r="25" spans="1:14" ht="16.5" thickTop="1" thickBot="1">
      <c r="A25" s="253"/>
      <c r="F25" s="183" t="s">
        <v>1428</v>
      </c>
      <c r="G25" s="182"/>
      <c r="H25" s="1272" t="s">
        <v>1429</v>
      </c>
      <c r="I25" s="183" t="s">
        <v>1235</v>
      </c>
    </row>
    <row r="26" spans="1:14" ht="16.5" thickTop="1">
      <c r="A26" s="253"/>
      <c r="B26" s="255" t="s">
        <v>500</v>
      </c>
    </row>
    <row r="27" spans="1:14" ht="15.75" thickBot="1">
      <c r="A27" s="253"/>
      <c r="B27" s="182" t="s">
        <v>500</v>
      </c>
      <c r="C27" s="182" t="s">
        <v>498</v>
      </c>
      <c r="D27" s="187" t="s">
        <v>499</v>
      </c>
      <c r="G27" s="1416" t="s">
        <v>1455</v>
      </c>
      <c r="H27" s="1762">
        <v>0.95</v>
      </c>
      <c r="I27" s="183" t="s">
        <v>1618</v>
      </c>
    </row>
    <row r="28" spans="1:14" ht="15.75" thickTop="1">
      <c r="A28" s="253"/>
      <c r="B28" s="183" t="s">
        <v>502</v>
      </c>
      <c r="C28" s="322">
        <v>8520</v>
      </c>
      <c r="D28" s="329">
        <f>C28/8760*365</f>
        <v>355</v>
      </c>
      <c r="G28" s="183" t="s">
        <v>104</v>
      </c>
      <c r="H28" s="1485" t="s">
        <v>206</v>
      </c>
      <c r="N28" s="1204" t="s">
        <v>1372</v>
      </c>
    </row>
    <row r="29" spans="1:14">
      <c r="A29" s="253"/>
      <c r="B29" s="183" t="s">
        <v>505</v>
      </c>
      <c r="C29" s="322">
        <v>8520</v>
      </c>
      <c r="D29" s="329">
        <f t="shared" ref="D29:D32" si="11">C29/8760*365</f>
        <v>355</v>
      </c>
      <c r="G29" s="1416" t="s">
        <v>1701</v>
      </c>
      <c r="H29" s="1766">
        <v>5.3</v>
      </c>
      <c r="I29" s="183" t="s">
        <v>1702</v>
      </c>
      <c r="J29" s="183" t="s">
        <v>1703</v>
      </c>
      <c r="N29" s="1204" t="s">
        <v>1372</v>
      </c>
    </row>
    <row r="30" spans="1:14">
      <c r="A30" s="253"/>
      <c r="B30" s="183" t="s">
        <v>501</v>
      </c>
      <c r="C30" s="322">
        <v>8760</v>
      </c>
      <c r="D30" s="329">
        <f t="shared" si="11"/>
        <v>365</v>
      </c>
    </row>
    <row r="31" spans="1:14">
      <c r="A31" s="253"/>
      <c r="B31" s="183" t="s">
        <v>503</v>
      </c>
      <c r="C31" s="1768">
        <v>60</v>
      </c>
      <c r="D31" s="329">
        <f t="shared" si="11"/>
        <v>2.5</v>
      </c>
      <c r="N31" s="1204" t="s">
        <v>1368</v>
      </c>
    </row>
    <row r="32" spans="1:14">
      <c r="A32" s="253"/>
      <c r="B32" s="209" t="s">
        <v>504</v>
      </c>
      <c r="C32" s="323">
        <v>500</v>
      </c>
      <c r="D32" s="330">
        <f t="shared" si="11"/>
        <v>20.833333333333332</v>
      </c>
      <c r="N32" s="1204" t="s">
        <v>1368</v>
      </c>
    </row>
    <row r="33" spans="1:14">
      <c r="A33" s="253"/>
    </row>
    <row r="34" spans="1:14" ht="15.75">
      <c r="A34" s="253"/>
      <c r="B34" s="255" t="s">
        <v>1189</v>
      </c>
    </row>
    <row r="35" spans="1:14">
      <c r="A35" s="253"/>
      <c r="B35" s="1276" t="str">
        <f>IF(scenario="A","Scenario A","Scenario B")</f>
        <v>Scenario B</v>
      </c>
      <c r="C35" s="668"/>
      <c r="D35" s="1846" t="s">
        <v>1468</v>
      </c>
      <c r="E35" s="1846"/>
      <c r="F35" s="668" t="s">
        <v>1364</v>
      </c>
      <c r="G35" s="668"/>
      <c r="H35" s="668"/>
    </row>
    <row r="36" spans="1:14" ht="15.75" thickBot="1">
      <c r="A36" s="253"/>
      <c r="B36" s="215" t="s">
        <v>1197</v>
      </c>
      <c r="C36" s="215"/>
      <c r="D36" s="1110" t="s">
        <v>1363</v>
      </c>
      <c r="E36" s="215" t="s">
        <v>2</v>
      </c>
      <c r="F36" s="1110" t="s">
        <v>1363</v>
      </c>
      <c r="G36" s="1270"/>
      <c r="H36" s="215" t="s">
        <v>1564</v>
      </c>
    </row>
    <row r="37" spans="1:14" ht="15.75" thickTop="1">
      <c r="A37" s="253"/>
      <c r="B37" s="183" t="s">
        <v>505</v>
      </c>
      <c r="C37" s="183" t="s">
        <v>391</v>
      </c>
      <c r="D37" s="1242">
        <f>IF(scenario="B",2,1)*H37</f>
        <v>18</v>
      </c>
      <c r="E37" s="183" t="s">
        <v>1450</v>
      </c>
      <c r="H37" s="1142">
        <v>9</v>
      </c>
      <c r="N37" s="1204" t="s">
        <v>1365</v>
      </c>
    </row>
    <row r="38" spans="1:14">
      <c r="A38" s="253"/>
      <c r="B38" s="183" t="s">
        <v>505</v>
      </c>
      <c r="C38" s="183" t="s">
        <v>392</v>
      </c>
      <c r="D38" s="1242">
        <f>IF(scenario="B",2,1)*H38</f>
        <v>3.2</v>
      </c>
      <c r="E38" s="183" t="s">
        <v>1450</v>
      </c>
      <c r="H38" s="219">
        <v>1.6</v>
      </c>
      <c r="N38" s="1204" t="s">
        <v>1366</v>
      </c>
    </row>
    <row r="39" spans="1:14">
      <c r="A39" s="253"/>
      <c r="B39" t="s">
        <v>452</v>
      </c>
      <c r="C39" t="s">
        <v>436</v>
      </c>
      <c r="D39" s="1429">
        <f>IF(scenario="B",2,1)*H39</f>
        <v>71.2</v>
      </c>
      <c r="E39"/>
      <c r="F39" s="144">
        <f>(('PSE LNG Operations'!AP34)*1000000/Input!E90+'PSE LNG Operations'!AU36*1000)/C29</f>
        <v>143.8939443828915</v>
      </c>
      <c r="G39"/>
      <c r="H39" s="1430">
        <v>35.6</v>
      </c>
      <c r="N39" s="1204" t="s">
        <v>1368</v>
      </c>
    </row>
    <row r="40" spans="1:14">
      <c r="A40" s="253"/>
      <c r="B40" t="s">
        <v>1355</v>
      </c>
      <c r="C40"/>
      <c r="D40" s="1429">
        <v>77</v>
      </c>
      <c r="E40" t="s">
        <v>51</v>
      </c>
      <c r="F40"/>
      <c r="G40"/>
      <c r="H40" s="1430"/>
    </row>
    <row r="41" spans="1:14">
      <c r="A41" s="253"/>
      <c r="B41" t="s">
        <v>1356</v>
      </c>
      <c r="C41"/>
      <c r="D41" s="1429">
        <v>88</v>
      </c>
      <c r="E41" t="s">
        <v>1350</v>
      </c>
      <c r="F41"/>
      <c r="G41"/>
      <c r="H41" s="1430"/>
    </row>
    <row r="42" spans="1:14">
      <c r="A42" s="253"/>
      <c r="B42" s="163" t="s">
        <v>370</v>
      </c>
      <c r="C42" s="163" t="s">
        <v>1354</v>
      </c>
      <c r="D42" s="1431">
        <f>H42</f>
        <v>66</v>
      </c>
      <c r="E42" s="163"/>
      <c r="F42" s="163"/>
      <c r="G42" s="163"/>
      <c r="H42" s="1432">
        <v>66</v>
      </c>
      <c r="J42" s="1807">
        <f>D42/66000</f>
        <v>1E-3</v>
      </c>
      <c r="K42" s="183" t="s">
        <v>1728</v>
      </c>
      <c r="N42" s="1204" t="s">
        <v>1367</v>
      </c>
    </row>
    <row r="43" spans="1:14">
      <c r="A43" s="253"/>
      <c r="B43" s="209"/>
      <c r="C43" s="209"/>
      <c r="D43" s="1277" t="s">
        <v>1369</v>
      </c>
      <c r="F43" s="209"/>
      <c r="H43" s="1190"/>
    </row>
    <row r="44" spans="1:14">
      <c r="A44" s="253"/>
      <c r="B44" s="263" t="s">
        <v>444</v>
      </c>
      <c r="C44" s="263" t="s">
        <v>1370</v>
      </c>
      <c r="D44" s="1243">
        <f>H44</f>
        <v>104.6</v>
      </c>
      <c r="E44" s="263" t="s">
        <v>222</v>
      </c>
      <c r="F44" s="263"/>
      <c r="H44" s="1194">
        <v>104.6</v>
      </c>
      <c r="N44" s="1204" t="s">
        <v>1368</v>
      </c>
    </row>
    <row r="45" spans="1:14">
      <c r="A45" s="253"/>
      <c r="B45" s="183" t="s">
        <v>1371</v>
      </c>
    </row>
    <row r="46" spans="1:14">
      <c r="A46" s="253"/>
    </row>
    <row r="47" spans="1:14">
      <c r="A47" s="253"/>
    </row>
    <row r="48" spans="1:14" ht="18.75" thickBot="1">
      <c r="A48" s="253"/>
      <c r="B48" s="182" t="s">
        <v>1303</v>
      </c>
      <c r="C48" s="182"/>
      <c r="D48" s="1191">
        <v>0.99760000000000004</v>
      </c>
      <c r="E48" s="183" t="s">
        <v>1409</v>
      </c>
    </row>
    <row r="49" spans="1:14" ht="15.75" thickTop="1">
      <c r="A49" s="253"/>
      <c r="C49" s="326"/>
    </row>
    <row r="50" spans="1:14" ht="15.75" thickBot="1">
      <c r="A50" s="253"/>
      <c r="B50" s="187" t="s">
        <v>1199</v>
      </c>
      <c r="C50" s="187" t="s">
        <v>348</v>
      </c>
      <c r="D50" s="187"/>
    </row>
    <row r="51" spans="1:14" ht="15.75" thickTop="1">
      <c r="A51" s="253"/>
      <c r="B51" s="1196" t="s">
        <v>351</v>
      </c>
      <c r="C51" s="1197">
        <v>1348</v>
      </c>
      <c r="D51" s="1201" t="s">
        <v>1198</v>
      </c>
      <c r="E51" s="1273"/>
      <c r="N51" s="1204" t="s">
        <v>1202</v>
      </c>
    </row>
    <row r="52" spans="1:14">
      <c r="A52" s="253"/>
      <c r="B52" s="1198" t="s">
        <v>370</v>
      </c>
      <c r="C52" s="1199">
        <v>45</v>
      </c>
      <c r="D52" s="1200" t="s">
        <v>1198</v>
      </c>
    </row>
    <row r="53" spans="1:14">
      <c r="A53" s="253"/>
      <c r="B53" s="1273"/>
      <c r="C53" s="1475"/>
    </row>
    <row r="54" spans="1:14">
      <c r="A54" s="253"/>
      <c r="C54" s="326"/>
      <c r="G54" s="325"/>
    </row>
    <row r="55" spans="1:14" ht="15.75">
      <c r="A55" s="253"/>
      <c r="B55" s="255" t="s">
        <v>493</v>
      </c>
    </row>
    <row r="56" spans="1:14" ht="45.75" thickBot="1">
      <c r="A56" s="253"/>
      <c r="B56" s="280" t="s">
        <v>1330</v>
      </c>
      <c r="C56" s="281" t="s">
        <v>423</v>
      </c>
      <c r="D56" s="281" t="s">
        <v>424</v>
      </c>
      <c r="E56" s="281" t="s">
        <v>494</v>
      </c>
      <c r="F56" s="281"/>
      <c r="G56" s="188" t="s">
        <v>509</v>
      </c>
      <c r="H56" s="188" t="s">
        <v>510</v>
      </c>
    </row>
    <row r="57" spans="1:14" ht="15.75" thickTop="1">
      <c r="A57" s="253"/>
      <c r="B57" s="282"/>
      <c r="C57" s="283">
        <f>IF(scenario="B",2,1)*1012995</f>
        <v>2025990</v>
      </c>
      <c r="D57" s="283">
        <f>IF(scenario="B",2,1)*907013</f>
        <v>1814026</v>
      </c>
      <c r="E57" s="1472">
        <f>C57/D57</f>
        <v>1.1168472778229199</v>
      </c>
      <c r="F57" s="284"/>
      <c r="G57" s="283">
        <v>1646</v>
      </c>
      <c r="H57" s="341">
        <f>G57/gperlb</f>
        <v>3.6287715999999994</v>
      </c>
    </row>
    <row r="58" spans="1:14">
      <c r="A58" s="253"/>
      <c r="B58" s="183" t="s">
        <v>1726</v>
      </c>
      <c r="C58" s="1804">
        <f>Fuel_Specs!$P$47</f>
        <v>21073.668699448401</v>
      </c>
      <c r="D58" s="1804">
        <f>Fuel_Specs!$P$25</f>
        <v>21262.174644156203</v>
      </c>
      <c r="E58" s="1805"/>
      <c r="F58" s="261"/>
      <c r="G58" s="1804"/>
      <c r="H58" s="1806"/>
    </row>
    <row r="59" spans="1:14">
      <c r="A59" s="253"/>
      <c r="B59" s="183" t="s">
        <v>1727</v>
      </c>
      <c r="C59" s="1804">
        <f>C58*C57/1000000</f>
        <v>42695.042048395459</v>
      </c>
      <c r="D59" s="1804">
        <f>D58*D57/1000000</f>
        <v>38570.137621040099</v>
      </c>
      <c r="E59" s="1805">
        <f>C59/D59</f>
        <v>1.1069455460046171</v>
      </c>
      <c r="F59" s="261">
        <f>E59*Fuel_Specs!C25</f>
        <v>85407.020652418025</v>
      </c>
      <c r="G59" s="1804"/>
      <c r="H59" s="1806"/>
    </row>
    <row r="60" spans="1:14">
      <c r="A60" s="253"/>
      <c r="D60" s="1251"/>
    </row>
    <row r="61" spans="1:14" ht="15.75">
      <c r="A61" s="253"/>
      <c r="B61" s="255" t="s">
        <v>490</v>
      </c>
      <c r="C61" s="252"/>
      <c r="D61" s="252"/>
      <c r="E61" s="252"/>
      <c r="F61" s="252"/>
      <c r="G61" s="252"/>
    </row>
    <row r="62" spans="1:14">
      <c r="A62" s="253"/>
    </row>
    <row r="63" spans="1:14" ht="24.75">
      <c r="A63" s="253"/>
      <c r="B63" s="278" t="s">
        <v>212</v>
      </c>
      <c r="C63" s="1385" t="s">
        <v>1405</v>
      </c>
      <c r="D63" s="1385" t="s">
        <v>1348</v>
      </c>
      <c r="E63" s="1385" t="s">
        <v>1406</v>
      </c>
      <c r="F63" s="1385" t="s">
        <v>1407</v>
      </c>
      <c r="G63" s="1385" t="s">
        <v>51</v>
      </c>
      <c r="H63" s="1385" t="s">
        <v>393</v>
      </c>
    </row>
    <row r="64" spans="1:14">
      <c r="A64" s="253"/>
      <c r="B64" s="278"/>
      <c r="C64" s="278" t="s">
        <v>394</v>
      </c>
      <c r="D64" s="278" t="s">
        <v>394</v>
      </c>
      <c r="E64" s="278" t="s">
        <v>394</v>
      </c>
      <c r="F64" s="278" t="s">
        <v>394</v>
      </c>
      <c r="G64" s="278" t="s">
        <v>394</v>
      </c>
      <c r="H64" s="278" t="s">
        <v>394</v>
      </c>
    </row>
    <row r="65" spans="1:8">
      <c r="A65" s="253"/>
      <c r="B65" s="1306" t="s">
        <v>110</v>
      </c>
      <c r="C65" s="1307">
        <v>0.91313699999999987</v>
      </c>
      <c r="D65" s="1307">
        <v>0</v>
      </c>
      <c r="E65" s="1307">
        <v>5.1176476418378122E-2</v>
      </c>
      <c r="F65" s="1307">
        <v>5.0071749406426773E-2</v>
      </c>
      <c r="G65" s="1307">
        <v>5.3600613399081717E-2</v>
      </c>
      <c r="H65" s="1307">
        <v>0.94355800000000001</v>
      </c>
    </row>
    <row r="66" spans="1:8">
      <c r="A66" s="253"/>
      <c r="B66" s="1306" t="s">
        <v>397</v>
      </c>
      <c r="C66" s="1307">
        <v>6.0698999999999996E-2</v>
      </c>
      <c r="D66" s="1307">
        <v>0</v>
      </c>
      <c r="E66" s="1307">
        <v>0.55731587968229479</v>
      </c>
      <c r="F66" s="1307">
        <v>0.7982634636364232</v>
      </c>
      <c r="G66" s="1307">
        <v>2.8597071908535797E-2</v>
      </c>
      <c r="H66" s="1307">
        <v>4.3172000000000002E-2</v>
      </c>
    </row>
    <row r="67" spans="1:8">
      <c r="A67" s="253"/>
      <c r="B67" s="1335"/>
      <c r="C67" s="1336"/>
      <c r="D67" s="1336"/>
      <c r="E67" s="1336"/>
      <c r="F67" s="1336"/>
      <c r="G67" s="1336"/>
      <c r="H67" s="1336">
        <v>0</v>
      </c>
    </row>
    <row r="68" spans="1:8">
      <c r="A68" s="253"/>
      <c r="B68" s="1306" t="s">
        <v>398</v>
      </c>
      <c r="C68" s="1307">
        <v>1.5436999999999994E-2</v>
      </c>
      <c r="D68" s="1307">
        <v>0</v>
      </c>
      <c r="E68" s="1307">
        <v>0.21833957747503341</v>
      </c>
      <c r="F68" s="1307">
        <v>1.5892061365680537E-2</v>
      </c>
      <c r="G68" s="1307">
        <v>0.66257648409815106</v>
      </c>
      <c r="H68" s="1307">
        <v>8.2760000000000004E-3</v>
      </c>
    </row>
    <row r="69" spans="1:8">
      <c r="A69" s="253"/>
      <c r="B69" s="1306" t="s">
        <v>399</v>
      </c>
      <c r="C69" s="1307">
        <v>2.2389999999999997E-3</v>
      </c>
      <c r="D69" s="1307">
        <v>0</v>
      </c>
      <c r="E69" s="1307">
        <v>3.7175304709777451E-2</v>
      </c>
      <c r="F69" s="1307">
        <v>2.7058411973120721E-3</v>
      </c>
      <c r="G69" s="1307">
        <v>0.11281272490645142</v>
      </c>
      <c r="H69" s="1307">
        <v>1.0059999999999999E-3</v>
      </c>
    </row>
    <row r="70" spans="1:8">
      <c r="A70" s="253"/>
      <c r="B70" s="1306" t="s">
        <v>400</v>
      </c>
      <c r="C70" s="1307">
        <v>2.4149999999999992E-3</v>
      </c>
      <c r="D70" s="1307">
        <v>0</v>
      </c>
      <c r="E70" s="1307">
        <v>4.5454940676522261E-2</v>
      </c>
      <c r="F70" s="1307">
        <v>3.3084826624584949E-3</v>
      </c>
      <c r="G70" s="1307">
        <v>0.13793822964498498</v>
      </c>
      <c r="H70" s="1307">
        <v>8.9599999999999999E-4</v>
      </c>
    </row>
    <row r="71" spans="1:8">
      <c r="A71" s="253"/>
      <c r="B71" s="1306" t="s">
        <v>401</v>
      </c>
      <c r="C71" s="1307">
        <v>4.7599999999999991E-4</v>
      </c>
      <c r="D71" s="1307">
        <v>0</v>
      </c>
      <c r="E71" s="1307">
        <v>1.0789718503129759E-2</v>
      </c>
      <c r="F71" s="1307">
        <v>1.4136125341800443E-2</v>
      </c>
      <c r="G71" s="1307">
        <v>3.4465934755521402E-3</v>
      </c>
      <c r="H71" s="1307">
        <v>1.12E-4</v>
      </c>
    </row>
    <row r="72" spans="1:8">
      <c r="A72" s="253"/>
      <c r="B72" s="1306" t="s">
        <v>402</v>
      </c>
      <c r="C72" s="1307">
        <v>3.4099999999999989E-4</v>
      </c>
      <c r="D72" s="1307">
        <v>0</v>
      </c>
      <c r="E72" s="1307">
        <v>8.076288877347319E-3</v>
      </c>
      <c r="F72" s="1307">
        <v>1.1756812936073677E-2</v>
      </c>
      <c r="G72" s="1307">
        <v>0</v>
      </c>
      <c r="H72" s="1307">
        <v>6.7999999999999999E-5</v>
      </c>
    </row>
    <row r="73" spans="1:8">
      <c r="A73" s="253"/>
      <c r="B73" s="1306" t="s">
        <v>403</v>
      </c>
      <c r="C73" s="1307">
        <v>2.9899999999999995E-4</v>
      </c>
      <c r="D73" s="1307">
        <v>0</v>
      </c>
      <c r="E73" s="1307">
        <v>8.4309703582369239E-3</v>
      </c>
      <c r="F73" s="1307">
        <v>1.2273129760055127E-2</v>
      </c>
      <c r="G73" s="1307">
        <v>0</v>
      </c>
      <c r="H73" s="1307">
        <v>1.2E-5</v>
      </c>
    </row>
    <row r="74" spans="1:8">
      <c r="A74" s="253"/>
      <c r="B74" s="1306" t="s">
        <v>404</v>
      </c>
      <c r="C74" s="1307">
        <v>2.7169999999999989E-3</v>
      </c>
      <c r="D74" s="1307">
        <v>0.54811377849505738</v>
      </c>
      <c r="E74" s="1307">
        <v>3.652455061544906E-4</v>
      </c>
      <c r="F74" s="1307">
        <v>5.3169508382051715E-4</v>
      </c>
      <c r="G74" s="1307">
        <v>0</v>
      </c>
      <c r="H74" s="1307">
        <v>2.8E-3</v>
      </c>
    </row>
    <row r="75" spans="1:8">
      <c r="A75" s="253"/>
      <c r="B75" s="1306" t="s">
        <v>119</v>
      </c>
      <c r="C75" s="1307">
        <v>0</v>
      </c>
      <c r="D75" s="1307">
        <v>0</v>
      </c>
      <c r="E75" s="1307">
        <v>0</v>
      </c>
      <c r="F75" s="1307">
        <v>0</v>
      </c>
      <c r="G75" s="1307">
        <v>0</v>
      </c>
      <c r="H75" s="1307">
        <v>0</v>
      </c>
    </row>
    <row r="76" spans="1:8">
      <c r="A76" s="253"/>
      <c r="B76" s="1306" t="s">
        <v>405</v>
      </c>
      <c r="C76" s="1307">
        <v>0</v>
      </c>
      <c r="D76" s="1307">
        <v>0</v>
      </c>
      <c r="E76" s="1307">
        <v>0</v>
      </c>
      <c r="F76" s="1307">
        <v>0</v>
      </c>
      <c r="G76" s="1307">
        <v>0</v>
      </c>
      <c r="H76" s="1307">
        <v>0</v>
      </c>
    </row>
    <row r="77" spans="1:8">
      <c r="A77" s="253"/>
      <c r="B77" s="1306" t="s">
        <v>406</v>
      </c>
      <c r="C77" s="1307">
        <v>0</v>
      </c>
      <c r="D77" s="1307">
        <v>0</v>
      </c>
      <c r="E77" s="1307">
        <v>0</v>
      </c>
      <c r="F77" s="1307">
        <v>0</v>
      </c>
      <c r="G77" s="1307">
        <v>0</v>
      </c>
      <c r="H77" s="1307">
        <v>0</v>
      </c>
    </row>
    <row r="78" spans="1:8">
      <c r="A78" s="253"/>
      <c r="B78" s="1306" t="s">
        <v>407</v>
      </c>
      <c r="C78" s="1307">
        <v>0</v>
      </c>
      <c r="D78" s="1307">
        <v>0</v>
      </c>
      <c r="E78" s="1307">
        <v>0</v>
      </c>
      <c r="F78" s="1307">
        <v>0</v>
      </c>
      <c r="G78" s="1307">
        <v>0</v>
      </c>
      <c r="H78" s="1307">
        <v>0</v>
      </c>
    </row>
    <row r="79" spans="1:8">
      <c r="A79" s="253"/>
      <c r="B79" s="1306" t="s">
        <v>408</v>
      </c>
      <c r="C79" s="1307">
        <v>0</v>
      </c>
      <c r="D79" s="1307">
        <v>0</v>
      </c>
      <c r="E79" s="1307">
        <v>0</v>
      </c>
      <c r="F79" s="1307">
        <v>0</v>
      </c>
      <c r="G79" s="1307">
        <v>0</v>
      </c>
      <c r="H79" s="1307">
        <v>0</v>
      </c>
    </row>
    <row r="80" spans="1:8">
      <c r="A80" s="253"/>
      <c r="B80" s="1306" t="s">
        <v>107</v>
      </c>
      <c r="C80" s="1307">
        <v>2.2399999999999994E-3</v>
      </c>
      <c r="D80" s="1307">
        <v>0.45188622150494245</v>
      </c>
      <c r="E80" s="1307">
        <v>6.2875597793125501E-2</v>
      </c>
      <c r="F80" s="1307">
        <v>9.1060638609949313E-2</v>
      </c>
      <c r="G80" s="1307">
        <v>1.0282825672427432E-3</v>
      </c>
      <c r="H80" s="1307">
        <v>1E-4</v>
      </c>
    </row>
    <row r="81" spans="1:13">
      <c r="A81" s="253"/>
      <c r="B81" s="278" t="s">
        <v>200</v>
      </c>
      <c r="C81" s="1308">
        <v>0.99999999999999989</v>
      </c>
      <c r="D81" s="1308">
        <v>0.99999999999999978</v>
      </c>
      <c r="E81" s="1308">
        <v>0.99999999999999989</v>
      </c>
      <c r="F81" s="1308">
        <v>1.0000000000000002</v>
      </c>
      <c r="G81" s="1308">
        <v>0.99999999999999978</v>
      </c>
      <c r="H81" s="1308">
        <v>0.99999999999999989</v>
      </c>
    </row>
    <row r="82" spans="1:13">
      <c r="A82" s="253"/>
      <c r="B82" s="1306" t="s">
        <v>549</v>
      </c>
      <c r="C82" s="285">
        <v>118.11028341995417</v>
      </c>
      <c r="D82" s="285">
        <v>0</v>
      </c>
      <c r="E82" s="285">
        <v>136.68137814075516</v>
      </c>
      <c r="F82" s="285">
        <v>136.86564540049366</v>
      </c>
      <c r="G82" s="285">
        <v>136.42139318751362</v>
      </c>
      <c r="H82" s="285">
        <v>116.86703148554251</v>
      </c>
    </row>
    <row r="83" spans="1:13">
      <c r="A83" s="253"/>
      <c r="B83" s="1306" t="s">
        <v>409</v>
      </c>
      <c r="C83" s="286">
        <v>0.12870120913510905</v>
      </c>
      <c r="D83" s="286">
        <v>0</v>
      </c>
      <c r="E83" s="286">
        <v>0.27413263151631528</v>
      </c>
      <c r="F83" s="286">
        <v>0.23385260550374126</v>
      </c>
      <c r="G83" s="286">
        <v>0.36252035045903186</v>
      </c>
      <c r="H83" s="286">
        <v>0.12356852709315738</v>
      </c>
      <c r="K83" s="183">
        <f>Fuel_Specs!E25</f>
        <v>1646</v>
      </c>
      <c r="L83" s="183" t="s">
        <v>24</v>
      </c>
    </row>
    <row r="84" spans="1:13">
      <c r="B84" s="1306" t="s">
        <v>410</v>
      </c>
      <c r="C84" s="287">
        <v>49.017063508101224</v>
      </c>
      <c r="D84" s="287">
        <v>0</v>
      </c>
      <c r="E84" s="287">
        <v>43.287203301892653</v>
      </c>
      <c r="F84" s="287">
        <v>41.463880657384351</v>
      </c>
      <c r="G84" s="287">
        <v>46.150525826498843</v>
      </c>
      <c r="H84" s="1820">
        <v>49.455310628498445</v>
      </c>
      <c r="J84" s="277">
        <f>G84*BtuperMJ*Fuel_Specs!U24*Lpergal</f>
        <v>84116.363284803621</v>
      </c>
      <c r="K84" s="277">
        <f>L84*BtuperMJ</f>
        <v>77155.575502954132</v>
      </c>
      <c r="L84" s="183">
        <f>H84*K83/1000</f>
        <v>81.403441294508454</v>
      </c>
      <c r="M84" s="183" t="s">
        <v>1435</v>
      </c>
    </row>
    <row r="85" spans="1:13">
      <c r="B85" s="1335" t="s">
        <v>1408</v>
      </c>
      <c r="C85" s="1337">
        <f>C82*gperlb*C92/C91</f>
        <v>59333.728970152973</v>
      </c>
      <c r="D85" s="1337">
        <v>0</v>
      </c>
      <c r="E85" s="1337">
        <f>E82*gperlb*E92/E91</f>
        <v>68663.08005574088</v>
      </c>
      <c r="F85" s="1337">
        <f>F82*gperlb*F92/F91</f>
        <v>68755.648317629835</v>
      </c>
      <c r="G85" s="1337">
        <f>G82*gperlb*G92/G91</f>
        <v>68532.474351433979</v>
      </c>
      <c r="H85" s="1337">
        <f>H82*gperlb*H92/H91</f>
        <v>58709.170538981365</v>
      </c>
      <c r="J85" s="1338"/>
      <c r="K85" s="1338"/>
    </row>
    <row r="86" spans="1:13">
      <c r="A86" s="253"/>
      <c r="B86" s="1306" t="s">
        <v>411</v>
      </c>
      <c r="C86" s="287">
        <v>17.683155152999998</v>
      </c>
      <c r="D86" s="287">
        <v>35.234698406294122</v>
      </c>
      <c r="E86" s="287">
        <v>36.855642820615159</v>
      </c>
      <c r="F86" s="287">
        <v>32.778565971807062</v>
      </c>
      <c r="G86" s="287">
        <v>45.80209986877631</v>
      </c>
      <c r="H86" s="287">
        <v>17.0065043884</v>
      </c>
    </row>
    <row r="87" spans="1:13">
      <c r="A87" s="253"/>
      <c r="B87" s="1306" t="s">
        <v>412</v>
      </c>
      <c r="C87" s="285">
        <v>1.1075809999999999</v>
      </c>
      <c r="D87" s="285">
        <v>0.45188622150494245</v>
      </c>
      <c r="E87" s="285">
        <v>2.3591394065981994</v>
      </c>
      <c r="F87" s="285">
        <v>2.0124962647750477</v>
      </c>
      <c r="G87" s="285">
        <v>3.1197892776613556</v>
      </c>
      <c r="H87" s="285">
        <v>1.0634100000000002</v>
      </c>
    </row>
    <row r="88" spans="1:13">
      <c r="A88" s="253"/>
      <c r="B88" s="1306" t="s">
        <v>413</v>
      </c>
      <c r="C88" s="1819">
        <v>0.75224402517009359</v>
      </c>
      <c r="D88" s="288">
        <v>0.15402866395203438</v>
      </c>
      <c r="E88" s="288">
        <v>0.76876326404477191</v>
      </c>
      <c r="F88" s="288">
        <v>0.73737454410717895</v>
      </c>
      <c r="G88" s="288">
        <v>0.81805570775272685</v>
      </c>
      <c r="H88" s="1819">
        <v>0.75098055475241432</v>
      </c>
    </row>
    <row r="89" spans="1:13">
      <c r="A89" s="253"/>
      <c r="B89" s="1306" t="s">
        <v>414</v>
      </c>
      <c r="C89" s="287">
        <v>56.23669868208399</v>
      </c>
      <c r="D89" s="287">
        <v>0</v>
      </c>
      <c r="E89" s="287">
        <v>65.079087572954123</v>
      </c>
      <c r="F89" s="287">
        <v>65.166824068565106</v>
      </c>
      <c r="G89" s="287">
        <v>64.955299067381475</v>
      </c>
      <c r="H89" s="287">
        <v>55.644740197209046</v>
      </c>
    </row>
    <row r="90" spans="1:13">
      <c r="A90" s="253"/>
      <c r="B90" s="1306" t="s">
        <v>415</v>
      </c>
      <c r="C90" s="1821">
        <v>59332.810128026125</v>
      </c>
      <c r="D90" s="1821">
        <v>0</v>
      </c>
      <c r="E90" s="1821">
        <v>68662.016739283121</v>
      </c>
      <c r="F90" s="1821">
        <v>68754.583567659967</v>
      </c>
      <c r="G90" s="1821">
        <v>68531.413057536163</v>
      </c>
      <c r="H90" s="1821">
        <v>58708.261368766391</v>
      </c>
    </row>
    <row r="91" spans="1:13">
      <c r="A91" s="253"/>
      <c r="B91" s="1306" t="s">
        <v>416</v>
      </c>
      <c r="C91" s="1822">
        <v>983.9004983183695</v>
      </c>
      <c r="D91" s="1822">
        <v>0</v>
      </c>
      <c r="E91" s="1822">
        <v>1810.9549680375974</v>
      </c>
      <c r="F91" s="1822">
        <v>1542.7801002686247</v>
      </c>
      <c r="G91" s="1822">
        <v>2399.4194549389908</v>
      </c>
      <c r="H91" s="1822">
        <v>954.71143068127606</v>
      </c>
    </row>
    <row r="92" spans="1:13">
      <c r="A92" s="253"/>
      <c r="B92" s="1306" t="s">
        <v>417</v>
      </c>
      <c r="C92" s="1822">
        <v>1089.6698018875941</v>
      </c>
      <c r="D92" s="1822">
        <v>0</v>
      </c>
      <c r="E92" s="1822">
        <v>2005.6326271016389</v>
      </c>
      <c r="F92" s="1822">
        <v>1708.6289610475017</v>
      </c>
      <c r="G92" s="1822">
        <v>2657.3570463449323</v>
      </c>
      <c r="H92" s="1822">
        <v>1057.3429094795131</v>
      </c>
      <c r="I92" s="183">
        <f>(E92*E133+F92*F133)/(E91*E133+F91*F133)</f>
        <v>1.1074999999999999</v>
      </c>
      <c r="J92" s="183">
        <f>1/I92</f>
        <v>0.90293453724604977</v>
      </c>
      <c r="K92" s="183">
        <f>C91/C92</f>
        <v>0.90293453724604977</v>
      </c>
    </row>
    <row r="93" spans="1:13">
      <c r="A93" s="253"/>
      <c r="B93" s="1306" t="s">
        <v>418</v>
      </c>
      <c r="C93" s="1822">
        <v>36.659254710812966</v>
      </c>
      <c r="D93" s="1822">
        <v>0</v>
      </c>
      <c r="E93" s="1822">
        <v>67.474566337317341</v>
      </c>
      <c r="F93" s="1822">
        <v>57.482610035451337</v>
      </c>
      <c r="G93" s="1822">
        <v>89.400228078984213</v>
      </c>
      <c r="H93" s="1822">
        <v>35.571696093749317</v>
      </c>
    </row>
    <row r="94" spans="1:13">
      <c r="B94" s="1306" t="s">
        <v>211</v>
      </c>
      <c r="C94" s="1823">
        <v>0.61047970562038245</v>
      </c>
      <c r="D94" s="1823">
        <v>1.2164157428120597</v>
      </c>
      <c r="E94" s="1823">
        <v>1.2723759863500366</v>
      </c>
      <c r="F94" s="1823">
        <v>1.1316221077058297</v>
      </c>
      <c r="G94" s="1823">
        <v>1.5812366177165058</v>
      </c>
      <c r="H94" s="1823">
        <v>0.58711953284540497</v>
      </c>
    </row>
    <row r="95" spans="1:13">
      <c r="B95" s="1306" t="s">
        <v>419</v>
      </c>
      <c r="C95" s="287">
        <v>21.177818855908775</v>
      </c>
      <c r="D95" s="287">
        <v>42.198015785914798</v>
      </c>
      <c r="E95" s="287">
        <v>44.139302105294533</v>
      </c>
      <c r="F95" s="287">
        <v>39.25648598913164</v>
      </c>
      <c r="G95" s="287">
        <v>54.85381798941161</v>
      </c>
      <c r="H95" s="287">
        <v>20.367443829652231</v>
      </c>
    </row>
    <row r="96" spans="1:13">
      <c r="B96" s="1306" t="s">
        <v>420</v>
      </c>
      <c r="C96" s="287">
        <v>747.8876147844752</v>
      </c>
      <c r="D96" s="287">
        <v>1490.2088637876955</v>
      </c>
      <c r="E96" s="287">
        <v>1558.7647431675759</v>
      </c>
      <c r="F96" s="287">
        <v>1386.3297193629703</v>
      </c>
      <c r="G96" s="287">
        <v>1937.1443006972661</v>
      </c>
      <c r="H96" s="287">
        <v>719.26949081280782</v>
      </c>
    </row>
    <row r="97" spans="2:8">
      <c r="B97" s="1306"/>
      <c r="C97" s="1278" t="s">
        <v>395</v>
      </c>
      <c r="D97" s="1278" t="s">
        <v>395</v>
      </c>
      <c r="E97" s="1278" t="s">
        <v>395</v>
      </c>
      <c r="F97" s="1278" t="s">
        <v>395</v>
      </c>
      <c r="G97" s="1278" t="s">
        <v>395</v>
      </c>
      <c r="H97" s="1278" t="s">
        <v>395</v>
      </c>
    </row>
    <row r="98" spans="2:8">
      <c r="B98" s="1306" t="s">
        <v>208</v>
      </c>
      <c r="C98" s="1309">
        <v>94.536416112516918</v>
      </c>
      <c r="D98" s="1309">
        <v>0</v>
      </c>
      <c r="E98" s="1309">
        <v>0.18061611251690449</v>
      </c>
      <c r="F98" s="1309">
        <v>0.12139508718277323</v>
      </c>
      <c r="G98" s="1309">
        <v>5.9221025334131261E-2</v>
      </c>
      <c r="H98" s="1309">
        <v>94.355800000000002</v>
      </c>
    </row>
    <row r="99" spans="2:8">
      <c r="B99" s="1306" t="s">
        <v>214</v>
      </c>
      <c r="C99" s="1309">
        <v>6.2841237641379823</v>
      </c>
      <c r="D99" s="1309">
        <v>0</v>
      </c>
      <c r="E99" s="1309">
        <v>1.9669237641379818</v>
      </c>
      <c r="F99" s="1309">
        <v>1.9353280824362051</v>
      </c>
      <c r="G99" s="1309">
        <v>3.1595681701776672E-2</v>
      </c>
      <c r="H99" s="1309">
        <v>4.3172000000000006</v>
      </c>
    </row>
    <row r="100" spans="2:8">
      <c r="B100" s="1306" t="s">
        <v>215</v>
      </c>
      <c r="C100" s="1309">
        <v>1.5981814947033395</v>
      </c>
      <c r="D100" s="1309">
        <v>0</v>
      </c>
      <c r="E100" s="1309">
        <v>0.77058149470333948</v>
      </c>
      <c r="F100" s="1309">
        <v>3.8529074735166993E-2</v>
      </c>
      <c r="G100" s="1309">
        <v>0.7320524199681725</v>
      </c>
      <c r="H100" s="1309">
        <v>0.8276</v>
      </c>
    </row>
    <row r="101" spans="2:8">
      <c r="B101" s="1306" t="s">
        <v>216</v>
      </c>
      <c r="C101" s="1309">
        <v>0.23180205782475727</v>
      </c>
      <c r="D101" s="1309">
        <v>0</v>
      </c>
      <c r="E101" s="1309">
        <v>0.13120205782475727</v>
      </c>
      <c r="F101" s="1309">
        <v>6.5601028912378716E-3</v>
      </c>
      <c r="G101" s="1309">
        <v>0.12464195493351941</v>
      </c>
      <c r="H101" s="1309">
        <v>0.10059999999999999</v>
      </c>
    </row>
    <row r="102" spans="2:8">
      <c r="B102" s="1306" t="s">
        <v>217</v>
      </c>
      <c r="C102" s="1309">
        <v>0.25002321109727055</v>
      </c>
      <c r="D102" s="1309">
        <v>0</v>
      </c>
      <c r="E102" s="1309">
        <v>0.16042321109727056</v>
      </c>
      <c r="F102" s="1309">
        <v>8.0211605548635469E-3</v>
      </c>
      <c r="G102" s="1309">
        <v>0.15240205054240702</v>
      </c>
      <c r="H102" s="1309">
        <v>8.9599999999999999E-2</v>
      </c>
    </row>
    <row r="103" spans="2:8">
      <c r="B103" s="1306" t="s">
        <v>218</v>
      </c>
      <c r="C103" s="1309">
        <v>4.9279937259751883E-2</v>
      </c>
      <c r="D103" s="1309">
        <v>0</v>
      </c>
      <c r="E103" s="1309">
        <v>3.8079937259751881E-2</v>
      </c>
      <c r="F103" s="1309">
        <v>3.4271943533776689E-2</v>
      </c>
      <c r="G103" s="1309">
        <v>3.8079937259751884E-3</v>
      </c>
      <c r="H103" s="1309">
        <v>1.12E-2</v>
      </c>
    </row>
    <row r="104" spans="2:8">
      <c r="B104" s="1306" t="s">
        <v>219</v>
      </c>
      <c r="C104" s="1309">
        <v>3.5303484465494514E-2</v>
      </c>
      <c r="D104" s="1309">
        <v>0</v>
      </c>
      <c r="E104" s="1309">
        <v>2.850348446549452E-2</v>
      </c>
      <c r="F104" s="1309">
        <v>2.850348446549452E-2</v>
      </c>
      <c r="G104" s="1309">
        <v>0</v>
      </c>
      <c r="H104" s="1309">
        <v>6.7999999999999996E-3</v>
      </c>
    </row>
    <row r="105" spans="2:8">
      <c r="B105" s="1306" t="s">
        <v>430</v>
      </c>
      <c r="C105" s="1309">
        <v>3.0955254707281117E-2</v>
      </c>
      <c r="D105" s="1309">
        <v>0</v>
      </c>
      <c r="E105" s="1309">
        <v>2.9755254707281117E-2</v>
      </c>
      <c r="F105" s="1309">
        <v>2.9755254707281117E-2</v>
      </c>
      <c r="G105" s="1309">
        <v>0</v>
      </c>
      <c r="H105" s="1309">
        <v>1.2000000000000001E-3</v>
      </c>
    </row>
    <row r="106" spans="2:8">
      <c r="B106" s="1306" t="s">
        <v>225</v>
      </c>
      <c r="C106" s="1309">
        <v>0.28128905364442403</v>
      </c>
      <c r="D106" s="1309">
        <v>0.28128905364442403</v>
      </c>
      <c r="E106" s="1309">
        <v>1.289053644424078E-3</v>
      </c>
      <c r="F106" s="1309">
        <v>1.289053644424078E-3</v>
      </c>
      <c r="G106" s="1309">
        <v>0</v>
      </c>
      <c r="H106" s="1309">
        <v>0.27999999999999997</v>
      </c>
    </row>
    <row r="107" spans="2:8">
      <c r="B107" s="1306" t="s">
        <v>119</v>
      </c>
      <c r="C107" s="1309">
        <v>0</v>
      </c>
      <c r="D107" s="1309">
        <v>0</v>
      </c>
      <c r="E107" s="1309">
        <v>0</v>
      </c>
      <c r="F107" s="1309">
        <v>0</v>
      </c>
      <c r="G107" s="1309">
        <v>0</v>
      </c>
      <c r="H107" s="1309">
        <v>0</v>
      </c>
    </row>
    <row r="108" spans="2:8">
      <c r="B108" s="1306" t="s">
        <v>223</v>
      </c>
      <c r="C108" s="1309">
        <v>0</v>
      </c>
      <c r="D108" s="1309">
        <v>0</v>
      </c>
      <c r="E108" s="1309">
        <v>0</v>
      </c>
      <c r="F108" s="1309">
        <v>0</v>
      </c>
      <c r="G108" s="1309">
        <v>0</v>
      </c>
      <c r="H108" s="1309">
        <v>0</v>
      </c>
    </row>
    <row r="109" spans="2:8">
      <c r="B109" s="1306" t="s">
        <v>224</v>
      </c>
      <c r="C109" s="1309">
        <v>0</v>
      </c>
      <c r="D109" s="1309">
        <v>0</v>
      </c>
      <c r="E109" s="1309">
        <v>0</v>
      </c>
      <c r="F109" s="1309">
        <v>0</v>
      </c>
      <c r="G109" s="1309">
        <v>0</v>
      </c>
      <c r="H109" s="1309">
        <v>0</v>
      </c>
    </row>
    <row r="110" spans="2:8">
      <c r="B110" s="1306" t="s">
        <v>226</v>
      </c>
      <c r="C110" s="1309">
        <v>0</v>
      </c>
      <c r="D110" s="1309">
        <v>0</v>
      </c>
      <c r="E110" s="1309">
        <v>0</v>
      </c>
      <c r="F110" s="1309">
        <v>0</v>
      </c>
      <c r="G110" s="1309">
        <v>0</v>
      </c>
      <c r="H110" s="1309">
        <v>0</v>
      </c>
    </row>
    <row r="111" spans="2:8">
      <c r="B111" s="1335" t="s">
        <v>408</v>
      </c>
      <c r="C111" s="1339"/>
      <c r="D111" s="1339"/>
      <c r="E111" s="1339"/>
      <c r="F111" s="1339"/>
      <c r="G111" s="1339"/>
      <c r="H111" s="1339"/>
    </row>
    <row r="112" spans="2:8">
      <c r="B112" s="1306" t="s">
        <v>207</v>
      </c>
      <c r="C112" s="1309">
        <v>0.23190558710471471</v>
      </c>
      <c r="D112" s="1309">
        <v>0.23190558710471471</v>
      </c>
      <c r="E112" s="1309">
        <v>0.22190558710471472</v>
      </c>
      <c r="F112" s="1309">
        <v>0.22076948167413074</v>
      </c>
      <c r="G112" s="1309">
        <v>1.1361054305839583E-3</v>
      </c>
      <c r="H112" s="1309">
        <v>0.01</v>
      </c>
    </row>
    <row r="113" spans="2:13">
      <c r="B113" s="1306" t="s">
        <v>200</v>
      </c>
      <c r="C113" s="279">
        <v>103.52927995746195</v>
      </c>
      <c r="D113" s="279">
        <v>0.51319464074913879</v>
      </c>
      <c r="E113" s="279">
        <v>3.5292799574619198</v>
      </c>
      <c r="F113" s="279">
        <v>2.4244227258253535</v>
      </c>
      <c r="G113" s="279">
        <v>1.1048572316365661</v>
      </c>
      <c r="H113" s="279">
        <v>100</v>
      </c>
    </row>
    <row r="114" spans="2:13">
      <c r="B114" s="1306"/>
      <c r="C114" s="1278"/>
      <c r="D114" s="1340"/>
      <c r="E114" s="1341"/>
      <c r="F114" s="1278"/>
      <c r="G114" s="1278"/>
      <c r="H114" s="1278"/>
    </row>
    <row r="115" spans="2:13" ht="20.25" customHeight="1">
      <c r="B115" s="1332" t="s">
        <v>491</v>
      </c>
      <c r="C115" s="1333" t="s">
        <v>431</v>
      </c>
      <c r="D115" s="1333" t="s">
        <v>107</v>
      </c>
      <c r="E115" s="1333" t="s">
        <v>369</v>
      </c>
      <c r="F115" s="1333" t="s">
        <v>1407</v>
      </c>
      <c r="G115" s="1334" t="s">
        <v>51</v>
      </c>
      <c r="H115" s="1333" t="s">
        <v>333</v>
      </c>
    </row>
    <row r="116" spans="2:13">
      <c r="B116" s="1278"/>
      <c r="C116" s="1278" t="s">
        <v>396</v>
      </c>
      <c r="D116" s="1278" t="s">
        <v>396</v>
      </c>
      <c r="E116" s="1278" t="s">
        <v>396</v>
      </c>
      <c r="F116" s="1278" t="s">
        <v>396</v>
      </c>
      <c r="G116" s="1278" t="s">
        <v>396</v>
      </c>
      <c r="H116" s="1278" t="s">
        <v>396</v>
      </c>
      <c r="I116" s="183" t="s">
        <v>1606</v>
      </c>
      <c r="L116" s="256">
        <f>'PSE LNG Operations'!AG39/Input!D28</f>
        <v>918.98303547128739</v>
      </c>
      <c r="M116" s="183" t="s">
        <v>396</v>
      </c>
    </row>
    <row r="117" spans="2:13">
      <c r="B117" s="1306" t="s">
        <v>208</v>
      </c>
      <c r="C117" s="1310">
        <v>1516.5153727105512</v>
      </c>
      <c r="D117" s="1310">
        <v>0</v>
      </c>
      <c r="E117" s="1310">
        <v>2.8973714305511749</v>
      </c>
      <c r="F117" s="1310">
        <v>1.9473714305511749</v>
      </c>
      <c r="G117" s="1310">
        <v>0.95</v>
      </c>
      <c r="H117" s="1310">
        <v>1513.61800128</v>
      </c>
      <c r="I117" s="1564">
        <f t="shared" ref="I117:I132" si="12">1-H117/C117</f>
        <v>1.9105453744082679E-3</v>
      </c>
      <c r="J117" s="1565">
        <f>H117+F117+G117</f>
        <v>1516.5153727105512</v>
      </c>
      <c r="K117" s="1566">
        <f>J117/C117</f>
        <v>1</v>
      </c>
    </row>
    <row r="118" spans="2:13">
      <c r="B118" s="1306" t="s">
        <v>214</v>
      </c>
      <c r="C118" s="1310">
        <v>188.94726286584236</v>
      </c>
      <c r="D118" s="1310">
        <v>0</v>
      </c>
      <c r="E118" s="1310">
        <v>59.140283585842354</v>
      </c>
      <c r="F118" s="1310">
        <v>58.190283585842351</v>
      </c>
      <c r="G118" s="1310">
        <v>0.95</v>
      </c>
      <c r="H118" s="1310">
        <v>129.80697928000001</v>
      </c>
      <c r="I118" s="1564">
        <f t="shared" si="12"/>
        <v>0.3129988902132631</v>
      </c>
      <c r="J118" s="1565">
        <f t="shared" ref="J118:J132" si="13">H118+F118+G118</f>
        <v>188.94726286584233</v>
      </c>
      <c r="K118" s="1566">
        <f t="shared" ref="K118:K132" si="14">J118/C118</f>
        <v>0.99999999999999989</v>
      </c>
    </row>
    <row r="119" spans="2:13">
      <c r="B119" s="1306"/>
      <c r="C119" s="1310">
        <v>0</v>
      </c>
      <c r="D119" s="1310">
        <v>0</v>
      </c>
      <c r="E119" s="1310">
        <v>0</v>
      </c>
      <c r="F119" s="1310">
        <v>0</v>
      </c>
      <c r="G119" s="1310">
        <v>0</v>
      </c>
      <c r="H119" s="1310"/>
      <c r="I119" s="1564"/>
      <c r="J119" s="1565">
        <f t="shared" si="13"/>
        <v>0</v>
      </c>
      <c r="K119" s="1566"/>
    </row>
    <row r="120" spans="2:13">
      <c r="B120" s="1306" t="s">
        <v>215</v>
      </c>
      <c r="C120" s="1310">
        <v>70.468936282253296</v>
      </c>
      <c r="D120" s="1310">
        <v>0</v>
      </c>
      <c r="E120" s="1310">
        <v>33.977403962253291</v>
      </c>
      <c r="F120" s="1310">
        <v>1.6988701981126653</v>
      </c>
      <c r="G120" s="1310">
        <v>32.278533764140626</v>
      </c>
      <c r="H120" s="1310">
        <v>36.491532320000005</v>
      </c>
      <c r="I120" s="1564">
        <f t="shared" si="12"/>
        <v>0.48216144240011849</v>
      </c>
      <c r="J120" s="1565">
        <f t="shared" si="13"/>
        <v>70.468936282253296</v>
      </c>
      <c r="K120" s="1566">
        <f t="shared" si="14"/>
        <v>1</v>
      </c>
    </row>
    <row r="121" spans="2:13">
      <c r="B121" s="1306" t="s">
        <v>216</v>
      </c>
      <c r="C121" s="1310">
        <v>13.472103798717068</v>
      </c>
      <c r="D121" s="1310">
        <v>0</v>
      </c>
      <c r="E121" s="1310">
        <v>7.6253323987170685</v>
      </c>
      <c r="F121" s="1310">
        <v>0.38126661993585387</v>
      </c>
      <c r="G121" s="1310">
        <v>7.2440657787812146</v>
      </c>
      <c r="H121" s="1310">
        <v>5.8467713999999997</v>
      </c>
      <c r="I121" s="1564">
        <f t="shared" si="12"/>
        <v>0.56600902966938382</v>
      </c>
      <c r="J121" s="1565">
        <f t="shared" si="13"/>
        <v>13.472103798717068</v>
      </c>
      <c r="K121" s="1566">
        <f t="shared" si="14"/>
        <v>1</v>
      </c>
    </row>
    <row r="122" spans="2:13">
      <c r="B122" s="1306" t="s">
        <v>217</v>
      </c>
      <c r="C122" s="1310">
        <v>14.531099005762266</v>
      </c>
      <c r="D122" s="1310">
        <v>0</v>
      </c>
      <c r="E122" s="1310">
        <v>9.3236366057622675</v>
      </c>
      <c r="F122" s="1310">
        <v>0.46618183028811444</v>
      </c>
      <c r="G122" s="1310">
        <v>8.8574547754741531</v>
      </c>
      <c r="H122" s="1310">
        <v>5.2074623999999998</v>
      </c>
      <c r="I122" s="1564">
        <f t="shared" si="12"/>
        <v>0.64163327233989698</v>
      </c>
      <c r="J122" s="1565">
        <f t="shared" si="13"/>
        <v>14.531099005762268</v>
      </c>
      <c r="K122" s="1566">
        <f t="shared" si="14"/>
        <v>1.0000000000000002</v>
      </c>
    </row>
    <row r="123" spans="2:13">
      <c r="B123" s="1306" t="s">
        <v>218</v>
      </c>
      <c r="C123" s="1310">
        <v>3.5552912176173477</v>
      </c>
      <c r="D123" s="1310">
        <v>0</v>
      </c>
      <c r="E123" s="1310">
        <v>2.7472694576173478</v>
      </c>
      <c r="F123" s="1310">
        <v>2.4725425118556128</v>
      </c>
      <c r="G123" s="1310">
        <v>0.27472694576173479</v>
      </c>
      <c r="H123" s="1310">
        <v>0.80802176000000003</v>
      </c>
      <c r="I123" s="1564">
        <f t="shared" si="12"/>
        <v>0.77272698337732437</v>
      </c>
      <c r="J123" s="1565">
        <f t="shared" si="13"/>
        <v>3.5552912176173477</v>
      </c>
      <c r="K123" s="1566">
        <f t="shared" si="14"/>
        <v>1</v>
      </c>
    </row>
    <row r="124" spans="2:13">
      <c r="B124" s="1306" t="s">
        <v>219</v>
      </c>
      <c r="C124" s="1310">
        <v>2.5469628260662089</v>
      </c>
      <c r="D124" s="1310">
        <v>0</v>
      </c>
      <c r="E124" s="1310">
        <v>2.0563781860662091</v>
      </c>
      <c r="F124" s="1310">
        <v>2.0563781860662091</v>
      </c>
      <c r="G124" s="1310">
        <v>0</v>
      </c>
      <c r="H124" s="1310">
        <v>0.49058464000000002</v>
      </c>
      <c r="I124" s="1564">
        <f t="shared" si="12"/>
        <v>0.8073844521878204</v>
      </c>
      <c r="J124" s="1565">
        <f t="shared" si="13"/>
        <v>2.5469628260662089</v>
      </c>
      <c r="K124" s="1566">
        <f t="shared" si="14"/>
        <v>1</v>
      </c>
    </row>
    <row r="125" spans="2:13">
      <c r="B125" s="1306" t="s">
        <v>430</v>
      </c>
      <c r="C125" s="1310">
        <v>2.6050332688403008</v>
      </c>
      <c r="D125" s="1310">
        <v>0</v>
      </c>
      <c r="E125" s="1310">
        <v>2.5040475088403009</v>
      </c>
      <c r="F125" s="1310">
        <v>2.5040475088403009</v>
      </c>
      <c r="G125" s="1310">
        <v>0</v>
      </c>
      <c r="H125" s="1310">
        <v>0.10098576000000001</v>
      </c>
      <c r="I125" s="1564">
        <f t="shared" si="12"/>
        <v>0.96123436840215226</v>
      </c>
      <c r="J125" s="1565">
        <f t="shared" si="13"/>
        <v>2.6050332688403008</v>
      </c>
      <c r="K125" s="1566">
        <f t="shared" si="14"/>
        <v>1</v>
      </c>
    </row>
    <row r="126" spans="2:13">
      <c r="B126" s="1306" t="s">
        <v>225</v>
      </c>
      <c r="C126" s="1310">
        <v>7.8760935020438732</v>
      </c>
      <c r="D126" s="1310">
        <v>7.8760935020438732</v>
      </c>
      <c r="E126" s="1310">
        <v>3.6093502043874182E-2</v>
      </c>
      <c r="F126" s="1310">
        <v>3.6093502043874182E-2</v>
      </c>
      <c r="G126" s="1310">
        <v>0</v>
      </c>
      <c r="H126" s="1310">
        <v>7.839999999999999</v>
      </c>
      <c r="I126" s="1564">
        <f t="shared" si="12"/>
        <v>4.5826655098124558E-3</v>
      </c>
      <c r="J126" s="1565">
        <f t="shared" si="13"/>
        <v>7.8760935020438732</v>
      </c>
      <c r="K126" s="1566">
        <f t="shared" si="14"/>
        <v>1</v>
      </c>
    </row>
    <row r="127" spans="2:13">
      <c r="B127" s="1306" t="s">
        <v>119</v>
      </c>
      <c r="C127" s="1310">
        <v>0</v>
      </c>
      <c r="D127" s="1310">
        <v>0</v>
      </c>
      <c r="E127" s="1310">
        <v>0</v>
      </c>
      <c r="F127" s="1310">
        <v>0</v>
      </c>
      <c r="G127" s="1310">
        <v>0</v>
      </c>
      <c r="H127" s="1310">
        <v>0</v>
      </c>
      <c r="I127" s="1564"/>
      <c r="J127" s="1565"/>
      <c r="K127" s="1566"/>
    </row>
    <row r="128" spans="2:13">
      <c r="B128" s="1306" t="s">
        <v>223</v>
      </c>
      <c r="C128" s="1310">
        <v>0</v>
      </c>
      <c r="D128" s="1310">
        <v>0</v>
      </c>
      <c r="E128" s="1310">
        <v>0</v>
      </c>
      <c r="F128" s="1310">
        <v>0</v>
      </c>
      <c r="G128" s="1310">
        <v>0</v>
      </c>
      <c r="H128" s="1310">
        <v>0</v>
      </c>
      <c r="I128" s="1564"/>
      <c r="J128" s="1565"/>
      <c r="K128" s="1566"/>
    </row>
    <row r="129" spans="2:28">
      <c r="B129" s="1306" t="s">
        <v>224</v>
      </c>
      <c r="C129" s="1310">
        <v>0</v>
      </c>
      <c r="D129" s="1310">
        <v>0</v>
      </c>
      <c r="E129" s="1310">
        <v>0</v>
      </c>
      <c r="F129" s="1310">
        <v>0</v>
      </c>
      <c r="G129" s="1310">
        <v>0</v>
      </c>
      <c r="H129" s="1310">
        <v>0</v>
      </c>
      <c r="I129" s="1564"/>
      <c r="J129" s="1565"/>
      <c r="K129" s="1566"/>
    </row>
    <row r="130" spans="2:28">
      <c r="B130" s="1306" t="s">
        <v>226</v>
      </c>
      <c r="C130" s="1310">
        <v>0</v>
      </c>
      <c r="D130" s="1310">
        <v>0</v>
      </c>
      <c r="E130" s="1310">
        <v>0</v>
      </c>
      <c r="F130" s="1310">
        <v>0</v>
      </c>
      <c r="G130" s="1310">
        <v>0</v>
      </c>
      <c r="H130" s="1310">
        <v>0</v>
      </c>
      <c r="I130" s="1564"/>
      <c r="J130" s="1565"/>
      <c r="K130" s="1566"/>
    </row>
    <row r="131" spans="2:28">
      <c r="B131" s="1306" t="s">
        <v>408</v>
      </c>
      <c r="C131" s="1310">
        <v>0</v>
      </c>
      <c r="D131" s="1310">
        <v>0</v>
      </c>
      <c r="E131" s="1310">
        <v>0</v>
      </c>
      <c r="F131" s="1310">
        <v>0</v>
      </c>
      <c r="G131" s="1310">
        <v>0</v>
      </c>
      <c r="H131" s="1310">
        <v>0</v>
      </c>
      <c r="I131" s="1564"/>
      <c r="J131" s="1565"/>
      <c r="K131" s="1566"/>
    </row>
    <row r="132" spans="2:28">
      <c r="B132" s="1306" t="s">
        <v>207</v>
      </c>
      <c r="C132" s="1310">
        <v>10.206164888478494</v>
      </c>
      <c r="D132" s="1310">
        <v>10.206164888478494</v>
      </c>
      <c r="E132" s="1310">
        <v>9.7660648884784944</v>
      </c>
      <c r="F132" s="1310">
        <v>9.7160648884784937</v>
      </c>
      <c r="G132" s="1310">
        <v>0.05</v>
      </c>
      <c r="H132" s="1310">
        <v>0.44009999999999999</v>
      </c>
      <c r="I132" s="1564">
        <f t="shared" si="12"/>
        <v>0.95687900354257271</v>
      </c>
      <c r="J132" s="1565">
        <f t="shared" si="13"/>
        <v>10.206164888478494</v>
      </c>
      <c r="K132" s="1566">
        <f t="shared" si="14"/>
        <v>1</v>
      </c>
    </row>
    <row r="133" spans="2:28">
      <c r="B133" s="1306" t="s">
        <v>200</v>
      </c>
      <c r="C133" s="279">
        <v>1830.7243203661722</v>
      </c>
      <c r="D133" s="279">
        <v>18.082258390522366</v>
      </c>
      <c r="E133" s="279">
        <v>130.07388152617239</v>
      </c>
      <c r="F133" s="279">
        <v>79.469100262014649</v>
      </c>
      <c r="G133" s="279">
        <v>50.604781264157722</v>
      </c>
      <c r="H133" s="279">
        <v>1700.6504388399999</v>
      </c>
      <c r="J133" s="1565">
        <f t="shared" ref="J133" si="15">H133+F133+G133</f>
        <v>1830.7243203661724</v>
      </c>
      <c r="K133" s="1566">
        <f t="shared" ref="K133" si="16">J133/C133</f>
        <v>1.0000000000000002</v>
      </c>
    </row>
    <row r="134" spans="2:28">
      <c r="B134" s="1278" t="s">
        <v>492</v>
      </c>
      <c r="C134" s="1311">
        <f>C133/$H$133</f>
        <v>1.0764847840305705</v>
      </c>
      <c r="D134" s="1311">
        <f t="shared" ref="D134:H134" si="17">D133/$H$133</f>
        <v>1.0632554449494118E-2</v>
      </c>
      <c r="E134" s="1311">
        <f t="shared" si="17"/>
        <v>7.6484784030570532E-2</v>
      </c>
      <c r="F134" s="1311">
        <f t="shared" si="17"/>
        <v>4.6728650666282658E-2</v>
      </c>
      <c r="G134" s="1311">
        <f>G133/$H$133</f>
        <v>2.9756133364287868E-2</v>
      </c>
      <c r="H134" s="1473">
        <f t="shared" si="17"/>
        <v>1</v>
      </c>
      <c r="I134" s="1474">
        <f>C134-E134</f>
        <v>0.99999999999999989</v>
      </c>
    </row>
    <row r="135" spans="2:28">
      <c r="C135" s="261">
        <f>C134*$G$135</f>
        <v>9348.1594757277162</v>
      </c>
      <c r="D135" s="261">
        <f t="shared" ref="D135:F135" si="18">D134*$G$135</f>
        <v>92.332763177641596</v>
      </c>
      <c r="E135" s="261">
        <f t="shared" si="18"/>
        <v>664.19142118042339</v>
      </c>
      <c r="F135" s="261">
        <f t="shared" si="18"/>
        <v>405.79010961809865</v>
      </c>
      <c r="G135" s="261">
        <f>G134*('PSE LNG Operations'!AU51+'PSE LNG Operations'!AP51)</f>
        <v>8683.9680545472929</v>
      </c>
    </row>
    <row r="136" spans="2:28">
      <c r="C136" s="261"/>
      <c r="D136" s="261"/>
      <c r="E136" s="261"/>
      <c r="F136" s="261"/>
      <c r="G136" s="261"/>
    </row>
    <row r="137" spans="2:28" ht="15.75">
      <c r="B137" s="255" t="s">
        <v>1186</v>
      </c>
      <c r="I137" s="1217" t="s">
        <v>1469</v>
      </c>
      <c r="J137" s="1217"/>
      <c r="K137" s="1217"/>
      <c r="L137" s="1217"/>
      <c r="M137" s="1217"/>
      <c r="N137" s="1217"/>
      <c r="O137" s="1217"/>
      <c r="P137" s="1217"/>
      <c r="Q137" s="1217"/>
    </row>
    <row r="138" spans="2:28">
      <c r="B138" s="236" t="s">
        <v>1290</v>
      </c>
      <c r="C138" s="236"/>
      <c r="D138" s="1845" t="s">
        <v>269</v>
      </c>
      <c r="E138" s="1845"/>
      <c r="F138" s="1845"/>
      <c r="G138" s="1845"/>
      <c r="I138" s="183" t="s">
        <v>1429</v>
      </c>
      <c r="L138" s="183" t="s">
        <v>1631</v>
      </c>
      <c r="O138" s="183" t="s">
        <v>1470</v>
      </c>
      <c r="S138" s="1359" t="s">
        <v>1576</v>
      </c>
      <c r="T138" s="1359"/>
      <c r="U138" s="1359"/>
      <c r="V138" s="1568" t="s">
        <v>1629</v>
      </c>
      <c r="W138" s="1568"/>
      <c r="X138" s="1568"/>
      <c r="Z138" s="183" t="s">
        <v>1630</v>
      </c>
      <c r="AB138" s="1204"/>
    </row>
    <row r="139" spans="2:28" ht="18.75" thickBot="1">
      <c r="B139" s="182" t="s">
        <v>263</v>
      </c>
      <c r="C139" s="182"/>
      <c r="D139" s="216" t="s">
        <v>265</v>
      </c>
      <c r="E139" s="216" t="s">
        <v>266</v>
      </c>
      <c r="F139" s="216" t="s">
        <v>267</v>
      </c>
      <c r="G139" s="1434" t="s">
        <v>1471</v>
      </c>
      <c r="I139" s="183" t="s">
        <v>107</v>
      </c>
      <c r="J139" s="183" t="s">
        <v>110</v>
      </c>
      <c r="K139" s="183" t="s">
        <v>113</v>
      </c>
      <c r="L139" s="193" t="s">
        <v>107</v>
      </c>
      <c r="M139" s="193" t="s">
        <v>110</v>
      </c>
      <c r="N139" s="193" t="s">
        <v>113</v>
      </c>
      <c r="O139" s="183" t="s">
        <v>107</v>
      </c>
      <c r="P139" s="183" t="s">
        <v>110</v>
      </c>
      <c r="Q139" s="183" t="s">
        <v>113</v>
      </c>
      <c r="S139" s="183" t="s">
        <v>107</v>
      </c>
      <c r="T139" s="183" t="s">
        <v>110</v>
      </c>
      <c r="U139" s="183" t="s">
        <v>113</v>
      </c>
      <c r="Z139" s="183" t="s">
        <v>107</v>
      </c>
      <c r="AA139" s="183" t="s">
        <v>110</v>
      </c>
      <c r="AB139" s="183" t="s">
        <v>113</v>
      </c>
    </row>
    <row r="140" spans="2:28" ht="15.75" thickTop="1">
      <c r="B140" s="190" t="s">
        <v>194</v>
      </c>
      <c r="C140" s="190"/>
      <c r="D140" s="1433">
        <f>IF($H$25="GHGenius",I140,IF($H$25="GREET",L140,O140))</f>
        <v>2303.1580360682897</v>
      </c>
      <c r="E140" s="1363">
        <f t="shared" ref="E140:F145" si="19">IF($H$25="GHGenius",J140,IF($H$25="GREET",M140,P140))</f>
        <v>25.050801902973863</v>
      </c>
      <c r="F140" s="1363">
        <f t="shared" si="19"/>
        <v>0.11013494923321088</v>
      </c>
      <c r="G140" s="230">
        <f t="shared" ref="G140:G146" si="20">D140+E140*CH4_GWP+F140*N2O_GWP</f>
        <v>2962.2482985141328</v>
      </c>
      <c r="I140" s="1543">
        <f>Upstream!AL7</f>
        <v>2303.1580360682897</v>
      </c>
      <c r="J140" s="1543">
        <f>Upstream!AM7</f>
        <v>25.050801902973863</v>
      </c>
      <c r="K140" s="1543">
        <f>Upstream!AN7</f>
        <v>0.11013494923321088</v>
      </c>
      <c r="L140" s="1728">
        <f>2126.91530769242+26.95</f>
        <v>2153.8653076924197</v>
      </c>
      <c r="M140" s="1723">
        <v>8.0407947841249925</v>
      </c>
      <c r="N140" s="1724">
        <v>1.8744431266601504E-2</v>
      </c>
      <c r="O140" s="1362">
        <f>D161</f>
        <v>6030</v>
      </c>
      <c r="P140" s="1362">
        <f t="shared" ref="P140:Q140" si="21">E161</f>
        <v>45.5</v>
      </c>
      <c r="Q140" s="1362">
        <f t="shared" si="21"/>
        <v>0.16</v>
      </c>
      <c r="R140" s="183" t="s">
        <v>194</v>
      </c>
      <c r="S140" s="183">
        <v>2079.6009355018418</v>
      </c>
      <c r="T140" s="183">
        <v>22.619234223904169</v>
      </c>
      <c r="U140" s="183">
        <v>9.9444649420506445E-2</v>
      </c>
      <c r="V140" s="1543">
        <v>2355.5587032693575</v>
      </c>
      <c r="W140" s="1543">
        <v>8.9051802234184283</v>
      </c>
      <c r="X140" s="1543">
        <v>2.0759457627761164E-2</v>
      </c>
      <c r="Z140" s="1557">
        <v>2126.9153076924222</v>
      </c>
      <c r="AA140" s="1556">
        <v>8.0407947841249925</v>
      </c>
      <c r="AB140" s="1555">
        <v>1.8744431266601504E-2</v>
      </c>
    </row>
    <row r="141" spans="2:28">
      <c r="B141" s="190" t="s">
        <v>259</v>
      </c>
      <c r="C141" s="190"/>
      <c r="D141" s="1364">
        <f t="shared" ref="D141:D145" si="22">IF($H$25="GHGenius",I141,IF($H$25="GREET",L141,O141))</f>
        <v>2.685766830516056</v>
      </c>
      <c r="E141" s="1364">
        <f t="shared" si="19"/>
        <v>115.52779964717749</v>
      </c>
      <c r="F141" s="1364">
        <f t="shared" si="19"/>
        <v>0</v>
      </c>
      <c r="G141" s="230">
        <f t="shared" si="20"/>
        <v>2890.8807580099533</v>
      </c>
      <c r="I141" s="1543">
        <f>Upstream!AL8</f>
        <v>2.685766830516056</v>
      </c>
      <c r="J141" s="1543">
        <f>Upstream!AM8</f>
        <v>115.52779964717749</v>
      </c>
      <c r="K141" s="1543">
        <f>Upstream!AN8</f>
        <v>0</v>
      </c>
      <c r="L141" s="1722"/>
      <c r="M141" s="1726">
        <f>'CH4'!H11+5.69</f>
        <v>137.86569944928183</v>
      </c>
      <c r="N141" s="1724"/>
      <c r="O141" s="1362">
        <f>D162</f>
        <v>824</v>
      </c>
      <c r="P141" s="1362">
        <f t="shared" ref="P141:Q141" si="23">E162</f>
        <v>5.9</v>
      </c>
      <c r="Q141" s="1362">
        <f t="shared" si="23"/>
        <v>0.02</v>
      </c>
      <c r="R141" s="183" t="s">
        <v>1301</v>
      </c>
      <c r="S141" s="183">
        <v>996.5901906858669</v>
      </c>
      <c r="T141" s="183">
        <v>104.31404031347856</v>
      </c>
      <c r="U141" s="183">
        <v>0</v>
      </c>
      <c r="V141" s="1359"/>
      <c r="W141" s="1543">
        <v>135.74397149866587</v>
      </c>
      <c r="X141" s="1359"/>
      <c r="Z141" s="1557"/>
      <c r="AA141" s="1556">
        <v>122.56792008908884</v>
      </c>
      <c r="AB141" s="1555"/>
    </row>
    <row r="142" spans="2:28">
      <c r="B142" s="190" t="s">
        <v>260</v>
      </c>
      <c r="C142" s="190"/>
      <c r="D142" s="309">
        <f t="shared" si="22"/>
        <v>2325.4594949273533</v>
      </c>
      <c r="E142" s="1364">
        <f t="shared" si="19"/>
        <v>10.345581306233795</v>
      </c>
      <c r="F142" s="1364">
        <f t="shared" si="19"/>
        <v>4.0117506452003904E-2</v>
      </c>
      <c r="G142" s="230">
        <f t="shared" si="20"/>
        <v>2596.0540445058955</v>
      </c>
      <c r="I142" s="1543">
        <f>Upstream!AL9</f>
        <v>2325.4594949273533</v>
      </c>
      <c r="J142" s="1543">
        <f>Upstream!AM9</f>
        <v>10.345581306233795</v>
      </c>
      <c r="K142" s="1543">
        <f>Upstream!AN9</f>
        <v>4.0117506452003904E-2</v>
      </c>
      <c r="L142" s="1722">
        <v>1665.9824138918912</v>
      </c>
      <c r="M142" s="1723">
        <f>'CH4'!H12</f>
        <v>5.9399143060668651</v>
      </c>
      <c r="N142" s="1724">
        <v>1.2831327572106149E-2</v>
      </c>
      <c r="O142" s="1361"/>
      <c r="P142" s="1361"/>
      <c r="Q142" s="1361"/>
      <c r="R142" s="183" t="s">
        <v>260</v>
      </c>
      <c r="S142" s="183">
        <v>2099.7376929366624</v>
      </c>
      <c r="T142" s="183">
        <v>9.3413826692855952</v>
      </c>
      <c r="U142" s="183">
        <v>3.6223482123705561E-2</v>
      </c>
      <c r="V142" s="1543">
        <v>1845.0755233852692</v>
      </c>
      <c r="W142" s="1543">
        <v>4.3718533343453005</v>
      </c>
      <c r="X142" s="1543">
        <v>1.4210695286107558E-2</v>
      </c>
      <c r="Z142" s="1557">
        <v>1665.9824138918912</v>
      </c>
      <c r="AA142" s="1556">
        <v>3.9474973673546736</v>
      </c>
      <c r="AB142" s="1555">
        <v>1.2831327572106149E-2</v>
      </c>
    </row>
    <row r="143" spans="2:28">
      <c r="B143" s="190" t="s">
        <v>261</v>
      </c>
      <c r="C143" s="190"/>
      <c r="D143" s="309">
        <f t="shared" si="22"/>
        <v>1101.0378693540815</v>
      </c>
      <c r="E143" s="1364">
        <f t="shared" si="19"/>
        <v>0</v>
      </c>
      <c r="F143" s="1364">
        <f t="shared" si="19"/>
        <v>0</v>
      </c>
      <c r="G143" s="230">
        <f t="shared" si="20"/>
        <v>1101.0378693540815</v>
      </c>
      <c r="I143" s="1543">
        <f>Upstream!AL10</f>
        <v>1101.0378693540815</v>
      </c>
      <c r="J143" s="1543">
        <f>Upstream!AM10</f>
        <v>0</v>
      </c>
      <c r="K143" s="1543">
        <f>Upstream!AN10</f>
        <v>0</v>
      </c>
      <c r="L143" s="1722">
        <v>702.06399128487078</v>
      </c>
      <c r="M143" s="1723">
        <v>6.1677364385319997</v>
      </c>
      <c r="N143" s="1724"/>
      <c r="O143" s="1361"/>
      <c r="P143" s="1361"/>
      <c r="Q143" s="1361"/>
      <c r="R143" s="183" t="s">
        <v>1302</v>
      </c>
      <c r="S143" s="183">
        <v>1077.0204692702898</v>
      </c>
      <c r="T143" s="183">
        <v>2.0659082643901092</v>
      </c>
      <c r="U143" s="183">
        <v>8.5657157433626473E-3</v>
      </c>
      <c r="V143" s="1543">
        <v>777.53587034799432</v>
      </c>
      <c r="W143" s="1543">
        <v>6.8307681056741885</v>
      </c>
      <c r="X143" s="1543"/>
      <c r="Z143" s="1557">
        <v>702.06399128487078</v>
      </c>
      <c r="AA143" s="1556">
        <v>6.1677364385319997</v>
      </c>
      <c r="AB143" s="1555"/>
    </row>
    <row r="144" spans="2:28">
      <c r="B144" s="190" t="s">
        <v>270</v>
      </c>
      <c r="C144" s="190"/>
      <c r="D144" s="309">
        <f t="shared" si="22"/>
        <v>1192.8001697168459</v>
      </c>
      <c r="E144" s="1364">
        <f t="shared" si="19"/>
        <v>2.2879934028120457</v>
      </c>
      <c r="F144" s="1364">
        <f t="shared" si="19"/>
        <v>9.4865301857741304E-3</v>
      </c>
      <c r="G144" s="230">
        <f t="shared" si="20"/>
        <v>1252.8269907825077</v>
      </c>
      <c r="I144" s="1543">
        <f>Upstream!AL11</f>
        <v>1192.8001697168459</v>
      </c>
      <c r="J144" s="1543">
        <f>Upstream!AM11</f>
        <v>2.2879934028120457</v>
      </c>
      <c r="K144" s="1543">
        <f>Upstream!AN11</f>
        <v>9.4865301857741304E-3</v>
      </c>
      <c r="L144" s="1722">
        <v>1650.7440774381828</v>
      </c>
      <c r="M144" s="1723">
        <f>'CH4'!H13</f>
        <v>43.634639173754053</v>
      </c>
      <c r="N144" s="1726">
        <f>N147-N140-N142</f>
        <v>1.3849616039289054</v>
      </c>
      <c r="O144" s="1361"/>
      <c r="P144" s="1361"/>
      <c r="Q144" s="1361"/>
      <c r="R144" s="183" t="s">
        <v>200</v>
      </c>
      <c r="V144" s="1359">
        <v>377</v>
      </c>
      <c r="W144" s="1359">
        <v>13.68</v>
      </c>
      <c r="X144" s="1359">
        <v>0.29499999999999998</v>
      </c>
      <c r="Z144" s="1557">
        <v>1650.7440774381828</v>
      </c>
      <c r="AA144" s="1556">
        <v>17.698757768646068</v>
      </c>
      <c r="AB144" s="1555">
        <v>1.2536466414662726</v>
      </c>
    </row>
    <row r="145" spans="2:28">
      <c r="B145" s="231" t="s">
        <v>262</v>
      </c>
      <c r="C145" s="231"/>
      <c r="D145" s="1365">
        <f t="shared" si="22"/>
        <v>0</v>
      </c>
      <c r="E145" s="1365">
        <f t="shared" si="19"/>
        <v>0</v>
      </c>
      <c r="F145" s="1365">
        <f t="shared" si="19"/>
        <v>0</v>
      </c>
      <c r="G145" s="1134">
        <f t="shared" si="20"/>
        <v>0</v>
      </c>
      <c r="I145" s="1543">
        <f>Upstream!AL12</f>
        <v>0</v>
      </c>
      <c r="J145" s="1543">
        <f>Upstream!AM12</f>
        <v>0</v>
      </c>
      <c r="K145" s="1543">
        <f>Upstream!AN12</f>
        <v>0</v>
      </c>
      <c r="L145" s="1725"/>
      <c r="M145" s="1723">
        <f>'CH4'!H14</f>
        <v>19.403757523495987</v>
      </c>
      <c r="N145" s="1724"/>
      <c r="O145" s="1361"/>
      <c r="P145" s="1361"/>
      <c r="Q145" s="1361"/>
      <c r="S145" s="183">
        <v>6252.9492883946605</v>
      </c>
      <c r="T145" s="183">
        <v>138.34056547105845</v>
      </c>
      <c r="U145" s="183">
        <v>0.14423384728757466</v>
      </c>
      <c r="V145" s="1359"/>
      <c r="W145" s="1359">
        <v>19.190000000000001</v>
      </c>
      <c r="X145" s="1359"/>
      <c r="Z145" s="1360"/>
      <c r="AA145" s="1556">
        <v>40.361321855743789</v>
      </c>
      <c r="AB145" s="1555"/>
    </row>
    <row r="146" spans="2:28">
      <c r="B146" s="1249" t="s">
        <v>200</v>
      </c>
      <c r="C146" s="1249"/>
      <c r="D146" s="1250">
        <f>SUM(D140:D145)</f>
        <v>6925.1413368970861</v>
      </c>
      <c r="E146" s="1250">
        <f t="shared" ref="E146:F146" si="24">SUM(E140:E145)</f>
        <v>153.21217625919718</v>
      </c>
      <c r="F146" s="1735">
        <f t="shared" si="24"/>
        <v>0.15973898587098892</v>
      </c>
      <c r="G146" s="1250">
        <f t="shared" si="20"/>
        <v>10803.047961166569</v>
      </c>
      <c r="I146" s="256">
        <f>SUM(I140:I145)</f>
        <v>6925.1413368970861</v>
      </c>
      <c r="J146" s="256">
        <f t="shared" ref="J146:K146" si="25">SUM(J140:J145)</f>
        <v>153.21217625919718</v>
      </c>
      <c r="K146" s="256">
        <f t="shared" si="25"/>
        <v>0.15973898587098892</v>
      </c>
      <c r="L146" s="1734">
        <f>SUM(L140:L145)</f>
        <v>6172.6557903073644</v>
      </c>
      <c r="M146" s="191">
        <f>SUM(M140:M145)</f>
        <v>221.05254167525572</v>
      </c>
      <c r="N146" s="191">
        <f t="shared" ref="N146:Q146" si="26">SUM(N140:N145)</f>
        <v>1.416537362767613</v>
      </c>
      <c r="O146" s="1304">
        <f t="shared" si="26"/>
        <v>6854</v>
      </c>
      <c r="P146" s="1304">
        <f t="shared" si="26"/>
        <v>51.4</v>
      </c>
      <c r="Q146" s="1304">
        <f t="shared" si="26"/>
        <v>0.18</v>
      </c>
      <c r="V146" s="1304">
        <f t="shared" ref="V146:X146" si="27">SUM(V140:V145)</f>
        <v>5355.1700970026213</v>
      </c>
      <c r="W146" s="1304">
        <f t="shared" si="27"/>
        <v>188.7217731621038</v>
      </c>
      <c r="X146" s="1304">
        <f t="shared" si="27"/>
        <v>0.32997015291386872</v>
      </c>
      <c r="Y146" s="230">
        <f t="shared" ref="Y146" si="28">V146+W146*CH4_GWP+N2O_GWP</f>
        <v>10371.214426055216</v>
      </c>
      <c r="Z146" s="256">
        <f>SUM(Z140:Z145)</f>
        <v>6145.7057903073674</v>
      </c>
      <c r="AA146" s="256">
        <f>SUM(AA140:AA145)</f>
        <v>198.78402830349037</v>
      </c>
      <c r="AB146" s="256">
        <f>SUM(AB140:AB145)</f>
        <v>1.2852224003049801</v>
      </c>
    </row>
    <row r="147" spans="2:28">
      <c r="L147" s="192">
        <f>Upstream!AT25</f>
        <v>6172.6510220805494</v>
      </c>
      <c r="M147" s="191">
        <f>Upstream!AT22</f>
        <v>221.05458501618125</v>
      </c>
      <c r="N147" s="191">
        <f>Upstream!AT23</f>
        <v>1.416537362767613</v>
      </c>
    </row>
    <row r="148" spans="2:28" ht="15.75">
      <c r="B148" s="255" t="s">
        <v>1291</v>
      </c>
      <c r="N148" s="230">
        <f>L146+M146*CH4_GWP+N146*N2O_GWP</f>
        <v>12121.097466293506</v>
      </c>
      <c r="AB148" s="230">
        <f>Z146+AA146*CH4_GWP+AB146*N2O_GWP</f>
        <v>11498.302773185511</v>
      </c>
    </row>
    <row r="149" spans="2:28">
      <c r="B149" s="236" t="s">
        <v>1292</v>
      </c>
      <c r="C149" s="236"/>
      <c r="D149" s="1845" t="s">
        <v>1293</v>
      </c>
      <c r="E149" s="1845"/>
      <c r="F149" s="1845"/>
      <c r="L149" s="1727"/>
      <c r="M149" s="1304"/>
    </row>
    <row r="150" spans="2:28" ht="15.75" thickBot="1">
      <c r="B150" s="182"/>
      <c r="C150" s="182"/>
      <c r="D150" s="216" t="s">
        <v>107</v>
      </c>
      <c r="E150" s="216" t="s">
        <v>110</v>
      </c>
      <c r="F150" s="216" t="s">
        <v>113</v>
      </c>
    </row>
    <row r="151" spans="2:28" ht="15.75" thickTop="1">
      <c r="B151" s="183" t="s">
        <v>194</v>
      </c>
      <c r="D151" s="322">
        <f>D140</f>
        <v>2303.1580360682897</v>
      </c>
      <c r="E151" s="322">
        <f t="shared" ref="E151:F151" si="29">E140</f>
        <v>25.050801902973863</v>
      </c>
      <c r="F151" s="322">
        <f t="shared" si="29"/>
        <v>0.11013494923321088</v>
      </c>
      <c r="G151" s="256">
        <f t="shared" ref="G151:G162" si="30">D151+E151*CH4_GWP+N2O_GWP</f>
        <v>3227.428083642636</v>
      </c>
    </row>
    <row r="152" spans="2:28">
      <c r="B152" s="183" t="s">
        <v>1301</v>
      </c>
      <c r="D152" s="1346">
        <f t="shared" ref="D152:F152" si="31">D141</f>
        <v>2.685766830516056</v>
      </c>
      <c r="E152" s="322">
        <f t="shared" si="31"/>
        <v>115.52779964717749</v>
      </c>
      <c r="F152" s="322">
        <f t="shared" si="31"/>
        <v>0</v>
      </c>
      <c r="G152" s="256">
        <f t="shared" si="30"/>
        <v>3188.8807580099533</v>
      </c>
    </row>
    <row r="153" spans="2:28">
      <c r="D153" s="322"/>
      <c r="E153" s="322"/>
      <c r="F153" s="322"/>
      <c r="G153" s="256"/>
    </row>
    <row r="154" spans="2:28">
      <c r="B154" t="s">
        <v>260</v>
      </c>
      <c r="C154"/>
      <c r="D154" s="1436">
        <f>D142</f>
        <v>2325.4594949273533</v>
      </c>
      <c r="E154" s="1436">
        <f t="shared" ref="D154:F155" si="32">E142</f>
        <v>10.345581306233795</v>
      </c>
      <c r="F154" s="1436">
        <f t="shared" si="32"/>
        <v>4.0117506452003904E-2</v>
      </c>
      <c r="G154" s="144">
        <f t="shared" si="30"/>
        <v>2882.0990275831982</v>
      </c>
      <c r="H154"/>
    </row>
    <row r="155" spans="2:28">
      <c r="B155" s="183" t="s">
        <v>1302</v>
      </c>
      <c r="D155" s="322">
        <f t="shared" si="32"/>
        <v>1101.0378693540815</v>
      </c>
      <c r="E155" s="322">
        <f t="shared" si="32"/>
        <v>0</v>
      </c>
      <c r="F155" s="322">
        <f t="shared" si="32"/>
        <v>0</v>
      </c>
      <c r="G155" s="256">
        <f t="shared" si="30"/>
        <v>1399.0378693540815</v>
      </c>
    </row>
    <row r="156" spans="2:28">
      <c r="B156" s="1249" t="s">
        <v>200</v>
      </c>
      <c r="C156" s="1249"/>
      <c r="D156" s="1250">
        <f>SUM(D151:D155)</f>
        <v>5732.3411671802405</v>
      </c>
      <c r="E156" s="1250">
        <f t="shared" ref="E156:F156" si="33">SUM(E151:E155)</f>
        <v>150.92418285638513</v>
      </c>
      <c r="F156" s="1250">
        <f t="shared" si="33"/>
        <v>0.15025245568521478</v>
      </c>
      <c r="G156" s="256">
        <f t="shared" si="30"/>
        <v>9803.4457385898677</v>
      </c>
    </row>
    <row r="157" spans="2:28">
      <c r="D157" s="261"/>
    </row>
    <row r="158" spans="2:28" ht="15.75">
      <c r="B158" s="1435" t="s">
        <v>1472</v>
      </c>
      <c r="C158"/>
      <c r="D158"/>
    </row>
    <row r="159" spans="2:28">
      <c r="B159" s="236" t="s">
        <v>1292</v>
      </c>
      <c r="C159" s="236"/>
      <c r="D159" s="1845" t="s">
        <v>1293</v>
      </c>
      <c r="E159" s="1845"/>
      <c r="F159" s="1845"/>
    </row>
    <row r="160" spans="2:28" ht="15.75" thickBot="1">
      <c r="B160" s="182"/>
      <c r="C160" s="182"/>
      <c r="D160" s="216" t="s">
        <v>107</v>
      </c>
      <c r="E160" s="216" t="s">
        <v>110</v>
      </c>
      <c r="F160" s="216" t="s">
        <v>113</v>
      </c>
    </row>
    <row r="161" spans="2:9" ht="15.75" thickTop="1">
      <c r="B161" s="183" t="s">
        <v>1419</v>
      </c>
      <c r="D161" s="322">
        <v>6030</v>
      </c>
      <c r="E161" s="322">
        <v>45.5</v>
      </c>
      <c r="F161" s="1346">
        <v>0.16</v>
      </c>
      <c r="G161" s="183">
        <f t="shared" si="30"/>
        <v>7465.5</v>
      </c>
    </row>
    <row r="162" spans="2:9">
      <c r="B162" s="183" t="s">
        <v>1302</v>
      </c>
      <c r="D162" s="322">
        <v>824</v>
      </c>
      <c r="E162" s="322">
        <v>5.9</v>
      </c>
      <c r="F162" s="1346">
        <v>0.02</v>
      </c>
      <c r="G162" s="183">
        <f t="shared" si="30"/>
        <v>1269.5</v>
      </c>
    </row>
    <row r="163" spans="2:9">
      <c r="G163" s="183">
        <f>D166+E166*CH4_GWP+N2O_GWP</f>
        <v>365.5</v>
      </c>
    </row>
    <row r="164" spans="2:9">
      <c r="D164" s="322"/>
      <c r="E164" s="322"/>
      <c r="F164" s="1346"/>
      <c r="G164" s="183">
        <f>D164+E164*CH4_GWP+N2O_GWP</f>
        <v>298</v>
      </c>
    </row>
    <row r="165" spans="2:9">
      <c r="B165" s="1249" t="s">
        <v>200</v>
      </c>
      <c r="C165" s="1249"/>
      <c r="D165" s="1250">
        <f>SUM(D161:D164)</f>
        <v>6854</v>
      </c>
      <c r="E165" s="1250">
        <f>SUM(E161:E164)</f>
        <v>51.4</v>
      </c>
      <c r="F165" s="1250">
        <f>SUM(F161:F164)</f>
        <v>0.18</v>
      </c>
      <c r="G165" s="183">
        <f>D165+E165*CH4_GWP+N2O_GWP</f>
        <v>8437</v>
      </c>
    </row>
    <row r="166" spans="2:9">
      <c r="B166" s="183" t="s">
        <v>1420</v>
      </c>
      <c r="D166" s="322">
        <v>10</v>
      </c>
      <c r="E166" s="322">
        <v>2.2999999999999998</v>
      </c>
      <c r="F166" s="1346">
        <v>0</v>
      </c>
    </row>
    <row r="167" spans="2:9">
      <c r="B167" s="190"/>
      <c r="C167" s="190"/>
      <c r="D167" s="309"/>
      <c r="E167" s="311"/>
      <c r="F167" s="312"/>
    </row>
    <row r="170" spans="2:9">
      <c r="B170" s="212" t="s">
        <v>495</v>
      </c>
      <c r="C170" s="212"/>
      <c r="D170" s="212"/>
      <c r="E170" s="212" t="s">
        <v>300</v>
      </c>
      <c r="F170" s="212"/>
      <c r="G170" s="212"/>
    </row>
    <row r="171" spans="2:9" ht="18.75" thickBot="1">
      <c r="B171" s="215" t="s">
        <v>263</v>
      </c>
      <c r="C171" s="215" t="s">
        <v>1191</v>
      </c>
      <c r="D171" s="215"/>
      <c r="E171" s="216" t="s">
        <v>265</v>
      </c>
      <c r="F171" s="216" t="s">
        <v>266</v>
      </c>
      <c r="G171" s="216" t="s">
        <v>267</v>
      </c>
    </row>
    <row r="172" spans="2:9" ht="15.75" thickTop="1">
      <c r="B172" s="1144" t="s">
        <v>201</v>
      </c>
      <c r="C172" s="1142" t="s">
        <v>301</v>
      </c>
      <c r="D172" s="1144" t="s">
        <v>231</v>
      </c>
      <c r="E172" s="311">
        <v>8.1999999999999993</v>
      </c>
      <c r="F172" s="1135">
        <v>0.38</v>
      </c>
      <c r="G172" s="1135">
        <v>1E-3</v>
      </c>
      <c r="H172" s="183">
        <f>E172+F172*25+G172*298</f>
        <v>17.997999999999998</v>
      </c>
    </row>
    <row r="173" spans="2:9">
      <c r="B173" s="1145"/>
      <c r="C173" s="1143"/>
      <c r="D173" s="1145" t="s">
        <v>299</v>
      </c>
      <c r="E173" s="313">
        <v>196</v>
      </c>
      <c r="F173" s="1136">
        <v>0.01</v>
      </c>
      <c r="G173" s="1136">
        <v>3.0000000000000001E-3</v>
      </c>
      <c r="H173" s="183">
        <f>E173+F173*25+G173*298</f>
        <v>197.14400000000001</v>
      </c>
      <c r="I173" s="183">
        <f>(H173+H172)/3.6</f>
        <v>59.761666666666663</v>
      </c>
    </row>
    <row r="174" spans="2:9">
      <c r="B174" s="1144" t="s">
        <v>963</v>
      </c>
      <c r="C174" s="1142" t="s">
        <v>1413</v>
      </c>
      <c r="D174" s="1144" t="s">
        <v>231</v>
      </c>
      <c r="E174" s="1147">
        <v>1.2776192871865839</v>
      </c>
      <c r="F174" s="1148">
        <v>4.5362243122767348E-2</v>
      </c>
      <c r="G174" s="1148">
        <v>7.3136628832094915E-5</v>
      </c>
      <c r="H174" s="183">
        <f t="shared" ref="H174:H179" si="34">E174+F174*25+G174*298</f>
        <v>2.4334700806477318</v>
      </c>
    </row>
    <row r="175" spans="2:9">
      <c r="B175" s="1145"/>
      <c r="C175" s="1143"/>
      <c r="D175" s="1145" t="s">
        <v>299</v>
      </c>
      <c r="E175" s="310">
        <v>27.390241363146632</v>
      </c>
      <c r="F175" s="1136">
        <v>2.954462273294569E-4</v>
      </c>
      <c r="G175" s="1136">
        <v>3.2853823259947643E-4</v>
      </c>
      <c r="H175" s="183">
        <f t="shared" si="34"/>
        <v>27.495531912144511</v>
      </c>
      <c r="I175" s="183">
        <f t="shared" ref="I175:I179" si="35">(H175+H174)/3.6</f>
        <v>8.3136116646645117</v>
      </c>
    </row>
    <row r="176" spans="2:9">
      <c r="B176" s="1144" t="s">
        <v>230</v>
      </c>
      <c r="C176" s="1142" t="s">
        <v>1192</v>
      </c>
      <c r="D176" s="1144" t="s">
        <v>231</v>
      </c>
      <c r="E176" s="1147">
        <v>19.740203625011802</v>
      </c>
      <c r="F176" s="1148">
        <v>0.6461686800881562</v>
      </c>
      <c r="G176" s="1148">
        <v>2.5750805496714607E-3</v>
      </c>
      <c r="H176" s="183">
        <f t="shared" si="34"/>
        <v>36.661794631017806</v>
      </c>
    </row>
    <row r="177" spans="2:11">
      <c r="B177" s="1145"/>
      <c r="C177" s="1143"/>
      <c r="D177" s="1145" t="s">
        <v>299</v>
      </c>
      <c r="E177" s="310">
        <v>212.25293056950503</v>
      </c>
      <c r="F177" s="1136">
        <v>9.007750958385248E-3</v>
      </c>
      <c r="G177" s="1136">
        <v>1.3744831761170083E-3</v>
      </c>
      <c r="H177" s="183">
        <f t="shared" si="34"/>
        <v>212.88772032994751</v>
      </c>
      <c r="I177" s="183">
        <f t="shared" si="35"/>
        <v>69.319309711379262</v>
      </c>
      <c r="J177" s="183">
        <v>2040</v>
      </c>
      <c r="K177" s="183">
        <v>68.099999999999994</v>
      </c>
    </row>
    <row r="178" spans="2:11">
      <c r="B178" s="1144" t="s">
        <v>349</v>
      </c>
      <c r="C178" s="1142" t="s">
        <v>1193</v>
      </c>
      <c r="D178" s="1144" t="s">
        <v>231</v>
      </c>
      <c r="E178" s="1147">
        <v>11.460240622823047</v>
      </c>
      <c r="F178" s="1148">
        <v>0.55693831623285128</v>
      </c>
      <c r="G178" s="1148">
        <v>9.7871837577018488E-4</v>
      </c>
      <c r="H178" s="183">
        <f t="shared" si="34"/>
        <v>25.675356604623847</v>
      </c>
    </row>
    <row r="179" spans="2:11">
      <c r="B179" s="1143"/>
      <c r="C179" s="1143"/>
      <c r="D179" s="1145" t="s">
        <v>299</v>
      </c>
      <c r="E179" s="310">
        <v>297.20820206969563</v>
      </c>
      <c r="F179" s="1136">
        <v>1.0672129279142323E-2</v>
      </c>
      <c r="G179" s="1136">
        <v>4.6755650349940931E-3</v>
      </c>
      <c r="H179" s="183">
        <f t="shared" si="34"/>
        <v>298.86832368210241</v>
      </c>
      <c r="I179" s="183">
        <f t="shared" si="35"/>
        <v>90.151022301868409</v>
      </c>
      <c r="J179" s="183">
        <v>2016</v>
      </c>
    </row>
    <row r="180" spans="2:11">
      <c r="C180" s="1142"/>
    </row>
    <row r="185" spans="2:11">
      <c r="D185" s="192"/>
      <c r="E185" s="192"/>
      <c r="F185" s="192"/>
    </row>
    <row r="187" spans="2:11" ht="15.75" thickBot="1">
      <c r="B187" s="295" t="s">
        <v>322</v>
      </c>
      <c r="C187" s="295" t="s">
        <v>298</v>
      </c>
    </row>
    <row r="188" spans="2:11" ht="15.75" thickTop="1">
      <c r="B188" s="296" t="s">
        <v>323</v>
      </c>
      <c r="C188" s="314">
        <v>31.243764769685725</v>
      </c>
    </row>
    <row r="189" spans="2:11">
      <c r="B189" s="296" t="s">
        <v>328</v>
      </c>
      <c r="C189" s="315">
        <v>0.438</v>
      </c>
    </row>
    <row r="190" spans="2:11">
      <c r="B190" s="296" t="s">
        <v>324</v>
      </c>
      <c r="C190" s="315">
        <v>0.10299999999999999</v>
      </c>
    </row>
    <row r="191" spans="2:11">
      <c r="B191" s="297" t="s">
        <v>321</v>
      </c>
      <c r="C191" s="316"/>
    </row>
    <row r="192" spans="2:11">
      <c r="B192" s="298" t="s">
        <v>234</v>
      </c>
      <c r="C192" s="315">
        <v>0.94828367124920465</v>
      </c>
    </row>
    <row r="193" spans="2:6">
      <c r="B193" s="298" t="s">
        <v>222</v>
      </c>
      <c r="C193" s="315">
        <v>0.90922379885292581</v>
      </c>
    </row>
    <row r="194" spans="2:6">
      <c r="B194" s="297" t="s">
        <v>329</v>
      </c>
      <c r="C194" s="316"/>
    </row>
    <row r="195" spans="2:6">
      <c r="B195" s="298" t="s">
        <v>330</v>
      </c>
      <c r="C195" s="317">
        <v>0.2901564773874869</v>
      </c>
    </row>
    <row r="196" spans="2:6">
      <c r="B196" s="299" t="s">
        <v>331</v>
      </c>
      <c r="C196" s="318">
        <v>8373</v>
      </c>
    </row>
    <row r="198" spans="2:6">
      <c r="B198" s="1166"/>
      <c r="C198" s="1842" t="s">
        <v>269</v>
      </c>
      <c r="D198" s="1842"/>
      <c r="E198" s="1842"/>
    </row>
    <row r="199" spans="2:6" ht="18.75" thickBot="1">
      <c r="B199" s="300" t="s">
        <v>263</v>
      </c>
      <c r="C199" s="301" t="s">
        <v>265</v>
      </c>
      <c r="D199" s="301" t="s">
        <v>266</v>
      </c>
      <c r="E199" s="301" t="s">
        <v>267</v>
      </c>
    </row>
    <row r="200" spans="2:6" ht="15.75" thickTop="1">
      <c r="B200" s="297" t="s">
        <v>1501</v>
      </c>
      <c r="C200" s="304"/>
      <c r="D200" s="304"/>
      <c r="E200" s="304"/>
    </row>
    <row r="201" spans="2:6">
      <c r="B201" s="298" t="s">
        <v>318</v>
      </c>
      <c r="C201" s="1754">
        <f>F201-D201*25-E201*298</f>
        <v>9250.2000000000007</v>
      </c>
      <c r="D201" s="1172">
        <v>155</v>
      </c>
      <c r="E201" s="1172">
        <v>0.1</v>
      </c>
      <c r="F201" s="1171">
        <v>13155</v>
      </c>
    </row>
    <row r="202" spans="2:6">
      <c r="B202" s="298" t="s">
        <v>259</v>
      </c>
      <c r="C202" s="1171"/>
      <c r="D202" s="1172"/>
      <c r="E202" s="1173"/>
    </row>
    <row r="203" spans="2:6">
      <c r="B203" s="298" t="s">
        <v>319</v>
      </c>
      <c r="C203" s="1171">
        <v>7386.3022257664425</v>
      </c>
      <c r="D203" s="1172">
        <v>20.455409613024798</v>
      </c>
      <c r="E203" s="1172">
        <v>0.1377479536665745</v>
      </c>
    </row>
    <row r="204" spans="2:6">
      <c r="B204" s="298" t="s">
        <v>325</v>
      </c>
      <c r="C204" s="1171"/>
      <c r="D204" s="1172"/>
      <c r="E204" s="1173"/>
    </row>
    <row r="205" spans="2:6">
      <c r="B205" s="298" t="s">
        <v>199</v>
      </c>
      <c r="C205" s="1171">
        <v>376.33245740004946</v>
      </c>
      <c r="D205" s="1172">
        <v>0.65801921931266627</v>
      </c>
      <c r="E205" s="1172">
        <v>6.2889710524869739E-3</v>
      </c>
    </row>
    <row r="206" spans="2:6">
      <c r="B206" s="298" t="s">
        <v>320</v>
      </c>
      <c r="C206" s="1171"/>
      <c r="D206" s="1171"/>
      <c r="E206" s="1171"/>
    </row>
    <row r="207" spans="2:6">
      <c r="B207" s="305" t="s">
        <v>327</v>
      </c>
      <c r="C207" s="306">
        <f>SUM(C201:C206)</f>
        <v>17012.834683166493</v>
      </c>
      <c r="D207" s="306">
        <f t="shared" ref="D207" si="36">SUM(D201:D206)</f>
        <v>176.11342883233749</v>
      </c>
      <c r="E207" s="306">
        <f t="shared" ref="E207" si="37">SUM(E201:E206)</f>
        <v>0.24403692471906147</v>
      </c>
    </row>
    <row r="208" spans="2:6">
      <c r="B208" s="297" t="s">
        <v>846</v>
      </c>
      <c r="C208" s="1170"/>
      <c r="D208" s="1170"/>
      <c r="E208" s="1170"/>
    </row>
    <row r="209" spans="2:6">
      <c r="B209" s="298" t="s">
        <v>318</v>
      </c>
      <c r="C209" s="1171">
        <v>11532.928397010797</v>
      </c>
      <c r="D209" s="1172">
        <v>155</v>
      </c>
      <c r="E209" s="1172">
        <f>E201</f>
        <v>0.1</v>
      </c>
      <c r="F209" s="183">
        <v>11532.928397010797</v>
      </c>
    </row>
    <row r="210" spans="2:6">
      <c r="B210" s="298" t="s">
        <v>259</v>
      </c>
      <c r="C210" s="1171"/>
      <c r="D210" s="1172"/>
      <c r="E210" s="1173"/>
    </row>
    <row r="211" spans="2:6">
      <c r="B211" s="298" t="s">
        <v>319</v>
      </c>
      <c r="C211" s="1171">
        <v>13232.458545744157</v>
      </c>
      <c r="D211" s="1172">
        <v>20</v>
      </c>
      <c r="E211" s="1172"/>
      <c r="F211" s="183">
        <v>13232.458545744157</v>
      </c>
    </row>
    <row r="212" spans="2:6">
      <c r="B212" s="298" t="s">
        <v>325</v>
      </c>
      <c r="C212" s="1171"/>
      <c r="D212" s="1172"/>
      <c r="E212" s="1173"/>
    </row>
    <row r="213" spans="2:6">
      <c r="B213" s="298" t="s">
        <v>199</v>
      </c>
      <c r="C213" s="1171">
        <v>491.24811965733971</v>
      </c>
      <c r="D213" s="1172"/>
      <c r="E213" s="1172"/>
    </row>
    <row r="214" spans="2:6">
      <c r="B214" s="298" t="s">
        <v>320</v>
      </c>
      <c r="C214" s="1171"/>
      <c r="D214" s="1171"/>
      <c r="E214" s="1171"/>
    </row>
    <row r="215" spans="2:6">
      <c r="B215" s="298" t="s">
        <v>1247</v>
      </c>
      <c r="C215" s="1171">
        <v>-1006.1280218618485</v>
      </c>
      <c r="D215" s="1171"/>
      <c r="E215" s="1171"/>
    </row>
    <row r="216" spans="2:6">
      <c r="B216" s="305" t="s">
        <v>1328</v>
      </c>
      <c r="C216" s="306">
        <f>SUM(C209:C215)</f>
        <v>24250.507040550445</v>
      </c>
      <c r="D216" s="306">
        <f t="shared" ref="D216:E216" si="38">SUM(D209:D215)</f>
        <v>175</v>
      </c>
      <c r="E216" s="306">
        <f t="shared" si="38"/>
        <v>0.1</v>
      </c>
    </row>
    <row r="218" spans="2:6" ht="18.75">
      <c r="B218" s="348" t="s">
        <v>1196</v>
      </c>
    </row>
    <row r="220" spans="2:6">
      <c r="B220" s="236" t="s">
        <v>374</v>
      </c>
      <c r="C220" s="319" t="s">
        <v>496</v>
      </c>
    </row>
    <row r="221" spans="2:6" ht="15.75" thickBot="1">
      <c r="B221" s="182" t="s">
        <v>263</v>
      </c>
      <c r="C221" s="187" t="s">
        <v>421</v>
      </c>
    </row>
    <row r="222" spans="2:6" ht="15.75" thickTop="1">
      <c r="B222" s="242" t="s">
        <v>375</v>
      </c>
      <c r="C222" s="403">
        <v>0.01</v>
      </c>
    </row>
    <row r="224" spans="2:6">
      <c r="B224" s="236" t="s">
        <v>373</v>
      </c>
      <c r="C224" s="319" t="s">
        <v>496</v>
      </c>
    </row>
    <row r="225" spans="2:3" ht="15.75" thickBot="1">
      <c r="B225" s="182" t="s">
        <v>263</v>
      </c>
      <c r="C225" s="187" t="s">
        <v>421</v>
      </c>
    </row>
    <row r="226" spans="2:3" ht="15.75" thickTop="1">
      <c r="B226" s="242" t="s">
        <v>372</v>
      </c>
      <c r="C226" s="403">
        <v>0.01</v>
      </c>
    </row>
    <row r="229" spans="2:3" ht="18.75">
      <c r="B229" s="348" t="s">
        <v>1248</v>
      </c>
    </row>
    <row r="231" spans="2:3">
      <c r="B231" s="208" t="s">
        <v>1249</v>
      </c>
    </row>
    <row r="233" spans="2:3" ht="15.75" thickBot="1">
      <c r="B233" s="182" t="s">
        <v>1250</v>
      </c>
      <c r="C233" s="187" t="s">
        <v>1251</v>
      </c>
    </row>
    <row r="234" spans="2:3" ht="15.75" thickTop="1">
      <c r="B234" s="183" t="s">
        <v>1056</v>
      </c>
      <c r="C234" s="1142">
        <v>17</v>
      </c>
    </row>
    <row r="235" spans="2:3">
      <c r="B235" s="209" t="s">
        <v>1057</v>
      </c>
      <c r="C235" s="1143">
        <v>175</v>
      </c>
    </row>
    <row r="237" spans="2:3" ht="15.75" thickBot="1">
      <c r="B237" s="182" t="s">
        <v>1252</v>
      </c>
      <c r="C237" s="187" t="s">
        <v>1254</v>
      </c>
    </row>
    <row r="238" spans="2:3" ht="15.75" thickTop="1">
      <c r="B238" s="209" t="s">
        <v>1253</v>
      </c>
      <c r="C238" s="1226">
        <v>10000</v>
      </c>
    </row>
    <row r="240" spans="2:3" ht="15.75" thickBot="1">
      <c r="B240" s="182" t="s">
        <v>1255</v>
      </c>
      <c r="C240" s="187" t="s">
        <v>1256</v>
      </c>
    </row>
    <row r="241" spans="2:3" ht="15.75" thickTop="1">
      <c r="B241" s="209"/>
      <c r="C241" s="1226">
        <v>17738</v>
      </c>
    </row>
  </sheetData>
  <mergeCells count="10">
    <mergeCell ref="C198:E198"/>
    <mergeCell ref="D20:E20"/>
    <mergeCell ref="D21:E21"/>
    <mergeCell ref="D23:E23"/>
    <mergeCell ref="D24:E24"/>
    <mergeCell ref="D149:F149"/>
    <mergeCell ref="D35:E35"/>
    <mergeCell ref="D159:F159"/>
    <mergeCell ref="D138:G138"/>
    <mergeCell ref="G20:H20"/>
  </mergeCells>
  <dataValidations count="5">
    <dataValidation type="list" allowBlank="1" showInputMessage="1" showErrorMessage="1" sqref="C21">
      <formula1>"A, B"</formula1>
    </dataValidation>
    <dataValidation type="list" allowBlank="1" showInputMessage="1" showErrorMessage="1" sqref="H24">
      <formula1>$C$172:$C$178</formula1>
    </dataValidation>
    <dataValidation type="list" allowBlank="1" showInputMessage="1" showErrorMessage="1" sqref="H25">
      <formula1>"GHGenius, BC, GREET"</formula1>
    </dataValidation>
    <dataValidation type="list" allowBlank="1" showInputMessage="1" showErrorMessage="1" sqref="C24">
      <formula1>"Yes, No"</formula1>
    </dataValidation>
    <dataValidation type="list" allowBlank="1" showInputMessage="1" showErrorMessage="1" sqref="H28">
      <formula1>"AR4, AR5"</formula1>
    </dataValidation>
  </dataValidation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C2:G18"/>
  <sheetViews>
    <sheetView workbookViewId="0">
      <selection activeCell="E21" sqref="E21"/>
    </sheetView>
  </sheetViews>
  <sheetFormatPr defaultColWidth="9.140625" defaultRowHeight="15"/>
  <cols>
    <col min="3" max="3" width="33.140625" customWidth="1"/>
    <col min="4" max="4" width="16.7109375" customWidth="1"/>
    <col min="5" max="5" width="21.7109375" customWidth="1"/>
    <col min="6" max="6" width="12.5703125" customWidth="1"/>
    <col min="7" max="7" width="14.28515625" customWidth="1"/>
  </cols>
  <sheetData>
    <row r="2" spans="3:7">
      <c r="C2" s="1217" t="s">
        <v>1226</v>
      </c>
      <c r="F2" t="s">
        <v>1227</v>
      </c>
      <c r="G2" t="s">
        <v>333</v>
      </c>
    </row>
    <row r="3" spans="3:7" ht="32.25" customHeight="1" thickBot="1">
      <c r="C3" s="207" t="s">
        <v>1215</v>
      </c>
      <c r="D3" s="185" t="s">
        <v>2</v>
      </c>
      <c r="E3" s="185" t="s">
        <v>272</v>
      </c>
      <c r="F3" s="185" t="s">
        <v>1216</v>
      </c>
      <c r="G3" s="185" t="s">
        <v>1216</v>
      </c>
    </row>
    <row r="4" spans="3:7" ht="15.75" thickTop="1">
      <c r="C4" s="1105" t="s">
        <v>1221</v>
      </c>
      <c r="D4" s="151" t="s">
        <v>222</v>
      </c>
      <c r="E4" t="s">
        <v>1217</v>
      </c>
      <c r="F4" s="153">
        <f>Results!C45</f>
        <v>1.1843440984881204</v>
      </c>
      <c r="G4" s="153">
        <f>Results!C22</f>
        <v>1.9565749586664143</v>
      </c>
    </row>
    <row r="5" spans="3:7">
      <c r="C5" s="1105" t="s">
        <v>1266</v>
      </c>
      <c r="D5" s="150" t="s">
        <v>222</v>
      </c>
      <c r="E5" t="s">
        <v>288</v>
      </c>
      <c r="F5" s="153">
        <f>Results!C46</f>
        <v>1.7749999999999999</v>
      </c>
      <c r="G5" s="153">
        <f>Results!C23</f>
        <v>1.7749999999999999</v>
      </c>
    </row>
    <row r="6" spans="3:7">
      <c r="C6" s="1105" t="s">
        <v>357</v>
      </c>
      <c r="D6" s="151" t="s">
        <v>222</v>
      </c>
      <c r="E6" t="s">
        <v>288</v>
      </c>
      <c r="F6" s="153">
        <f>Results!C47</f>
        <v>1.9339813064195988</v>
      </c>
      <c r="G6" s="153">
        <f>Results!C24</f>
        <v>3.55</v>
      </c>
    </row>
    <row r="7" spans="3:7">
      <c r="C7" s="1105" t="s">
        <v>1218</v>
      </c>
      <c r="D7" s="151" t="s">
        <v>278</v>
      </c>
      <c r="E7" t="s">
        <v>275</v>
      </c>
      <c r="F7" s="153">
        <f>Results!C48</f>
        <v>23.467699944513363</v>
      </c>
      <c r="G7" s="153">
        <f>Results!C25</f>
        <v>37.931506849315021</v>
      </c>
    </row>
    <row r="8" spans="3:7">
      <c r="C8" s="1105" t="s">
        <v>358</v>
      </c>
      <c r="D8" s="151" t="s">
        <v>278</v>
      </c>
      <c r="E8" t="s">
        <v>275</v>
      </c>
      <c r="F8" s="153">
        <f>Results!C49</f>
        <v>1.0981680102240239</v>
      </c>
      <c r="G8" s="153">
        <f>Results!C27</f>
        <v>1.7749999999999999</v>
      </c>
    </row>
    <row r="9" spans="3:7">
      <c r="C9" s="1105" t="s">
        <v>1219</v>
      </c>
      <c r="D9" s="151" t="s">
        <v>278</v>
      </c>
      <c r="E9" t="s">
        <v>275</v>
      </c>
      <c r="F9" s="153">
        <f>Results!C50</f>
        <v>80.534700644168623</v>
      </c>
      <c r="G9" s="153">
        <f>Results!C29</f>
        <v>130.51191819201856</v>
      </c>
    </row>
    <row r="10" spans="3:7">
      <c r="C10" s="1216" t="s">
        <v>1184</v>
      </c>
      <c r="D10" s="1215" t="s">
        <v>51</v>
      </c>
      <c r="E10" s="163" t="s">
        <v>1220</v>
      </c>
      <c r="F10" s="163"/>
      <c r="G10" s="163"/>
    </row>
    <row r="11" spans="3:7">
      <c r="F11" s="150"/>
    </row>
    <row r="12" spans="3:7" ht="15.75" thickBot="1">
      <c r="C12" s="207" t="s">
        <v>1215</v>
      </c>
      <c r="D12" s="185" t="s">
        <v>2</v>
      </c>
      <c r="E12" s="185" t="s">
        <v>272</v>
      </c>
    </row>
    <row r="13" spans="3:7" ht="15.75" thickTop="1">
      <c r="C13" s="1105" t="s">
        <v>1221</v>
      </c>
      <c r="D13" s="151" t="s">
        <v>222</v>
      </c>
      <c r="E13" t="s">
        <v>1217</v>
      </c>
    </row>
    <row r="14" spans="3:7">
      <c r="C14" s="1105" t="s">
        <v>1266</v>
      </c>
      <c r="D14" s="150" t="s">
        <v>222</v>
      </c>
      <c r="E14" t="s">
        <v>288</v>
      </c>
      <c r="F14" s="150"/>
    </row>
    <row r="15" spans="3:7">
      <c r="C15" s="1105" t="s">
        <v>357</v>
      </c>
      <c r="D15" s="151" t="s">
        <v>222</v>
      </c>
      <c r="E15" t="s">
        <v>288</v>
      </c>
      <c r="F15" s="150"/>
    </row>
    <row r="16" spans="3:7">
      <c r="C16" s="1105" t="s">
        <v>1223</v>
      </c>
      <c r="D16" s="151" t="s">
        <v>278</v>
      </c>
      <c r="E16" t="s">
        <v>275</v>
      </c>
      <c r="F16" s="150"/>
    </row>
    <row r="17" spans="3:6">
      <c r="C17" s="1105" t="s">
        <v>358</v>
      </c>
      <c r="D17" s="151" t="s">
        <v>278</v>
      </c>
      <c r="E17" t="s">
        <v>275</v>
      </c>
      <c r="F17" s="150"/>
    </row>
    <row r="18" spans="3:6">
      <c r="C18" s="1105" t="s">
        <v>1219</v>
      </c>
      <c r="D18" s="151" t="s">
        <v>278</v>
      </c>
      <c r="E18" t="s">
        <v>275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O29"/>
  <sheetViews>
    <sheetView workbookViewId="0">
      <selection activeCell="I10" sqref="I10"/>
    </sheetView>
  </sheetViews>
  <sheetFormatPr defaultColWidth="11.42578125" defaultRowHeight="15"/>
  <cols>
    <col min="2" max="2" width="60.42578125" customWidth="1"/>
    <col min="3" max="3" width="12.85546875" style="877" customWidth="1"/>
    <col min="4" max="7" width="4.42578125" style="877" customWidth="1"/>
    <col min="8" max="8" width="14.140625" style="877" customWidth="1"/>
  </cols>
  <sheetData>
    <row r="2" spans="2:15" ht="27" customHeight="1">
      <c r="C2" s="876"/>
      <c r="D2" s="876"/>
      <c r="I2" s="1932" t="s">
        <v>1083</v>
      </c>
      <c r="J2" s="1932"/>
      <c r="K2" s="1932"/>
      <c r="L2" s="1932"/>
      <c r="M2" s="1932"/>
      <c r="N2" s="1932"/>
      <c r="O2">
        <f>355/365</f>
        <v>0.9726027397260274</v>
      </c>
    </row>
    <row r="3" spans="2:15" ht="15" customHeight="1">
      <c r="B3" s="1933" t="s">
        <v>360</v>
      </c>
      <c r="C3" s="1934" t="s">
        <v>1056</v>
      </c>
      <c r="D3" s="1935"/>
      <c r="E3" s="1936"/>
      <c r="F3" s="1934" t="s">
        <v>1057</v>
      </c>
      <c r="G3" s="1935"/>
      <c r="H3" s="1936"/>
      <c r="I3" s="1929" t="s">
        <v>1056</v>
      </c>
      <c r="J3" s="1930"/>
      <c r="K3" s="1931"/>
      <c r="L3" s="1929" t="s">
        <v>1057</v>
      </c>
      <c r="M3" s="1930"/>
      <c r="N3" s="1931"/>
    </row>
    <row r="4" spans="2:15" ht="60" customHeight="1">
      <c r="B4" s="1933"/>
      <c r="C4" s="878" t="s">
        <v>1058</v>
      </c>
      <c r="D4" s="879" t="s">
        <v>995</v>
      </c>
      <c r="E4" s="880" t="s">
        <v>1059</v>
      </c>
      <c r="F4" s="878" t="s">
        <v>1058</v>
      </c>
      <c r="G4" s="879" t="s">
        <v>995</v>
      </c>
      <c r="H4" s="880" t="s">
        <v>1059</v>
      </c>
      <c r="I4" s="838" t="s">
        <v>1058</v>
      </c>
      <c r="J4" s="846" t="s">
        <v>995</v>
      </c>
      <c r="K4" s="858" t="s">
        <v>1059</v>
      </c>
      <c r="L4" s="838" t="s">
        <v>1058</v>
      </c>
      <c r="M4" s="846" t="s">
        <v>995</v>
      </c>
      <c r="N4" s="858" t="s">
        <v>1059</v>
      </c>
    </row>
    <row r="5" spans="2:15">
      <c r="B5" s="830" t="s">
        <v>1060</v>
      </c>
      <c r="C5" s="881">
        <v>7269653.3839034233</v>
      </c>
      <c r="D5" s="882">
        <v>0</v>
      </c>
      <c r="E5" s="881">
        <v>59563.290887703552</v>
      </c>
      <c r="F5" s="881">
        <v>748261.93766868685</v>
      </c>
      <c r="G5" s="882">
        <v>0</v>
      </c>
      <c r="H5" s="881">
        <v>6130.8209758998864</v>
      </c>
      <c r="I5" s="839">
        <f>C5*$O$2</f>
        <v>7070484.7980430555</v>
      </c>
      <c r="J5" s="847">
        <f t="shared" ref="J5:N5" si="0">D5*$O$2</f>
        <v>0</v>
      </c>
      <c r="K5" s="839">
        <f t="shared" si="0"/>
        <v>57931.419904478797</v>
      </c>
      <c r="L5" s="839">
        <f t="shared" si="0"/>
        <v>727761.61060927075</v>
      </c>
      <c r="M5" s="847">
        <f t="shared" si="0"/>
        <v>0</v>
      </c>
      <c r="N5" s="839">
        <f t="shared" si="0"/>
        <v>5962.8532779300267</v>
      </c>
    </row>
    <row r="6" spans="2:15">
      <c r="B6" s="830" t="s">
        <v>1061</v>
      </c>
      <c r="C6" s="881">
        <v>7266232.6192222619</v>
      </c>
      <c r="D6" s="882">
        <v>4.7077555322302532E-4</v>
      </c>
      <c r="E6" s="881">
        <v>5887.9696380011746</v>
      </c>
      <c r="F6" s="881">
        <v>747909.84</v>
      </c>
      <c r="G6" s="882">
        <v>4.7077555322302532E-4</v>
      </c>
      <c r="H6" s="881">
        <v>606.04589209444566</v>
      </c>
      <c r="I6" s="839">
        <f t="shared" ref="I6:I29" si="1">C6*$O$2</f>
        <v>7067157.7529421998</v>
      </c>
      <c r="J6" s="847">
        <f t="shared" ref="J6:J29" si="2">D6*$O$2</f>
        <v>4.5787759286075065E-4</v>
      </c>
      <c r="K6" s="839">
        <f t="shared" ref="K6:K29" si="3">E6*$O$2</f>
        <v>5726.655401343608</v>
      </c>
      <c r="L6" s="839">
        <f t="shared" ref="L6:L29" si="4">F6*$O$2</f>
        <v>727419.15945205477</v>
      </c>
      <c r="M6" s="847">
        <f t="shared" ref="M6:M29" si="5">G6*$O$2</f>
        <v>4.5787759286075065E-4</v>
      </c>
      <c r="N6" s="839">
        <f t="shared" ref="N6:N29" si="6">H6*$O$2</f>
        <v>589.44189505076224</v>
      </c>
    </row>
    <row r="7" spans="2:15">
      <c r="B7" s="830" t="s">
        <v>1062</v>
      </c>
      <c r="C7" s="881">
        <v>7259336.249784966</v>
      </c>
      <c r="D7" s="883">
        <v>9.5E-4</v>
      </c>
      <c r="E7" s="881">
        <v>3483.0148673210697</v>
      </c>
      <c r="F7" s="881">
        <v>747200</v>
      </c>
      <c r="G7" s="883">
        <v>9.5E-4</v>
      </c>
      <c r="H7" s="881">
        <v>358.50505050505052</v>
      </c>
      <c r="I7" s="839">
        <f t="shared" si="1"/>
        <v>7060450.3251333227</v>
      </c>
      <c r="J7" s="848">
        <f t="shared" si="2"/>
        <v>9.2397260273972598E-4</v>
      </c>
      <c r="K7" s="839">
        <f t="shared" si="3"/>
        <v>3387.5898024629582</v>
      </c>
      <c r="L7" s="839">
        <f t="shared" si="4"/>
        <v>726728.76712328766</v>
      </c>
      <c r="M7" s="848">
        <f t="shared" si="5"/>
        <v>9.2397260273972598E-4</v>
      </c>
      <c r="N7" s="839">
        <f t="shared" si="6"/>
        <v>348.68299432682994</v>
      </c>
    </row>
    <row r="8" spans="2:15">
      <c r="B8" s="830" t="s">
        <v>376</v>
      </c>
      <c r="C8" s="881">
        <v>6818200</v>
      </c>
      <c r="D8" s="882">
        <v>6.4699810768966248E-2</v>
      </c>
      <c r="E8" s="881">
        <v>36800.206664051591</v>
      </c>
      <c r="F8" s="881">
        <v>0</v>
      </c>
      <c r="G8" s="881"/>
      <c r="H8" s="881">
        <v>0</v>
      </c>
      <c r="I8" s="839">
        <f t="shared" si="1"/>
        <v>6631400</v>
      </c>
      <c r="J8" s="847">
        <f t="shared" si="2"/>
        <v>6.2927213213652106E-2</v>
      </c>
      <c r="K8" s="839">
        <f t="shared" si="3"/>
        <v>35791.981823940587</v>
      </c>
      <c r="L8" s="839">
        <f t="shared" si="4"/>
        <v>0</v>
      </c>
      <c r="M8" s="839">
        <f t="shared" si="5"/>
        <v>0</v>
      </c>
      <c r="N8" s="839">
        <f t="shared" si="6"/>
        <v>0</v>
      </c>
    </row>
    <row r="9" spans="2:15">
      <c r="B9" s="831" t="s">
        <v>1063</v>
      </c>
      <c r="C9" s="884">
        <v>6818200</v>
      </c>
      <c r="D9" s="885"/>
      <c r="E9" s="886">
        <v>34483.304775251243</v>
      </c>
      <c r="F9" s="884">
        <v>0</v>
      </c>
      <c r="G9" s="887"/>
      <c r="H9" s="886">
        <v>0</v>
      </c>
      <c r="I9" s="840">
        <f t="shared" si="1"/>
        <v>6631400</v>
      </c>
      <c r="J9" s="849">
        <f t="shared" si="2"/>
        <v>0</v>
      </c>
      <c r="K9" s="859">
        <f t="shared" si="3"/>
        <v>33538.556699216962</v>
      </c>
      <c r="L9" s="840">
        <f t="shared" si="4"/>
        <v>0</v>
      </c>
      <c r="M9" s="870">
        <f t="shared" si="5"/>
        <v>0</v>
      </c>
      <c r="N9" s="859">
        <f t="shared" si="6"/>
        <v>0</v>
      </c>
    </row>
    <row r="10" spans="2:15">
      <c r="B10" s="831" t="s">
        <v>1064</v>
      </c>
      <c r="C10" s="884">
        <v>6818200</v>
      </c>
      <c r="D10" s="885"/>
      <c r="E10" s="886">
        <v>2316.9018888003466</v>
      </c>
      <c r="F10" s="884">
        <v>0</v>
      </c>
      <c r="G10" s="887"/>
      <c r="H10" s="886">
        <v>0</v>
      </c>
      <c r="I10" s="840">
        <f t="shared" si="1"/>
        <v>6631400</v>
      </c>
      <c r="J10" s="849">
        <f t="shared" si="2"/>
        <v>0</v>
      </c>
      <c r="K10" s="859">
        <f t="shared" si="3"/>
        <v>2253.4251247236248</v>
      </c>
      <c r="L10" s="840">
        <f t="shared" si="4"/>
        <v>0</v>
      </c>
      <c r="M10" s="870">
        <f t="shared" si="5"/>
        <v>0</v>
      </c>
      <c r="N10" s="859">
        <f t="shared" si="6"/>
        <v>0</v>
      </c>
    </row>
    <row r="11" spans="2:15">
      <c r="B11" s="832" t="s">
        <v>1065</v>
      </c>
      <c r="C11" s="888">
        <v>6071000</v>
      </c>
      <c r="D11" s="889"/>
      <c r="E11" s="890">
        <v>14496.776248131882</v>
      </c>
      <c r="F11" s="888">
        <v>0</v>
      </c>
      <c r="G11" s="891"/>
      <c r="H11" s="890">
        <v>0</v>
      </c>
      <c r="I11" s="841">
        <f t="shared" si="1"/>
        <v>5904671.2328767125</v>
      </c>
      <c r="J11" s="850">
        <f t="shared" si="2"/>
        <v>0</v>
      </c>
      <c r="K11" s="860">
        <f t="shared" si="3"/>
        <v>14099.604296128269</v>
      </c>
      <c r="L11" s="841">
        <f t="shared" si="4"/>
        <v>0</v>
      </c>
      <c r="M11" s="871">
        <f t="shared" si="5"/>
        <v>0</v>
      </c>
      <c r="N11" s="860">
        <f t="shared" si="6"/>
        <v>0</v>
      </c>
    </row>
    <row r="12" spans="2:15">
      <c r="B12" s="831" t="s">
        <v>1008</v>
      </c>
      <c r="C12" s="884">
        <v>2914080</v>
      </c>
      <c r="D12" s="892">
        <v>1.1001210133110284E-4</v>
      </c>
      <c r="E12" s="893">
        <v>173.87137585127476</v>
      </c>
      <c r="F12" s="884">
        <v>0</v>
      </c>
      <c r="G12" s="887"/>
      <c r="H12" s="886">
        <v>0</v>
      </c>
      <c r="I12" s="840">
        <f t="shared" si="1"/>
        <v>2834242.1917808219</v>
      </c>
      <c r="J12" s="851">
        <f t="shared" si="2"/>
        <v>1.0699807115764796E-4</v>
      </c>
      <c r="K12" s="861">
        <f t="shared" si="3"/>
        <v>169.10777651288367</v>
      </c>
      <c r="L12" s="840">
        <f t="shared" si="4"/>
        <v>0</v>
      </c>
      <c r="M12" s="870">
        <f t="shared" si="5"/>
        <v>0</v>
      </c>
      <c r="N12" s="859">
        <f t="shared" si="6"/>
        <v>0</v>
      </c>
    </row>
    <row r="13" spans="2:15">
      <c r="B13" s="831" t="s">
        <v>1066</v>
      </c>
      <c r="C13" s="884">
        <v>3156920</v>
      </c>
      <c r="D13" s="892">
        <v>8.3652971157583966E-3</v>
      </c>
      <c r="E13" s="893">
        <v>14322.904872280607</v>
      </c>
      <c r="F13" s="884">
        <v>0</v>
      </c>
      <c r="G13" s="887"/>
      <c r="H13" s="886">
        <v>0</v>
      </c>
      <c r="I13" s="840">
        <f t="shared" si="1"/>
        <v>3070429.0410958906</v>
      </c>
      <c r="J13" s="851">
        <f t="shared" si="2"/>
        <v>8.1361108934088523E-3</v>
      </c>
      <c r="K13" s="861">
        <f t="shared" si="3"/>
        <v>13930.496519615384</v>
      </c>
      <c r="L13" s="840">
        <f t="shared" si="4"/>
        <v>0</v>
      </c>
      <c r="M13" s="870">
        <f t="shared" si="5"/>
        <v>0</v>
      </c>
      <c r="N13" s="859">
        <f t="shared" si="6"/>
        <v>0</v>
      </c>
    </row>
    <row r="14" spans="2:15">
      <c r="B14" s="833" t="s">
        <v>1067</v>
      </c>
      <c r="C14" s="894">
        <v>0</v>
      </c>
      <c r="D14" s="895">
        <v>2.2048506714771321E-3</v>
      </c>
      <c r="E14" s="896">
        <v>0</v>
      </c>
      <c r="F14" s="894">
        <v>0</v>
      </c>
      <c r="G14" s="897"/>
      <c r="H14" s="898">
        <v>0</v>
      </c>
      <c r="I14" s="842">
        <f t="shared" si="1"/>
        <v>0</v>
      </c>
      <c r="J14" s="852">
        <f t="shared" si="2"/>
        <v>2.1444438037654299E-3</v>
      </c>
      <c r="K14" s="862">
        <f t="shared" si="3"/>
        <v>0</v>
      </c>
      <c r="L14" s="842">
        <f t="shared" si="4"/>
        <v>0</v>
      </c>
      <c r="M14" s="853">
        <f t="shared" si="5"/>
        <v>0</v>
      </c>
      <c r="N14" s="872">
        <f t="shared" si="6"/>
        <v>0</v>
      </c>
    </row>
    <row r="15" spans="2:15">
      <c r="B15" s="834" t="s">
        <v>1068</v>
      </c>
      <c r="C15" s="888">
        <v>0</v>
      </c>
      <c r="D15" s="889"/>
      <c r="E15" s="890">
        <v>0</v>
      </c>
      <c r="F15" s="888">
        <v>0</v>
      </c>
      <c r="G15" s="889"/>
      <c r="H15" s="890">
        <v>0</v>
      </c>
      <c r="I15" s="841">
        <f t="shared" si="1"/>
        <v>0</v>
      </c>
      <c r="J15" s="850">
        <f t="shared" si="2"/>
        <v>0</v>
      </c>
      <c r="K15" s="860">
        <f t="shared" si="3"/>
        <v>0</v>
      </c>
      <c r="L15" s="841">
        <f t="shared" si="4"/>
        <v>0</v>
      </c>
      <c r="M15" s="850">
        <f t="shared" si="5"/>
        <v>0</v>
      </c>
      <c r="N15" s="860">
        <f t="shared" si="6"/>
        <v>0</v>
      </c>
    </row>
    <row r="16" spans="2:15">
      <c r="B16" s="831" t="s">
        <v>1069</v>
      </c>
      <c r="C16" s="884">
        <v>0</v>
      </c>
      <c r="D16" s="885">
        <v>4.7243137605381897E-3</v>
      </c>
      <c r="E16" s="886">
        <v>0</v>
      </c>
      <c r="F16" s="884">
        <v>0</v>
      </c>
      <c r="G16" s="899"/>
      <c r="H16" s="886">
        <v>0</v>
      </c>
      <c r="I16" s="840">
        <f t="shared" si="1"/>
        <v>0</v>
      </c>
      <c r="J16" s="849">
        <f t="shared" si="2"/>
        <v>4.5948805068248147E-3</v>
      </c>
      <c r="K16" s="859">
        <f t="shared" si="3"/>
        <v>0</v>
      </c>
      <c r="L16" s="840">
        <f t="shared" si="4"/>
        <v>0</v>
      </c>
      <c r="M16" s="854">
        <f t="shared" si="5"/>
        <v>0</v>
      </c>
      <c r="N16" s="859">
        <f t="shared" si="6"/>
        <v>0</v>
      </c>
    </row>
    <row r="17" spans="2:14">
      <c r="B17" s="831" t="s">
        <v>1070</v>
      </c>
      <c r="C17" s="884">
        <v>0</v>
      </c>
      <c r="D17" s="885"/>
      <c r="E17" s="886">
        <v>0</v>
      </c>
      <c r="F17" s="884">
        <v>0</v>
      </c>
      <c r="G17" s="899"/>
      <c r="H17" s="886">
        <v>0</v>
      </c>
      <c r="I17" s="840">
        <f t="shared" si="1"/>
        <v>0</v>
      </c>
      <c r="J17" s="849">
        <f t="shared" si="2"/>
        <v>0</v>
      </c>
      <c r="K17" s="859">
        <f t="shared" si="3"/>
        <v>0</v>
      </c>
      <c r="L17" s="840">
        <f t="shared" si="4"/>
        <v>0</v>
      </c>
      <c r="M17" s="854">
        <f t="shared" si="5"/>
        <v>0</v>
      </c>
      <c r="N17" s="859">
        <f t="shared" si="6"/>
        <v>0</v>
      </c>
    </row>
    <row r="18" spans="2:14">
      <c r="B18" s="833" t="s">
        <v>1071</v>
      </c>
      <c r="C18" s="894">
        <v>0</v>
      </c>
      <c r="D18" s="897"/>
      <c r="E18" s="900">
        <v>0</v>
      </c>
      <c r="F18" s="894">
        <v>0</v>
      </c>
      <c r="G18" s="897"/>
      <c r="H18" s="898">
        <v>0</v>
      </c>
      <c r="I18" s="842">
        <f t="shared" si="1"/>
        <v>0</v>
      </c>
      <c r="J18" s="853">
        <f t="shared" si="2"/>
        <v>0</v>
      </c>
      <c r="K18" s="863">
        <f t="shared" si="3"/>
        <v>0</v>
      </c>
      <c r="L18" s="842">
        <f t="shared" si="4"/>
        <v>0</v>
      </c>
      <c r="M18" s="853">
        <f t="shared" si="5"/>
        <v>0</v>
      </c>
      <c r="N18" s="872">
        <f t="shared" si="6"/>
        <v>0</v>
      </c>
    </row>
    <row r="19" spans="2:14">
      <c r="B19" s="834" t="s">
        <v>1072</v>
      </c>
      <c r="C19" s="888">
        <v>3001172.1984138261</v>
      </c>
      <c r="D19" s="889"/>
      <c r="E19" s="890">
        <v>235355.16979005496</v>
      </c>
      <c r="F19" s="888">
        <v>6002344.3968276521</v>
      </c>
      <c r="G19" s="889"/>
      <c r="H19" s="890">
        <v>340145.72726988618</v>
      </c>
      <c r="I19" s="841">
        <f t="shared" si="1"/>
        <v>2918948.302566872</v>
      </c>
      <c r="J19" s="850">
        <f t="shared" si="2"/>
        <v>0</v>
      </c>
      <c r="K19" s="860">
        <f t="shared" si="3"/>
        <v>228907.08294649181</v>
      </c>
      <c r="L19" s="841">
        <f t="shared" si="4"/>
        <v>5837896.605133744</v>
      </c>
      <c r="M19" s="850">
        <f t="shared" si="5"/>
        <v>0</v>
      </c>
      <c r="N19" s="860">
        <f t="shared" si="6"/>
        <v>330826.66624879342</v>
      </c>
    </row>
    <row r="20" spans="2:14">
      <c r="B20" s="831" t="s">
        <v>1073</v>
      </c>
      <c r="C20" s="884">
        <v>2913759.4159357534</v>
      </c>
      <c r="D20" s="899"/>
      <c r="E20" s="886">
        <v>233733.43133788116</v>
      </c>
      <c r="F20" s="884">
        <v>0</v>
      </c>
      <c r="G20" s="899"/>
      <c r="H20" s="901">
        <v>0</v>
      </c>
      <c r="I20" s="840">
        <f>C20*$O$2</f>
        <v>2833930.3908416233</v>
      </c>
      <c r="J20" s="854">
        <f t="shared" si="2"/>
        <v>0</v>
      </c>
      <c r="K20" s="859">
        <f t="shared" si="3"/>
        <v>227329.77568478853</v>
      </c>
      <c r="L20" s="840">
        <f t="shared" si="4"/>
        <v>0</v>
      </c>
      <c r="M20" s="854">
        <f t="shared" si="5"/>
        <v>0</v>
      </c>
      <c r="N20" s="864">
        <f t="shared" si="6"/>
        <v>0</v>
      </c>
    </row>
    <row r="21" spans="2:14">
      <c r="B21" s="831" t="s">
        <v>1074</v>
      </c>
      <c r="C21" s="884">
        <v>87412.782478072593</v>
      </c>
      <c r="D21" s="899"/>
      <c r="E21" s="886">
        <v>1621.7384521738113</v>
      </c>
      <c r="F21" s="884">
        <v>0</v>
      </c>
      <c r="G21" s="899"/>
      <c r="H21" s="886">
        <v>0</v>
      </c>
      <c r="I21" s="840">
        <f t="shared" si="1"/>
        <v>85017.91172524869</v>
      </c>
      <c r="J21" s="854">
        <f t="shared" si="2"/>
        <v>0</v>
      </c>
      <c r="K21" s="859">
        <f t="shared" si="3"/>
        <v>1577.307261703296</v>
      </c>
      <c r="L21" s="840">
        <f t="shared" si="4"/>
        <v>0</v>
      </c>
      <c r="M21" s="854">
        <f t="shared" si="5"/>
        <v>0</v>
      </c>
      <c r="N21" s="859">
        <f t="shared" si="6"/>
        <v>0</v>
      </c>
    </row>
    <row r="22" spans="2:14">
      <c r="B22" s="831" t="s">
        <v>1075</v>
      </c>
      <c r="C22" s="884">
        <v>0</v>
      </c>
      <c r="D22" s="899"/>
      <c r="E22" s="901">
        <v>0</v>
      </c>
      <c r="F22" s="884">
        <v>3001172.1984138261</v>
      </c>
      <c r="G22" s="899"/>
      <c r="H22" s="886">
        <v>55679.686857967521</v>
      </c>
      <c r="I22" s="840">
        <f t="shared" si="1"/>
        <v>0</v>
      </c>
      <c r="J22" s="854">
        <f t="shared" si="2"/>
        <v>0</v>
      </c>
      <c r="K22" s="864">
        <f t="shared" si="3"/>
        <v>0</v>
      </c>
      <c r="L22" s="840">
        <f t="shared" si="4"/>
        <v>2918948.302566872</v>
      </c>
      <c r="M22" s="854">
        <f t="shared" si="5"/>
        <v>0</v>
      </c>
      <c r="N22" s="859">
        <f t="shared" si="6"/>
        <v>54154.215985146497</v>
      </c>
    </row>
    <row r="23" spans="2:14">
      <c r="B23" s="833" t="s">
        <v>1076</v>
      </c>
      <c r="C23" s="894">
        <v>0</v>
      </c>
      <c r="D23" s="897"/>
      <c r="E23" s="900">
        <v>0</v>
      </c>
      <c r="F23" s="894">
        <v>3001172.1984138261</v>
      </c>
      <c r="G23" s="897"/>
      <c r="H23" s="902">
        <v>284466.04041191866</v>
      </c>
      <c r="I23" s="842">
        <f t="shared" si="1"/>
        <v>0</v>
      </c>
      <c r="J23" s="853">
        <f t="shared" si="2"/>
        <v>0</v>
      </c>
      <c r="K23" s="863">
        <f t="shared" si="3"/>
        <v>0</v>
      </c>
      <c r="L23" s="842">
        <f t="shared" si="4"/>
        <v>2918948.302566872</v>
      </c>
      <c r="M23" s="853">
        <f t="shared" si="5"/>
        <v>0</v>
      </c>
      <c r="N23" s="875">
        <f>H23*$O$2</f>
        <v>276672.4502636469</v>
      </c>
    </row>
    <row r="24" spans="2:14">
      <c r="B24" s="835" t="s">
        <v>1077</v>
      </c>
      <c r="C24" s="903">
        <v>3224426.7690162002</v>
      </c>
      <c r="D24" s="904"/>
      <c r="E24" s="905">
        <v>252863.03468307844</v>
      </c>
      <c r="F24" s="903">
        <v>3224426.7690162002</v>
      </c>
      <c r="G24" s="904"/>
      <c r="H24" s="905">
        <v>365448.86992994609</v>
      </c>
      <c r="I24" s="843">
        <f t="shared" si="1"/>
        <v>3136086.3095910987</v>
      </c>
      <c r="J24" s="855">
        <f t="shared" si="2"/>
        <v>0</v>
      </c>
      <c r="K24" s="865">
        <f t="shared" si="3"/>
        <v>245935.28030819958</v>
      </c>
      <c r="L24" s="843">
        <f t="shared" si="4"/>
        <v>3136086.3095910987</v>
      </c>
      <c r="M24" s="855">
        <f t="shared" si="5"/>
        <v>0</v>
      </c>
      <c r="N24" s="865">
        <f t="shared" si="6"/>
        <v>355436.57212364621</v>
      </c>
    </row>
    <row r="25" spans="2:14">
      <c r="B25" s="831" t="s">
        <v>1078</v>
      </c>
      <c r="C25" s="884">
        <v>3130511.4262293205</v>
      </c>
      <c r="D25" s="899"/>
      <c r="E25" s="886">
        <v>251120.65652820421</v>
      </c>
      <c r="F25" s="906">
        <v>0</v>
      </c>
      <c r="G25" s="899"/>
      <c r="H25" s="901">
        <v>0</v>
      </c>
      <c r="I25" s="840">
        <f t="shared" si="1"/>
        <v>3044743.9898942704</v>
      </c>
      <c r="J25" s="854">
        <f t="shared" si="2"/>
        <v>0</v>
      </c>
      <c r="K25" s="859">
        <f t="shared" si="3"/>
        <v>244240.63854113012</v>
      </c>
      <c r="L25" s="868">
        <f t="shared" si="4"/>
        <v>0</v>
      </c>
      <c r="M25" s="854">
        <f t="shared" si="5"/>
        <v>0</v>
      </c>
      <c r="N25" s="864">
        <f t="shared" si="6"/>
        <v>0</v>
      </c>
    </row>
    <row r="26" spans="2:14">
      <c r="B26" s="928" t="s">
        <v>1079</v>
      </c>
      <c r="C26" s="884">
        <v>93915.342786879613</v>
      </c>
      <c r="D26" s="899"/>
      <c r="E26" s="886">
        <v>1742.3781548742356</v>
      </c>
      <c r="F26" s="884">
        <v>0</v>
      </c>
      <c r="G26" s="899"/>
      <c r="H26" s="901">
        <v>0</v>
      </c>
      <c r="I26" s="840">
        <f t="shared" si="1"/>
        <v>91342.319696828112</v>
      </c>
      <c r="J26" s="854">
        <f t="shared" si="2"/>
        <v>0</v>
      </c>
      <c r="K26" s="859">
        <f>E26*$O$2</f>
        <v>1694.641767069462</v>
      </c>
      <c r="L26" s="840">
        <f t="shared" si="4"/>
        <v>0</v>
      </c>
      <c r="M26" s="854">
        <f t="shared" si="5"/>
        <v>0</v>
      </c>
      <c r="N26" s="864">
        <f t="shared" si="6"/>
        <v>0</v>
      </c>
    </row>
    <row r="27" spans="2:14">
      <c r="B27" s="831" t="s">
        <v>1080</v>
      </c>
      <c r="C27" s="884">
        <v>0</v>
      </c>
      <c r="D27" s="899"/>
      <c r="E27" s="901">
        <v>0</v>
      </c>
      <c r="F27" s="884">
        <v>3224426.7690162002</v>
      </c>
      <c r="G27" s="899"/>
      <c r="H27" s="886">
        <v>59821.649984015428</v>
      </c>
      <c r="I27" s="840">
        <f t="shared" si="1"/>
        <v>0</v>
      </c>
      <c r="J27" s="854">
        <f t="shared" si="2"/>
        <v>0</v>
      </c>
      <c r="K27" s="864">
        <f t="shared" si="3"/>
        <v>0</v>
      </c>
      <c r="L27" s="840">
        <f t="shared" si="4"/>
        <v>3136086.3095910987</v>
      </c>
      <c r="M27" s="854">
        <f t="shared" si="5"/>
        <v>0</v>
      </c>
      <c r="N27" s="859">
        <f t="shared" si="6"/>
        <v>58182.700669384867</v>
      </c>
    </row>
    <row r="28" spans="2:14" ht="15.75" thickBot="1">
      <c r="B28" s="836" t="s">
        <v>1081</v>
      </c>
      <c r="C28" s="907">
        <v>0</v>
      </c>
      <c r="D28" s="908"/>
      <c r="E28" s="909">
        <v>0</v>
      </c>
      <c r="F28" s="910">
        <v>3224426.7690162002</v>
      </c>
      <c r="G28" s="908"/>
      <c r="H28" s="911">
        <v>305627.21994593064</v>
      </c>
      <c r="I28" s="844">
        <f t="shared" si="1"/>
        <v>0</v>
      </c>
      <c r="J28" s="856">
        <f t="shared" si="2"/>
        <v>0</v>
      </c>
      <c r="K28" s="866">
        <f t="shared" si="3"/>
        <v>0</v>
      </c>
      <c r="L28" s="869">
        <f t="shared" si="4"/>
        <v>3136086.3095910987</v>
      </c>
      <c r="M28" s="856">
        <f t="shared" si="5"/>
        <v>0</v>
      </c>
      <c r="N28" s="873">
        <f t="shared" si="6"/>
        <v>297253.8714542613</v>
      </c>
    </row>
    <row r="29" spans="2:14" ht="15.75" thickTop="1">
      <c r="B29" s="837" t="s">
        <v>200</v>
      </c>
      <c r="C29" s="912"/>
      <c r="D29" s="913"/>
      <c r="E29" s="914">
        <v>608449.46277834265</v>
      </c>
      <c r="F29" s="912"/>
      <c r="G29" s="913"/>
      <c r="H29" s="914">
        <v>712689.96911833156</v>
      </c>
      <c r="I29" s="845">
        <f t="shared" si="1"/>
        <v>0</v>
      </c>
      <c r="J29" s="857">
        <f t="shared" si="2"/>
        <v>0</v>
      </c>
      <c r="K29" s="867">
        <f t="shared" si="3"/>
        <v>591779.61448304565</v>
      </c>
      <c r="L29" s="845">
        <f t="shared" si="4"/>
        <v>0</v>
      </c>
      <c r="M29" s="857">
        <f t="shared" si="5"/>
        <v>0</v>
      </c>
      <c r="N29" s="867">
        <f t="shared" si="6"/>
        <v>693164.21653974708</v>
      </c>
    </row>
  </sheetData>
  <mergeCells count="6">
    <mergeCell ref="I3:K3"/>
    <mergeCell ref="L3:N3"/>
    <mergeCell ref="I2:N2"/>
    <mergeCell ref="B3:B4"/>
    <mergeCell ref="C3:E3"/>
    <mergeCell ref="F3:H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B1:AN331"/>
  <sheetViews>
    <sheetView topLeftCell="B1" workbookViewId="0">
      <selection activeCell="I334" sqref="I334"/>
    </sheetView>
  </sheetViews>
  <sheetFormatPr defaultColWidth="8" defaultRowHeight="12.75"/>
  <cols>
    <col min="1" max="1" width="8" style="492"/>
    <col min="2" max="2" width="31" style="496" customWidth="1"/>
    <col min="3" max="3" width="13.28515625" style="492" customWidth="1"/>
    <col min="4" max="7" width="13" style="492" customWidth="1"/>
    <col min="8" max="8" width="12.140625" style="977" customWidth="1"/>
    <col min="9" max="9" width="10.140625" style="492" customWidth="1"/>
    <col min="10" max="10" width="10.5703125" style="492" customWidth="1"/>
    <col min="11" max="12" width="10.140625" style="492" customWidth="1"/>
    <col min="13" max="13" width="10.85546875" style="492" bestFit="1" customWidth="1"/>
    <col min="14" max="14" width="8.42578125" style="492" bestFit="1" customWidth="1"/>
    <col min="15" max="15" width="10" style="492" customWidth="1"/>
    <col min="16" max="16" width="12.7109375" style="492" bestFit="1" customWidth="1"/>
    <col min="17" max="18" width="9.85546875" style="492" customWidth="1"/>
    <col min="19" max="19" width="11.5703125" style="492" customWidth="1"/>
    <col min="20" max="21" width="9.85546875" style="492" customWidth="1"/>
    <col min="22" max="22" width="12" style="492" customWidth="1"/>
    <col min="23" max="23" width="12.5703125" style="492" customWidth="1"/>
    <col min="24" max="16384" width="8" style="492"/>
  </cols>
  <sheetData>
    <row r="1" spans="2:6" ht="15.75">
      <c r="B1" s="491" t="s">
        <v>808</v>
      </c>
    </row>
    <row r="3" spans="2:6" ht="45" customHeight="1" thickBot="1">
      <c r="B3" s="1046" t="s">
        <v>851</v>
      </c>
      <c r="C3" s="185" t="s">
        <v>807</v>
      </c>
      <c r="D3" s="185" t="s">
        <v>806</v>
      </c>
      <c r="E3" s="185" t="s">
        <v>1109</v>
      </c>
      <c r="F3" s="185" t="s">
        <v>1110</v>
      </c>
    </row>
    <row r="4" spans="2:6" ht="13.5" customHeight="1" thickTop="1">
      <c r="B4" s="1047" t="s">
        <v>805</v>
      </c>
      <c r="C4" s="929">
        <f>O105+T105</f>
        <v>1787.814221021921</v>
      </c>
      <c r="D4" s="1119">
        <f>P105+U105</f>
        <v>0.89294463172119432</v>
      </c>
      <c r="E4" s="1122">
        <f>Q105+V105</f>
        <v>1.2716631162346309E-2</v>
      </c>
      <c r="F4" s="930">
        <f>C4+D4*CH4_GWP+E4*N2O_GWP</f>
        <v>1813.92739290133</v>
      </c>
    </row>
    <row r="5" spans="2:6" ht="13.5" customHeight="1">
      <c r="B5" s="1047" t="s">
        <v>804</v>
      </c>
      <c r="C5" s="929">
        <f>K220+P220</f>
        <v>3.2463388867610146</v>
      </c>
      <c r="D5" s="1119">
        <f>L220+Q220</f>
        <v>3.9814884097693444E-3</v>
      </c>
      <c r="E5" s="1122">
        <f>M220+R220</f>
        <v>5.7965032249839246E-6</v>
      </c>
      <c r="F5" s="930">
        <f>C5+D5*CH4_GWP+E5*N2O_GWP</f>
        <v>3.3476034549662934</v>
      </c>
    </row>
    <row r="6" spans="2:6" ht="13.5" customHeight="1">
      <c r="B6" s="1047" t="s">
        <v>803</v>
      </c>
      <c r="C6" s="929"/>
      <c r="D6" s="1120"/>
      <c r="E6" s="1123"/>
      <c r="F6" s="930">
        <f>C6+D6*CH4_GWP+E6*N2O_GWP</f>
        <v>0</v>
      </c>
    </row>
    <row r="7" spans="2:6" ht="13.5" customHeight="1">
      <c r="B7" s="1047" t="s">
        <v>802</v>
      </c>
      <c r="C7" s="929">
        <f>SUM(C4:C6)</f>
        <v>1791.0605599086821</v>
      </c>
      <c r="D7" s="1119">
        <f t="shared" ref="D7:E7" si="0">SUM(D4:D6)</f>
        <v>0.89692612013096362</v>
      </c>
      <c r="E7" s="1122">
        <f t="shared" si="0"/>
        <v>1.2722427665571292E-2</v>
      </c>
      <c r="F7" s="929">
        <f>SUM(F4:F6)</f>
        <v>1817.2749963562962</v>
      </c>
    </row>
    <row r="8" spans="2:6" ht="12.75" customHeight="1">
      <c r="B8" s="1047"/>
      <c r="C8" s="929"/>
      <c r="D8" s="1120"/>
      <c r="E8" s="1123"/>
      <c r="F8" s="930"/>
    </row>
    <row r="9" spans="2:6" ht="13.5" customHeight="1">
      <c r="B9" s="1047" t="s">
        <v>801</v>
      </c>
      <c r="C9" s="929">
        <f>O155+T155</f>
        <v>3596.6934790918413</v>
      </c>
      <c r="D9" s="1119">
        <f>P155+U155</f>
        <v>1.9131725821779468</v>
      </c>
      <c r="E9" s="1122">
        <f>Q155+V155</f>
        <v>3.2390116514823625E-2</v>
      </c>
      <c r="F9" s="930">
        <f>C9+D9*CH4_GWP+E9*N2O_GWP</f>
        <v>3654.1750483677074</v>
      </c>
    </row>
    <row r="10" spans="2:6" ht="13.5" customHeight="1">
      <c r="B10" s="1047" t="s">
        <v>800</v>
      </c>
      <c r="C10" s="929">
        <f>K234+P234</f>
        <v>289.20716123503098</v>
      </c>
      <c r="D10" s="1119">
        <f t="shared" ref="D10:E10" si="1">L234+Q234</f>
        <v>0.35815212410580161</v>
      </c>
      <c r="E10" s="1122">
        <f t="shared" si="1"/>
        <v>9.4471870634978909E-4</v>
      </c>
      <c r="F10" s="930">
        <f>C10+D10*CH4_GWP+E10*N2O_GWP</f>
        <v>298.44249051216826</v>
      </c>
    </row>
    <row r="11" spans="2:6" ht="13.5" customHeight="1">
      <c r="B11" s="1047" t="s">
        <v>799</v>
      </c>
      <c r="C11" s="929"/>
      <c r="D11" s="1120"/>
      <c r="E11" s="1123"/>
      <c r="F11" s="930">
        <f>C11+D11*CH4_GWP+E11*N2O_GWP</f>
        <v>0</v>
      </c>
    </row>
    <row r="12" spans="2:6" ht="13.5" customHeight="1">
      <c r="B12" s="1047" t="s">
        <v>798</v>
      </c>
      <c r="C12" s="929">
        <f>SUM(C9:C11)</f>
        <v>3885.9006403268722</v>
      </c>
      <c r="D12" s="1119">
        <f t="shared" ref="D12" si="2">SUM(D9:D11)</f>
        <v>2.2713247062837483</v>
      </c>
      <c r="E12" s="1122">
        <f t="shared" ref="E12" si="3">SUM(E9:E11)</f>
        <v>3.3334835221173413E-2</v>
      </c>
      <c r="F12" s="929">
        <f t="shared" ref="F12" si="4">SUM(F9:F11)</f>
        <v>3952.6175388798756</v>
      </c>
    </row>
    <row r="13" spans="2:6" ht="12.75" customHeight="1">
      <c r="B13" s="1047"/>
      <c r="C13" s="929"/>
      <c r="D13" s="1120"/>
      <c r="E13" s="1123"/>
      <c r="F13" s="930"/>
    </row>
    <row r="14" spans="2:6" ht="13.5" customHeight="1">
      <c r="B14" s="1047" t="s">
        <v>797</v>
      </c>
      <c r="C14" s="929">
        <f>O176+T176</f>
        <v>2802.755047981278</v>
      </c>
      <c r="D14" s="1119">
        <f>P176+U176</f>
        <v>1.6368844797483864</v>
      </c>
      <c r="E14" s="1122">
        <f>Q176+V176</f>
        <v>2.8225889522987078E-2</v>
      </c>
      <c r="F14" s="930">
        <f>C14+D14*CH4_GWP+E14*N2O_GWP</f>
        <v>2852.088475052838</v>
      </c>
    </row>
    <row r="15" spans="2:6" ht="13.5" customHeight="1">
      <c r="B15" s="1047" t="s">
        <v>796</v>
      </c>
      <c r="C15" s="929">
        <f>K248+P248</f>
        <v>392.16071811446744</v>
      </c>
      <c r="D15" s="1119">
        <f t="shared" ref="D15:E15" si="5">L248+Q248</f>
        <v>0.48605321591227679</v>
      </c>
      <c r="E15" s="1122">
        <f t="shared" si="5"/>
        <v>1.3385878101261563E-3</v>
      </c>
      <c r="F15" s="930">
        <f>C15+D15*CH4_GWP+E15*N2O_GWP</f>
        <v>404.71094767969197</v>
      </c>
    </row>
    <row r="16" spans="2:6" ht="13.5" customHeight="1">
      <c r="B16" s="1047" t="s">
        <v>795</v>
      </c>
      <c r="C16" s="929"/>
      <c r="D16" s="1120"/>
      <c r="E16" s="1123"/>
      <c r="F16" s="930">
        <f>C16+D16*CH4_GWP+E16*N2O_GWP</f>
        <v>0</v>
      </c>
    </row>
    <row r="17" spans="2:6" ht="13.5" customHeight="1">
      <c r="B17" s="1047" t="s">
        <v>794</v>
      </c>
      <c r="C17" s="929">
        <f>SUM(C14:C16)</f>
        <v>3194.9157660957453</v>
      </c>
      <c r="D17" s="1119">
        <f t="shared" ref="D17" si="6">SUM(D14:D16)</f>
        <v>2.1229376956606631</v>
      </c>
      <c r="E17" s="1122">
        <f t="shared" ref="E17" si="7">SUM(E14:E16)</f>
        <v>2.9564477333113234E-2</v>
      </c>
      <c r="F17" s="929">
        <f t="shared" ref="F17" si="8">SUM(F14:F16)</f>
        <v>3256.7994227325298</v>
      </c>
    </row>
    <row r="18" spans="2:6" ht="12.75" customHeight="1">
      <c r="B18" s="1047"/>
      <c r="C18" s="929"/>
      <c r="D18" s="1120"/>
      <c r="E18" s="1123"/>
      <c r="F18" s="930"/>
    </row>
    <row r="19" spans="2:6" ht="13.5" customHeight="1">
      <c r="B19" s="1047" t="s">
        <v>793</v>
      </c>
      <c r="C19" s="929">
        <f>O197+T197</f>
        <v>1634.4465782228619</v>
      </c>
      <c r="D19" s="1119">
        <f>P197+U197</f>
        <v>0.95792225567274536</v>
      </c>
      <c r="E19" s="1122">
        <f>Q197+V197</f>
        <v>1.8100533463342464E-2</v>
      </c>
      <c r="F19" s="930">
        <f>C19+D19*CH4_GWP+E19*N2O_GWP</f>
        <v>1663.7885935867566</v>
      </c>
    </row>
    <row r="20" spans="2:6" ht="13.5" customHeight="1">
      <c r="B20" s="1047" t="s">
        <v>792</v>
      </c>
      <c r="C20" s="929">
        <f>K262+P262</f>
        <v>1.9190912658410104</v>
      </c>
      <c r="D20" s="1119">
        <f t="shared" ref="D20:E20" si="9">L262+Q262</f>
        <v>2.3588801924822006E-3</v>
      </c>
      <c r="E20" s="1122">
        <f t="shared" si="9"/>
        <v>3.4595127557843977E-6</v>
      </c>
      <c r="F20" s="930">
        <f>C20+D20*CH4_GWP+E20*N2O_GWP</f>
        <v>1.9790942054542893</v>
      </c>
    </row>
    <row r="21" spans="2:6" ht="13.5" customHeight="1">
      <c r="B21" s="1047" t="s">
        <v>791</v>
      </c>
      <c r="C21" s="929"/>
      <c r="D21" s="1120"/>
      <c r="E21" s="1123"/>
      <c r="F21" s="930">
        <f>C21+D21*CH4_GWP+E21*N2O_GWP</f>
        <v>0</v>
      </c>
    </row>
    <row r="22" spans="2:6" ht="13.5" customHeight="1">
      <c r="B22" s="1047" t="s">
        <v>790</v>
      </c>
      <c r="C22" s="929">
        <f>SUM(C19:C21)</f>
        <v>1636.3656694887029</v>
      </c>
      <c r="D22" s="1119">
        <f t="shared" ref="D22" si="10">SUM(D19:D21)</f>
        <v>0.96028113586522756</v>
      </c>
      <c r="E22" s="1122">
        <f t="shared" ref="E22" si="11">SUM(E19:E21)</f>
        <v>1.8103992976098247E-2</v>
      </c>
      <c r="F22" s="929">
        <f t="shared" ref="F22" si="12">SUM(F19:F21)</f>
        <v>1665.7676877922108</v>
      </c>
    </row>
    <row r="23" spans="2:6" ht="13.5" customHeight="1" thickBot="1">
      <c r="B23" s="1048" t="s">
        <v>789</v>
      </c>
      <c r="C23" s="931">
        <f>C7+C12+C17+C22</f>
        <v>10508.242635820003</v>
      </c>
      <c r="D23" s="1121">
        <f t="shared" ref="D23:F23" si="13">D7+D12+D17+D22</f>
        <v>6.2514696579406026</v>
      </c>
      <c r="E23" s="1124">
        <f t="shared" si="13"/>
        <v>9.3725733195956187E-2</v>
      </c>
      <c r="F23" s="931">
        <f t="shared" si="13"/>
        <v>10692.459645760913</v>
      </c>
    </row>
    <row r="24" spans="2:6" ht="13.5" customHeight="1" thickTop="1">
      <c r="B24" s="1049"/>
      <c r="C24" s="566"/>
      <c r="D24" s="566"/>
      <c r="E24" s="1125"/>
      <c r="F24" s="566"/>
    </row>
    <row r="25" spans="2:6" ht="13.5" customHeight="1">
      <c r="B25" s="1049"/>
      <c r="C25" s="566"/>
      <c r="D25" s="566"/>
      <c r="E25" s="566"/>
      <c r="F25" s="566"/>
    </row>
    <row r="26" spans="2:6" ht="38.25" customHeight="1" thickBot="1">
      <c r="B26" s="1046" t="s">
        <v>850</v>
      </c>
      <c r="C26" s="185" t="s">
        <v>807</v>
      </c>
      <c r="D26" s="185" t="s">
        <v>806</v>
      </c>
      <c r="E26" s="185" t="s">
        <v>1109</v>
      </c>
      <c r="F26" s="185" t="s">
        <v>1110</v>
      </c>
    </row>
    <row r="27" spans="2:6" ht="13.5" customHeight="1" thickTop="1">
      <c r="B27" s="1047" t="s">
        <v>805</v>
      </c>
      <c r="C27" s="929">
        <f>O105</f>
        <v>1703.273065798094</v>
      </c>
      <c r="D27" s="1288">
        <f t="shared" ref="D27:E27" si="14">P105</f>
        <v>1.7791666257599998E-2</v>
      </c>
      <c r="E27" s="1288">
        <f t="shared" si="14"/>
        <v>1.1503948859999997E-2</v>
      </c>
      <c r="F27" s="930">
        <f>C27+D27*CH4_GWP+E27*N2O_GWP</f>
        <v>1707.1460342148139</v>
      </c>
    </row>
    <row r="28" spans="2:6" ht="13.5" customHeight="1">
      <c r="B28" s="1047" t="s">
        <v>804</v>
      </c>
      <c r="C28" s="929">
        <f>K220</f>
        <v>2.5528529921301377</v>
      </c>
      <c r="D28" s="1288">
        <f t="shared" ref="D28:E28" si="15">L220</f>
        <v>3.5364000000000009E-5</v>
      </c>
      <c r="E28" s="1288">
        <f t="shared" si="15"/>
        <v>2.526E-6</v>
      </c>
      <c r="F28" s="930">
        <f>C28+D28*CH4_GWP+E28*N2O_GWP</f>
        <v>2.5544898401301377</v>
      </c>
    </row>
    <row r="29" spans="2:6" ht="13.5" customHeight="1">
      <c r="B29" s="1047" t="s">
        <v>803</v>
      </c>
      <c r="C29" s="929"/>
      <c r="D29" s="1289"/>
      <c r="E29" s="1289"/>
      <c r="F29" s="930">
        <f>C29+D29*CH4_GWP+E29*N2O_GWP</f>
        <v>0</v>
      </c>
    </row>
    <row r="30" spans="2:6" ht="13.5" customHeight="1">
      <c r="B30" s="1047" t="s">
        <v>802</v>
      </c>
      <c r="C30" s="929">
        <f>SUM(C27:C29)</f>
        <v>1705.825918790224</v>
      </c>
      <c r="D30" s="1288">
        <f t="shared" ref="D30:E30" si="16">SUM(D27:D29)</f>
        <v>1.7827030257599998E-2</v>
      </c>
      <c r="E30" s="1288">
        <f t="shared" si="16"/>
        <v>1.1506474859999996E-2</v>
      </c>
      <c r="F30" s="929">
        <f>SUM(F27:F29)</f>
        <v>1709.700524054944</v>
      </c>
    </row>
    <row r="31" spans="2:6" ht="13.5" customHeight="1">
      <c r="B31" s="1047"/>
      <c r="C31" s="929"/>
      <c r="D31" s="1289"/>
      <c r="E31" s="1289"/>
      <c r="F31" s="930"/>
    </row>
    <row r="32" spans="2:6" ht="13.5" customHeight="1">
      <c r="B32" s="1047" t="s">
        <v>801</v>
      </c>
      <c r="C32" s="929">
        <f>O155</f>
        <v>3416.5711533268213</v>
      </c>
      <c r="D32" s="1288">
        <f t="shared" ref="D32:E32" si="17">P155</f>
        <v>4.8582642259199997E-2</v>
      </c>
      <c r="E32" s="1288">
        <f t="shared" si="17"/>
        <v>2.9806390800000002E-2</v>
      </c>
      <c r="F32" s="930">
        <f>C32+D32*CH4_GWP+E32*N2O_GWP</f>
        <v>3426.6680238417016</v>
      </c>
    </row>
    <row r="33" spans="2:6" ht="13.5" customHeight="1">
      <c r="B33" s="1047" t="s">
        <v>800</v>
      </c>
      <c r="C33" s="929">
        <f>K234</f>
        <v>226.67523477803886</v>
      </c>
      <c r="D33" s="1288">
        <f t="shared" ref="D33:E33" si="18">L234</f>
        <v>2.3283599999999998E-3</v>
      </c>
      <c r="E33" s="1288">
        <f t="shared" si="18"/>
        <v>6.4981600000000011E-4</v>
      </c>
      <c r="F33" s="930">
        <f>C33+D33*CH4_GWP+E33*N2O_GWP</f>
        <v>226.92708894603885</v>
      </c>
    </row>
    <row r="34" spans="2:6" ht="13.5" customHeight="1">
      <c r="B34" s="1047" t="s">
        <v>799</v>
      </c>
      <c r="C34" s="929"/>
      <c r="D34" s="1289"/>
      <c r="E34" s="1289"/>
      <c r="F34" s="930">
        <f>C34+D34*CH4_GWP+E34*N2O_GWP</f>
        <v>0</v>
      </c>
    </row>
    <row r="35" spans="2:6" ht="13.5" customHeight="1">
      <c r="B35" s="1047" t="s">
        <v>798</v>
      </c>
      <c r="C35" s="929">
        <f>SUM(C32:C34)</f>
        <v>3643.2463881048602</v>
      </c>
      <c r="D35" s="1288">
        <f t="shared" ref="D35:F35" si="19">SUM(D32:D34)</f>
        <v>5.0911002259199999E-2</v>
      </c>
      <c r="E35" s="1288">
        <f t="shared" si="19"/>
        <v>3.0456206800000003E-2</v>
      </c>
      <c r="F35" s="929">
        <f t="shared" si="19"/>
        <v>3653.5951127877406</v>
      </c>
    </row>
    <row r="36" spans="2:6" ht="13.5" customHeight="1">
      <c r="B36" s="1047"/>
      <c r="C36" s="929"/>
      <c r="D36" s="1289"/>
      <c r="E36" s="1289"/>
      <c r="F36" s="930"/>
    </row>
    <row r="37" spans="2:6" ht="13.5" customHeight="1">
      <c r="B37" s="1047" t="s">
        <v>797</v>
      </c>
      <c r="C37" s="929">
        <f>O175</f>
        <v>62.037364379291809</v>
      </c>
      <c r="D37" s="1288">
        <f t="shared" ref="D37:E37" si="20">P175</f>
        <v>2.2707881441280001E-2</v>
      </c>
      <c r="E37" s="1288">
        <f t="shared" si="20"/>
        <v>1.3808846822400002E-2</v>
      </c>
      <c r="F37" s="930">
        <f>C37+D37*CH4_GWP+E37*N2O_GWP</f>
        <v>66.720097768399015</v>
      </c>
    </row>
    <row r="38" spans="2:6" ht="13.5" customHeight="1">
      <c r="B38" s="1047" t="s">
        <v>796</v>
      </c>
      <c r="C38" s="929">
        <f>K248</f>
        <v>307.28520838742816</v>
      </c>
      <c r="D38" s="1288">
        <f t="shared" ref="D38:E38" si="21">L248</f>
        <v>3.0883519999999999E-3</v>
      </c>
      <c r="E38" s="1288">
        <f t="shared" si="21"/>
        <v>9.3831200000000017E-4</v>
      </c>
      <c r="F38" s="930">
        <f>C38+D38*CH4_GWP+E38*N2O_GWP</f>
        <v>307.64203416342815</v>
      </c>
    </row>
    <row r="39" spans="2:6" ht="13.5" customHeight="1">
      <c r="B39" s="1047" t="s">
        <v>795</v>
      </c>
      <c r="C39" s="929"/>
      <c r="D39" s="1289"/>
      <c r="E39" s="1289"/>
      <c r="F39" s="930">
        <f>C39+D39*CH4_GWP+E39*N2O_GWP</f>
        <v>0</v>
      </c>
    </row>
    <row r="40" spans="2:6" ht="13.5" customHeight="1">
      <c r="B40" s="1047" t="s">
        <v>794</v>
      </c>
      <c r="C40" s="929">
        <f>SUM(C37:C39)</f>
        <v>369.32257276671999</v>
      </c>
      <c r="D40" s="1288">
        <f t="shared" ref="D40:F40" si="22">SUM(D37:D39)</f>
        <v>2.579623344128E-2</v>
      </c>
      <c r="E40" s="1288">
        <f t="shared" si="22"/>
        <v>1.4747158822400002E-2</v>
      </c>
      <c r="F40" s="929">
        <f t="shared" si="22"/>
        <v>374.36213193182715</v>
      </c>
    </row>
    <row r="41" spans="2:6" ht="13.5" customHeight="1">
      <c r="B41" s="1047"/>
      <c r="C41" s="929"/>
      <c r="D41" s="1289"/>
      <c r="E41" s="1289"/>
      <c r="F41" s="930"/>
    </row>
    <row r="42" spans="2:6" ht="13.5" customHeight="1">
      <c r="B42" s="1047" t="s">
        <v>793</v>
      </c>
      <c r="C42" s="929">
        <f>O197</f>
        <v>1544.6175213257973</v>
      </c>
      <c r="D42" s="1288">
        <f t="shared" ref="D42:E42" si="23">P197</f>
        <v>2.8029999999999999E-2</v>
      </c>
      <c r="E42" s="1288">
        <f t="shared" si="23"/>
        <v>1.6812000000000001E-2</v>
      </c>
      <c r="F42" s="930">
        <f>C42+D42*CH4_GWP+E42*N2O_GWP</f>
        <v>1550.3282473257973</v>
      </c>
    </row>
    <row r="43" spans="2:6" ht="13.5" customHeight="1">
      <c r="B43" s="1047" t="s">
        <v>792</v>
      </c>
      <c r="C43" s="929">
        <f>K262</f>
        <v>1.5091042604828528</v>
      </c>
      <c r="D43" s="1288">
        <f t="shared" ref="D43:E43" si="24">L262</f>
        <v>2.5942E-5</v>
      </c>
      <c r="E43" s="1288">
        <f t="shared" si="24"/>
        <v>1.5260000000000001E-6</v>
      </c>
      <c r="F43" s="930">
        <f>C43+D43*CH4_GWP+E43*N2O_GWP</f>
        <v>1.5102075584828527</v>
      </c>
    </row>
    <row r="44" spans="2:6" ht="13.5" customHeight="1">
      <c r="B44" s="1047" t="s">
        <v>791</v>
      </c>
      <c r="C44" s="929"/>
      <c r="D44" s="1289"/>
      <c r="E44" s="1289"/>
      <c r="F44" s="930">
        <f>C44+D44*CH4_GWP+E44*N2O_GWP</f>
        <v>0</v>
      </c>
    </row>
    <row r="45" spans="2:6" ht="13.5" customHeight="1">
      <c r="B45" s="1047" t="s">
        <v>790</v>
      </c>
      <c r="C45" s="929">
        <f>SUM(C42:C44)</f>
        <v>1546.1266255862802</v>
      </c>
      <c r="D45" s="1288">
        <f t="shared" ref="D45:F45" si="25">SUM(D42:D44)</f>
        <v>2.8055942E-2</v>
      </c>
      <c r="E45" s="1288">
        <f t="shared" si="25"/>
        <v>1.6813526000000002E-2</v>
      </c>
      <c r="F45" s="929">
        <f t="shared" si="25"/>
        <v>1551.8384548842801</v>
      </c>
    </row>
    <row r="46" spans="2:6" ht="13.5" customHeight="1" thickBot="1">
      <c r="B46" s="1048" t="s">
        <v>789</v>
      </c>
      <c r="C46" s="931">
        <f>C30+C35+C40+C45</f>
        <v>7264.5215052480844</v>
      </c>
      <c r="D46" s="1290">
        <f t="shared" ref="D46:F46" si="26">D30+D35+D40+D45</f>
        <v>0.12259020795808</v>
      </c>
      <c r="E46" s="1290">
        <f t="shared" si="26"/>
        <v>7.3523366482400015E-2</v>
      </c>
      <c r="F46" s="931">
        <f t="shared" si="26"/>
        <v>7289.4962236587926</v>
      </c>
    </row>
    <row r="47" spans="2:6" ht="13.5" customHeight="1" thickTop="1">
      <c r="B47" s="1049"/>
      <c r="C47" s="566"/>
      <c r="D47" s="566"/>
      <c r="E47" s="566"/>
      <c r="F47" s="566"/>
    </row>
    <row r="48" spans="2:6" ht="49.5" customHeight="1" thickBot="1">
      <c r="B48" s="1046" t="s">
        <v>852</v>
      </c>
      <c r="C48" s="185" t="s">
        <v>807</v>
      </c>
      <c r="D48" s="185" t="s">
        <v>806</v>
      </c>
      <c r="E48" s="185" t="s">
        <v>1109</v>
      </c>
      <c r="F48" s="185" t="s">
        <v>1110</v>
      </c>
    </row>
    <row r="49" spans="2:6" ht="13.5" customHeight="1" thickTop="1">
      <c r="B49" s="1047" t="s">
        <v>805</v>
      </c>
      <c r="C49" s="1314">
        <f>T105</f>
        <v>84.541155223826962</v>
      </c>
      <c r="D49" s="1315">
        <f t="shared" ref="D49:E49" si="27">U105</f>
        <v>0.87515296546359433</v>
      </c>
      <c r="E49" s="1316">
        <f t="shared" si="27"/>
        <v>1.2126823023463132E-3</v>
      </c>
      <c r="F49" s="1317">
        <f>C49+D49*CH4_GWP+E49*N2O_GWP</f>
        <v>106.78135868651601</v>
      </c>
    </row>
    <row r="50" spans="2:6" ht="13.5" customHeight="1">
      <c r="B50" s="1047" t="s">
        <v>804</v>
      </c>
      <c r="C50" s="1314">
        <f>P220</f>
        <v>0.69348589463087706</v>
      </c>
      <c r="D50" s="1315">
        <f t="shared" ref="D50:E50" si="28">Q220</f>
        <v>3.946124409769344E-3</v>
      </c>
      <c r="E50" s="1316">
        <f t="shared" si="28"/>
        <v>3.2705032249839246E-6</v>
      </c>
      <c r="F50" s="1317">
        <f>C50+D50*CH4_GWP+E50*N2O_GWP</f>
        <v>0.79311361483615594</v>
      </c>
    </row>
    <row r="51" spans="2:6" ht="13.5" customHeight="1">
      <c r="B51" s="1047" t="s">
        <v>803</v>
      </c>
      <c r="C51" s="1314"/>
      <c r="D51" s="1318"/>
      <c r="E51" s="1319"/>
      <c r="F51" s="1317">
        <f>C51+D51*CH4_GWP+E51*N2O_GWP</f>
        <v>0</v>
      </c>
    </row>
    <row r="52" spans="2:6" ht="13.5" customHeight="1">
      <c r="B52" s="1047" t="s">
        <v>802</v>
      </c>
      <c r="C52" s="1314">
        <f>SUM(C49:C51)</f>
        <v>85.234641118457844</v>
      </c>
      <c r="D52" s="1315">
        <f t="shared" ref="D52:E52" si="29">SUM(D49:D51)</f>
        <v>0.87909908987336371</v>
      </c>
      <c r="E52" s="1316">
        <f t="shared" si="29"/>
        <v>1.2159528055712971E-3</v>
      </c>
      <c r="F52" s="1314">
        <f>SUM(F49:F51)</f>
        <v>107.57447230135217</v>
      </c>
    </row>
    <row r="53" spans="2:6" ht="13.5" customHeight="1">
      <c r="B53" s="1047"/>
      <c r="C53" s="1314"/>
      <c r="D53" s="1318"/>
      <c r="E53" s="1319"/>
      <c r="F53" s="1317"/>
    </row>
    <row r="54" spans="2:6" ht="13.5" customHeight="1">
      <c r="B54" s="1047" t="s">
        <v>801</v>
      </c>
      <c r="C54" s="1314">
        <f>T155</f>
        <v>180.12232576502012</v>
      </c>
      <c r="D54" s="1315">
        <f t="shared" ref="D54:E54" si="30">U155</f>
        <v>1.8645899399187469</v>
      </c>
      <c r="E54" s="1316">
        <f t="shared" si="30"/>
        <v>2.5837257148236233E-3</v>
      </c>
      <c r="F54" s="1317">
        <f>C54+D54*CH4_GWP+E54*N2O_GWP</f>
        <v>227.50702452600623</v>
      </c>
    </row>
    <row r="55" spans="2:6" ht="13.5" customHeight="1">
      <c r="B55" s="1047" t="s">
        <v>800</v>
      </c>
      <c r="C55" s="1314">
        <f>P234</f>
        <v>62.531926456992096</v>
      </c>
      <c r="D55" s="1315">
        <f t="shared" ref="D55:E55" si="31">Q234</f>
        <v>0.35582376410580163</v>
      </c>
      <c r="E55" s="1316">
        <f t="shared" si="31"/>
        <v>2.9490270634978898E-4</v>
      </c>
      <c r="F55" s="1317">
        <f>C55+D55*CH4_GWP+E55*N2O_GWP</f>
        <v>71.51540156612937</v>
      </c>
    </row>
    <row r="56" spans="2:6" ht="13.5" customHeight="1">
      <c r="B56" s="1047" t="s">
        <v>799</v>
      </c>
      <c r="C56" s="1314"/>
      <c r="D56" s="1318"/>
      <c r="E56" s="1319"/>
      <c r="F56" s="1317">
        <f>C56+D56*CH4_GWP+E56*N2O_GWP</f>
        <v>0</v>
      </c>
    </row>
    <row r="57" spans="2:6" ht="13.5" customHeight="1">
      <c r="B57" s="1047" t="s">
        <v>798</v>
      </c>
      <c r="C57" s="1314">
        <f>SUM(C54:C56)</f>
        <v>242.65425222201222</v>
      </c>
      <c r="D57" s="1315">
        <f t="shared" ref="D57:F57" si="32">SUM(D54:D56)</f>
        <v>2.2204137040245486</v>
      </c>
      <c r="E57" s="1316">
        <f t="shared" si="32"/>
        <v>2.8786284211734124E-3</v>
      </c>
      <c r="F57" s="1314">
        <f t="shared" si="32"/>
        <v>299.02242609213562</v>
      </c>
    </row>
    <row r="58" spans="2:6" ht="13.5" customHeight="1">
      <c r="B58" s="1047"/>
      <c r="C58" s="1314"/>
      <c r="D58" s="1318"/>
      <c r="E58" s="1319"/>
      <c r="F58" s="1317"/>
    </row>
    <row r="59" spans="2:6" ht="13.5" customHeight="1">
      <c r="B59" s="1047" t="s">
        <v>797</v>
      </c>
      <c r="C59" s="1314">
        <f>T176</f>
        <v>153.99266896639671</v>
      </c>
      <c r="D59" s="1315">
        <f t="shared" ref="D59:E59" si="33">U176</f>
        <v>1.5941010097247064</v>
      </c>
      <c r="E59" s="1316">
        <f t="shared" si="33"/>
        <v>2.208914508587078E-3</v>
      </c>
      <c r="F59" s="1317">
        <f>C59+D59*CH4_GWP+E59*N2O_GWP</f>
        <v>194.50345073307332</v>
      </c>
    </row>
    <row r="60" spans="2:6" ht="13.5" customHeight="1">
      <c r="B60" s="1047" t="s">
        <v>796</v>
      </c>
      <c r="C60" s="1314">
        <f>P248</f>
        <v>84.875509727039287</v>
      </c>
      <c r="D60" s="1315">
        <f t="shared" ref="D60:E60" si="34">Q248</f>
        <v>0.48296486391227678</v>
      </c>
      <c r="E60" s="1316">
        <f t="shared" si="34"/>
        <v>4.0027581012615606E-4</v>
      </c>
      <c r="F60" s="1317">
        <f>C60+D60*CH4_GWP+E60*N2O_GWP</f>
        <v>97.068913516263805</v>
      </c>
    </row>
    <row r="61" spans="2:6" ht="13.5" customHeight="1">
      <c r="B61" s="1047" t="s">
        <v>795</v>
      </c>
      <c r="C61" s="1314"/>
      <c r="D61" s="1318"/>
      <c r="E61" s="1319"/>
      <c r="F61" s="1317">
        <f>C61+D61*CH4_GWP+E61*N2O_GWP</f>
        <v>0</v>
      </c>
    </row>
    <row r="62" spans="2:6" ht="13.5" customHeight="1">
      <c r="B62" s="1047" t="s">
        <v>794</v>
      </c>
      <c r="C62" s="1314">
        <f>SUM(C59:C61)</f>
        <v>238.86817869343599</v>
      </c>
      <c r="D62" s="1315">
        <f t="shared" ref="D62:F62" si="35">SUM(D59:D61)</f>
        <v>2.0770658736369834</v>
      </c>
      <c r="E62" s="1316">
        <f t="shared" si="35"/>
        <v>2.6091903187132341E-3</v>
      </c>
      <c r="F62" s="1314">
        <f t="shared" si="35"/>
        <v>291.57236424933711</v>
      </c>
    </row>
    <row r="63" spans="2:6" ht="13.5" customHeight="1">
      <c r="B63" s="1047"/>
      <c r="C63" s="1314"/>
      <c r="D63" s="1318"/>
      <c r="E63" s="1319"/>
      <c r="F63" s="1317"/>
    </row>
    <row r="64" spans="2:6" ht="13.5" customHeight="1">
      <c r="B64" s="1047" t="s">
        <v>793</v>
      </c>
      <c r="C64" s="1314">
        <f>T197</f>
        <v>89.82905689706476</v>
      </c>
      <c r="D64" s="1315">
        <f t="shared" ref="D64:E64" si="36">U197</f>
        <v>0.92989225567274536</v>
      </c>
      <c r="E64" s="1316">
        <f t="shared" si="36"/>
        <v>1.288533463342462E-3</v>
      </c>
      <c r="F64" s="1317">
        <f>C64+D64*CH4_GWP+E64*N2O_GWP</f>
        <v>113.46034626095944</v>
      </c>
    </row>
    <row r="65" spans="2:24" ht="13.5" customHeight="1">
      <c r="B65" s="1047" t="s">
        <v>792</v>
      </c>
      <c r="C65" s="1314">
        <f>P262</f>
        <v>0.40998700535815757</v>
      </c>
      <c r="D65" s="1315">
        <f t="shared" ref="D65:E65" si="37">Q262</f>
        <v>2.3329381924822004E-3</v>
      </c>
      <c r="E65" s="1316">
        <f t="shared" si="37"/>
        <v>1.9335127557843978E-6</v>
      </c>
      <c r="F65" s="1317">
        <f>C65+D65*CH4_GWP+E65*N2O_GWP</f>
        <v>0.46888664697143634</v>
      </c>
    </row>
    <row r="66" spans="2:24" ht="13.5" customHeight="1">
      <c r="B66" s="1047" t="s">
        <v>791</v>
      </c>
      <c r="C66" s="1314"/>
      <c r="D66" s="1318"/>
      <c r="E66" s="1319"/>
      <c r="F66" s="1317">
        <f>C66+D66*CH4_GWP+E66*N2O_GWP</f>
        <v>0</v>
      </c>
    </row>
    <row r="67" spans="2:24" ht="13.5" customHeight="1">
      <c r="B67" s="1047" t="s">
        <v>790</v>
      </c>
      <c r="C67" s="1314">
        <f>SUM(C64:C66)</f>
        <v>90.239043902422921</v>
      </c>
      <c r="D67" s="1315">
        <f t="shared" ref="D67:F67" si="38">SUM(D64:D66)</f>
        <v>0.93222519386522751</v>
      </c>
      <c r="E67" s="1316">
        <f t="shared" si="38"/>
        <v>1.2904669760982464E-3</v>
      </c>
      <c r="F67" s="1314">
        <f t="shared" si="38"/>
        <v>113.92923290793088</v>
      </c>
    </row>
    <row r="68" spans="2:24" ht="13.5" customHeight="1" thickBot="1">
      <c r="B68" s="1048" t="s">
        <v>789</v>
      </c>
      <c r="C68" s="1320">
        <f>C52+C57+C62+C67</f>
        <v>656.99611593632903</v>
      </c>
      <c r="D68" s="1321">
        <f t="shared" ref="D68:F68" si="39">D52+D57+D62+D67</f>
        <v>6.1088038614001237</v>
      </c>
      <c r="E68" s="1322">
        <f t="shared" si="39"/>
        <v>7.9942385215561896E-3</v>
      </c>
      <c r="F68" s="1320">
        <f t="shared" si="39"/>
        <v>812.09849555075573</v>
      </c>
    </row>
    <row r="69" spans="2:24" ht="13.5" customHeight="1" thickTop="1">
      <c r="B69" s="565"/>
      <c r="C69" s="566"/>
      <c r="D69" s="566"/>
      <c r="E69" s="566"/>
      <c r="F69" s="566"/>
    </row>
    <row r="70" spans="2:24" ht="13.5" customHeight="1">
      <c r="B70" s="565"/>
      <c r="C70" s="566"/>
      <c r="D70" s="566"/>
      <c r="E70" s="566"/>
      <c r="F70" s="566"/>
    </row>
    <row r="71" spans="2:24" ht="13.5" customHeight="1" thickBot="1">
      <c r="B71" s="494" t="s">
        <v>821</v>
      </c>
      <c r="C71" s="495">
        <f>48*4.28</f>
        <v>205.44</v>
      </c>
      <c r="D71" s="566"/>
      <c r="E71" s="566"/>
    </row>
    <row r="72" spans="2:24" ht="13.5" customHeight="1" thickTop="1">
      <c r="B72" s="565"/>
      <c r="C72" s="566"/>
      <c r="D72" s="566"/>
      <c r="E72" s="566"/>
      <c r="F72" s="566"/>
    </row>
    <row r="73" spans="2:24" ht="13.5" customHeight="1">
      <c r="B73" s="565"/>
      <c r="C73" s="566"/>
      <c r="D73" s="566"/>
      <c r="E73" s="566"/>
      <c r="F73" s="566"/>
    </row>
    <row r="74" spans="2:24">
      <c r="B74" s="492"/>
    </row>
    <row r="76" spans="2:24" ht="15.75">
      <c r="B76" s="497" t="s">
        <v>788</v>
      </c>
      <c r="C76" s="498"/>
      <c r="D76" s="498"/>
      <c r="E76" s="498"/>
      <c r="F76" s="498"/>
      <c r="G76" s="498"/>
      <c r="H76" s="978"/>
      <c r="N76" s="498"/>
      <c r="O76" s="498"/>
      <c r="P76" s="499"/>
      <c r="T76" s="1943" t="s">
        <v>832</v>
      </c>
      <c r="U76" s="1943"/>
      <c r="V76" s="1943"/>
      <c r="W76" s="1943"/>
      <c r="X76" s="999" t="s">
        <v>200</v>
      </c>
    </row>
    <row r="77" spans="2:24" ht="62.25" thickBot="1">
      <c r="B77" s="957" t="s">
        <v>772</v>
      </c>
      <c r="C77" s="958" t="s">
        <v>771</v>
      </c>
      <c r="D77" s="959" t="s">
        <v>770</v>
      </c>
      <c r="E77" s="960" t="s">
        <v>769</v>
      </c>
      <c r="F77" s="960" t="s">
        <v>768</v>
      </c>
      <c r="G77" s="960" t="s">
        <v>767</v>
      </c>
      <c r="H77" s="979" t="s">
        <v>766</v>
      </c>
      <c r="I77" s="959" t="s">
        <v>822</v>
      </c>
      <c r="J77" s="959" t="s">
        <v>823</v>
      </c>
      <c r="K77" s="959" t="s">
        <v>784</v>
      </c>
      <c r="L77" s="960" t="s">
        <v>824</v>
      </c>
      <c r="M77" s="960" t="s">
        <v>783</v>
      </c>
      <c r="N77" s="960" t="s">
        <v>787</v>
      </c>
      <c r="O77" s="961" t="s">
        <v>827</v>
      </c>
      <c r="P77" s="962" t="s">
        <v>765</v>
      </c>
      <c r="Q77" s="962" t="s">
        <v>764</v>
      </c>
      <c r="R77" s="963" t="s">
        <v>838</v>
      </c>
      <c r="S77" s="963" t="s">
        <v>833</v>
      </c>
      <c r="T77" s="961" t="s">
        <v>829</v>
      </c>
      <c r="U77" s="959" t="s">
        <v>830</v>
      </c>
      <c r="V77" s="959" t="s">
        <v>831</v>
      </c>
      <c r="W77" s="961" t="s">
        <v>840</v>
      </c>
      <c r="X77" s="963" t="s">
        <v>839</v>
      </c>
    </row>
    <row r="78" spans="2:24" ht="13.5" thickTop="1">
      <c r="B78" s="936" t="s">
        <v>782</v>
      </c>
      <c r="C78" s="502"/>
      <c r="D78" s="502"/>
      <c r="E78" s="502"/>
      <c r="F78" s="502"/>
      <c r="G78" s="502"/>
      <c r="H78" s="980"/>
      <c r="I78" s="509"/>
      <c r="K78" s="509"/>
      <c r="L78" s="509"/>
      <c r="M78" s="502"/>
      <c r="N78" s="502"/>
      <c r="X78" s="509"/>
    </row>
    <row r="79" spans="2:24" ht="15" customHeight="1">
      <c r="B79" s="502" t="s">
        <v>776</v>
      </c>
      <c r="C79" s="938">
        <v>1</v>
      </c>
      <c r="D79" s="938">
        <v>6</v>
      </c>
      <c r="E79" s="938">
        <v>165</v>
      </c>
      <c r="F79" s="939">
        <v>0.75</v>
      </c>
      <c r="G79" s="939">
        <v>0.21</v>
      </c>
      <c r="H79" s="955">
        <v>0.51800000000000002</v>
      </c>
      <c r="I79" s="940">
        <v>2.6</v>
      </c>
      <c r="J79" s="940">
        <v>0.66400000000000003</v>
      </c>
      <c r="K79" s="942">
        <v>624</v>
      </c>
      <c r="L79" s="943">
        <f>K79+J79*VOC_C_Ratio/CO2_C_Ratio+I79*CO_C_Ratio/CO2_C_Ratio</f>
        <v>630.15246983772499</v>
      </c>
      <c r="M79" s="940">
        <v>0.74</v>
      </c>
      <c r="N79" s="940">
        <v>0.45</v>
      </c>
      <c r="O79" s="511">
        <f t="shared" ref="O79:O93" si="40">E79*$C$71*L79*C79*D79/1000000*F79*G79</f>
        <v>20.185820261684846</v>
      </c>
      <c r="P79" s="945">
        <f t="shared" ref="P79:P93" si="41">$C79*$H79*$C$71*$D79*M79/1000000*$F79</f>
        <v>3.5437167360000002E-4</v>
      </c>
      <c r="Q79" s="945">
        <f t="shared" ref="Q79:Q93" si="42">$C79*$H79*$C$71*$D79*N79/1000000*$F79</f>
        <v>2.1549628800000001E-4</v>
      </c>
      <c r="R79" s="548">
        <f t="shared" ref="R79:R93" si="43">O79+P79*CH4_GWP+Q79*N2O_GWP</f>
        <v>20.258897447348847</v>
      </c>
      <c r="S79" s="946">
        <f>C79*D79*H79*$C$71*Fuel_Specs!$C$13/1000000</f>
        <v>82.016290944000005</v>
      </c>
      <c r="T79" s="947">
        <f>S79*Upstream!$C$99/1000000</f>
        <v>1.3953295991567574</v>
      </c>
      <c r="U79" s="947">
        <f>S79*Upstream!$D$99/1000000</f>
        <v>1.444417021825843E-2</v>
      </c>
      <c r="V79" s="948">
        <f>S79*Upstream!$E$99/1000000</f>
        <v>2.0015003418837574E-5</v>
      </c>
      <c r="W79" s="945">
        <f>T79+U79*CH4_GWP+V79*N2O_GWP</f>
        <v>1.7623983256320317</v>
      </c>
      <c r="X79" s="949">
        <f>R79+W79</f>
        <v>22.021295772980878</v>
      </c>
    </row>
    <row r="80" spans="2:24" ht="15" customHeight="1">
      <c r="B80" s="502" t="s">
        <v>762</v>
      </c>
      <c r="C80" s="938">
        <v>1</v>
      </c>
      <c r="D80" s="938">
        <v>6</v>
      </c>
      <c r="E80" s="938">
        <v>250</v>
      </c>
      <c r="F80" s="939">
        <v>0.85</v>
      </c>
      <c r="G80" s="939">
        <v>0.43</v>
      </c>
      <c r="H80" s="955">
        <v>0.17399999999999999</v>
      </c>
      <c r="I80" s="940">
        <v>0.49099999999999999</v>
      </c>
      <c r="J80" s="940">
        <v>0.188</v>
      </c>
      <c r="K80" s="942">
        <v>530</v>
      </c>
      <c r="L80" s="943">
        <f t="shared" ref="L80:L93" si="44">K80+J80*VOC_C_Ratio/CO2_C_Ratio+I80*CO_C_Ratio/CO2_C_Ratio</f>
        <v>531.35681318923901</v>
      </c>
      <c r="M80" s="940">
        <v>0.74</v>
      </c>
      <c r="N80" s="940">
        <v>0.45</v>
      </c>
      <c r="O80" s="511">
        <f t="shared" si="40"/>
        <v>59.848035634400695</v>
      </c>
      <c r="P80" s="945">
        <f t="shared" si="41"/>
        <v>1.3490751743999997E-4</v>
      </c>
      <c r="Q80" s="945">
        <f t="shared" si="42"/>
        <v>8.203835519999999E-5</v>
      </c>
      <c r="R80" s="548">
        <f t="shared" si="43"/>
        <v>59.875855752186297</v>
      </c>
      <c r="S80" s="946">
        <f>C80*D80*H80*$C$71*Fuel_Specs!$C$13/1000000</f>
        <v>27.549873792000003</v>
      </c>
      <c r="T80" s="947">
        <f>S80*Upstream!$C$99/1000000</f>
        <v>0.46870144836539723</v>
      </c>
      <c r="U80" s="947">
        <f>S80*Upstream!$D$99/1000000</f>
        <v>4.8519027374072723E-3</v>
      </c>
      <c r="V80" s="948">
        <f>S80*Upstream!$E$99/1000000</f>
        <v>6.7231864765979484E-6</v>
      </c>
      <c r="W80" s="945">
        <f t="shared" ref="W80:W93" si="45">T80+U80*CH4_GWP+V80*N2O_GWP</f>
        <v>0.59200252637060524</v>
      </c>
      <c r="X80" s="949">
        <f t="shared" ref="X80:X103" si="46">R80+W80</f>
        <v>60.467858278556903</v>
      </c>
    </row>
    <row r="81" spans="2:25" ht="15" customHeight="1">
      <c r="B81" s="502" t="s">
        <v>761</v>
      </c>
      <c r="C81" s="938">
        <v>1</v>
      </c>
      <c r="D81" s="938">
        <v>6</v>
      </c>
      <c r="E81" s="938">
        <v>300</v>
      </c>
      <c r="F81" s="939">
        <v>0.85</v>
      </c>
      <c r="G81" s="939">
        <v>0.43</v>
      </c>
      <c r="H81" s="955">
        <v>0.17399999999999999</v>
      </c>
      <c r="I81" s="940">
        <v>0.49099999999999999</v>
      </c>
      <c r="J81" s="940">
        <v>0.188</v>
      </c>
      <c r="K81" s="942">
        <v>530</v>
      </c>
      <c r="L81" s="943">
        <f t="shared" si="44"/>
        <v>531.35681318923901</v>
      </c>
      <c r="M81" s="940">
        <v>0.74</v>
      </c>
      <c r="N81" s="940">
        <v>0.45</v>
      </c>
      <c r="O81" s="511">
        <f t="shared" si="40"/>
        <v>71.817642761280837</v>
      </c>
      <c r="P81" s="945">
        <f t="shared" si="41"/>
        <v>1.3490751743999997E-4</v>
      </c>
      <c r="Q81" s="945">
        <f t="shared" si="42"/>
        <v>8.203835519999999E-5</v>
      </c>
      <c r="R81" s="548">
        <f t="shared" si="43"/>
        <v>71.845462879066432</v>
      </c>
      <c r="S81" s="946">
        <f>C81*D81*H81*$C$71*Fuel_Specs!$C$13/1000000</f>
        <v>27.549873792000003</v>
      </c>
      <c r="T81" s="947">
        <f>S81*Upstream!$C$99/1000000</f>
        <v>0.46870144836539723</v>
      </c>
      <c r="U81" s="947">
        <f>S81*Upstream!$D$99/1000000</f>
        <v>4.8519027374072723E-3</v>
      </c>
      <c r="V81" s="948">
        <f>S81*Upstream!$E$99/1000000</f>
        <v>6.7231864765979484E-6</v>
      </c>
      <c r="W81" s="945">
        <f t="shared" si="45"/>
        <v>0.59200252637060524</v>
      </c>
      <c r="X81" s="949">
        <f t="shared" si="46"/>
        <v>72.437465405437038</v>
      </c>
    </row>
    <row r="82" spans="2:25" ht="15" customHeight="1">
      <c r="B82" s="502" t="s">
        <v>760</v>
      </c>
      <c r="C82" s="938">
        <v>1</v>
      </c>
      <c r="D82" s="938">
        <v>6</v>
      </c>
      <c r="E82" s="938">
        <v>85</v>
      </c>
      <c r="F82" s="939">
        <v>0.85</v>
      </c>
      <c r="G82" s="939">
        <v>0.43</v>
      </c>
      <c r="H82" s="955">
        <v>0.42199999999999999</v>
      </c>
      <c r="I82" s="940">
        <v>1.7330000000000001</v>
      </c>
      <c r="J82" s="940">
        <v>0.255</v>
      </c>
      <c r="K82" s="942">
        <v>590</v>
      </c>
      <c r="L82" s="943">
        <f t="shared" si="44"/>
        <v>593.51676673973827</v>
      </c>
      <c r="M82" s="940">
        <v>0.74</v>
      </c>
      <c r="N82" s="940">
        <v>0.45</v>
      </c>
      <c r="O82" s="511">
        <f t="shared" si="40"/>
        <v>22.728750222222601</v>
      </c>
      <c r="P82" s="945">
        <f t="shared" si="41"/>
        <v>3.2718949631999999E-4</v>
      </c>
      <c r="Q82" s="945">
        <f t="shared" si="42"/>
        <v>1.9896658560000002E-4</v>
      </c>
      <c r="R82" s="548">
        <f t="shared" si="43"/>
        <v>22.796222002139402</v>
      </c>
      <c r="S82" s="946">
        <f>C82*D82*H82*$C$71*Fuel_Specs!$C$13/1000000</f>
        <v>66.816360575999994</v>
      </c>
      <c r="T82" s="947">
        <f>S82*Upstream!$C$99/1000000</f>
        <v>1.136735696610331</v>
      </c>
      <c r="U82" s="947">
        <f>S82*Upstream!$D$99/1000000</f>
        <v>1.1767258363137174E-2</v>
      </c>
      <c r="V82" s="948">
        <f>S82*Upstream!$E$99/1000000</f>
        <v>1.6305659155886978E-5</v>
      </c>
      <c r="W82" s="945">
        <f t="shared" si="45"/>
        <v>1.4357762421172147</v>
      </c>
      <c r="X82" s="949">
        <f t="shared" si="46"/>
        <v>24.231998244256616</v>
      </c>
    </row>
    <row r="83" spans="2:25" ht="15" customHeight="1">
      <c r="B83" s="502" t="s">
        <v>759</v>
      </c>
      <c r="C83" s="938">
        <v>1</v>
      </c>
      <c r="D83" s="938">
        <v>6</v>
      </c>
      <c r="E83" s="938">
        <v>100</v>
      </c>
      <c r="F83" s="939">
        <v>0.85</v>
      </c>
      <c r="G83" s="939">
        <v>0.43</v>
      </c>
      <c r="H83" s="955">
        <v>0.42199999999999999</v>
      </c>
      <c r="I83" s="940">
        <v>1.7330000000000001</v>
      </c>
      <c r="J83" s="940">
        <v>0.255</v>
      </c>
      <c r="K83" s="942">
        <v>590</v>
      </c>
      <c r="L83" s="943">
        <f t="shared" si="44"/>
        <v>593.51676673973827</v>
      </c>
      <c r="M83" s="940">
        <v>0.74</v>
      </c>
      <c r="N83" s="940">
        <v>0.45</v>
      </c>
      <c r="O83" s="511">
        <f t="shared" si="40"/>
        <v>26.739706143791292</v>
      </c>
      <c r="P83" s="945">
        <f t="shared" si="41"/>
        <v>3.2718949631999999E-4</v>
      </c>
      <c r="Q83" s="945">
        <f t="shared" si="42"/>
        <v>1.9896658560000002E-4</v>
      </c>
      <c r="R83" s="548">
        <f t="shared" si="43"/>
        <v>26.807177923708092</v>
      </c>
      <c r="S83" s="946">
        <f>C83*D83*H83*$C$71*Fuel_Specs!$C$13/1000000</f>
        <v>66.816360575999994</v>
      </c>
      <c r="T83" s="947">
        <f>S83*Upstream!$C$99/1000000</f>
        <v>1.136735696610331</v>
      </c>
      <c r="U83" s="947">
        <f>S83*Upstream!$D$99/1000000</f>
        <v>1.1767258363137174E-2</v>
      </c>
      <c r="V83" s="948">
        <f>S83*Upstream!$E$99/1000000</f>
        <v>1.6305659155886978E-5</v>
      </c>
      <c r="W83" s="945">
        <f t="shared" si="45"/>
        <v>1.4357762421172147</v>
      </c>
      <c r="X83" s="949">
        <f t="shared" si="46"/>
        <v>28.242954165825306</v>
      </c>
    </row>
    <row r="84" spans="2:25" ht="15" customHeight="1">
      <c r="B84" s="502" t="s">
        <v>758</v>
      </c>
      <c r="C84" s="938">
        <v>2</v>
      </c>
      <c r="D84" s="938">
        <v>6</v>
      </c>
      <c r="E84" s="938">
        <v>55</v>
      </c>
      <c r="F84" s="939">
        <v>1</v>
      </c>
      <c r="G84" s="939">
        <v>0.43</v>
      </c>
      <c r="H84" s="955">
        <v>1.02</v>
      </c>
      <c r="I84" s="940">
        <v>1.0900000000000001</v>
      </c>
      <c r="J84" s="940">
        <v>0.22700000000000001</v>
      </c>
      <c r="K84" s="942">
        <v>590</v>
      </c>
      <c r="L84" s="943">
        <f t="shared" si="44"/>
        <v>592.41935124888505</v>
      </c>
      <c r="M84" s="940">
        <v>0.74</v>
      </c>
      <c r="N84" s="940">
        <v>0.45</v>
      </c>
      <c r="O84" s="511">
        <f t="shared" si="40"/>
        <v>34.540342025538031</v>
      </c>
      <c r="P84" s="945">
        <f t="shared" si="41"/>
        <v>1.8607933439999998E-3</v>
      </c>
      <c r="Q84" s="945">
        <f t="shared" si="42"/>
        <v>1.13156352E-3</v>
      </c>
      <c r="R84" s="548">
        <f t="shared" si="43"/>
        <v>34.924067788098036</v>
      </c>
      <c r="S84" s="946">
        <f>C84*D84*H84*$C$71*Fuel_Specs!$C$13/1000000</f>
        <v>322.99852032000001</v>
      </c>
      <c r="T84" s="947">
        <f>S84*Upstream!$C$99/1000000</f>
        <v>5.4951204291115534</v>
      </c>
      <c r="U84" s="947">
        <f>S84*Upstream!$D$99/1000000</f>
        <v>5.6884376921326633E-2</v>
      </c>
      <c r="V84" s="948">
        <f>S84*Upstream!$E$99/1000000</f>
        <v>7.8823565587700088E-5</v>
      </c>
      <c r="W84" s="945">
        <f t="shared" si="45"/>
        <v>6.9407192746898536</v>
      </c>
      <c r="X84" s="949">
        <f t="shared" si="46"/>
        <v>41.86478706278789</v>
      </c>
    </row>
    <row r="85" spans="2:25" ht="15" customHeight="1">
      <c r="B85" s="502" t="s">
        <v>757</v>
      </c>
      <c r="C85" s="938">
        <v>2</v>
      </c>
      <c r="D85" s="938">
        <v>6</v>
      </c>
      <c r="E85" s="938">
        <v>65</v>
      </c>
      <c r="F85" s="939">
        <v>0.85</v>
      </c>
      <c r="G85" s="939">
        <v>0.59</v>
      </c>
      <c r="H85" s="955">
        <v>0.73199999999999998</v>
      </c>
      <c r="I85" s="940">
        <v>2.6</v>
      </c>
      <c r="J85" s="940">
        <v>0.66400000000000003</v>
      </c>
      <c r="K85" s="942">
        <v>595</v>
      </c>
      <c r="L85" s="943">
        <f t="shared" si="44"/>
        <v>601.15246983772499</v>
      </c>
      <c r="M85" s="940">
        <v>0.74</v>
      </c>
      <c r="N85" s="940">
        <v>0.45</v>
      </c>
      <c r="O85" s="511">
        <f t="shared" si="40"/>
        <v>48.309793620532318</v>
      </c>
      <c r="P85" s="945">
        <f t="shared" si="41"/>
        <v>1.1350839398399999E-3</v>
      </c>
      <c r="Q85" s="945">
        <f t="shared" si="42"/>
        <v>6.9025374720000005E-4</v>
      </c>
      <c r="R85" s="548">
        <f t="shared" si="43"/>
        <v>48.54386633569392</v>
      </c>
      <c r="S85" s="946">
        <f>C85*D85*H85*$C$71*Fuel_Specs!$C$13/1000000</f>
        <v>231.79893811199995</v>
      </c>
      <c r="T85" s="947">
        <f>S85*Upstream!$C$99/1000000</f>
        <v>3.9435570138329963</v>
      </c>
      <c r="U85" s="947">
        <f>S85*Upstream!$D$99/1000000</f>
        <v>4.0822905790599107E-2</v>
      </c>
      <c r="V85" s="948">
        <f>S85*Upstream!$E$99/1000000</f>
        <v>5.6567500009996524E-5</v>
      </c>
      <c r="W85" s="945">
        <f t="shared" si="45"/>
        <v>4.9809867736009528</v>
      </c>
      <c r="X85" s="949">
        <f t="shared" si="46"/>
        <v>53.524853109294874</v>
      </c>
    </row>
    <row r="86" spans="2:25" ht="15" customHeight="1">
      <c r="B86" s="502" t="s">
        <v>756</v>
      </c>
      <c r="C86" s="938">
        <v>2</v>
      </c>
      <c r="D86" s="938">
        <v>6</v>
      </c>
      <c r="E86" s="938">
        <v>65</v>
      </c>
      <c r="F86" s="939">
        <v>0.85</v>
      </c>
      <c r="G86" s="939">
        <v>0.59</v>
      </c>
      <c r="H86" s="955">
        <v>0.48899999999999999</v>
      </c>
      <c r="I86" s="940">
        <v>2.6629999999999998</v>
      </c>
      <c r="J86" s="940">
        <v>0.309</v>
      </c>
      <c r="K86" s="942">
        <v>595</v>
      </c>
      <c r="L86" s="943">
        <f t="shared" si="44"/>
        <v>600.14605196790876</v>
      </c>
      <c r="M86" s="940">
        <v>0.74</v>
      </c>
      <c r="N86" s="940">
        <v>0.45</v>
      </c>
      <c r="O86" s="511">
        <f t="shared" si="40"/>
        <v>48.22891590310406</v>
      </c>
      <c r="P86" s="945">
        <f t="shared" si="41"/>
        <v>7.5827328768E-4</v>
      </c>
      <c r="Q86" s="945">
        <f t="shared" si="42"/>
        <v>4.6111213440000009E-4</v>
      </c>
      <c r="R86" s="548">
        <f t="shared" si="43"/>
        <v>48.385284151347264</v>
      </c>
      <c r="S86" s="946">
        <f>C86*D86*H86*$C$71*Fuel_Specs!$C$13/1000000</f>
        <v>154.84929062400002</v>
      </c>
      <c r="T86" s="947">
        <f>S86*Upstream!$C$99/1000000</f>
        <v>2.6344253821917158</v>
      </c>
      <c r="U86" s="947">
        <f>S86*Upstream!$D$99/1000000</f>
        <v>2.7271039524047774E-2</v>
      </c>
      <c r="V86" s="948">
        <f>S86*Upstream!$E$99/1000000</f>
        <v>3.7788944678809169E-5</v>
      </c>
      <c r="W86" s="945">
        <f t="shared" si="45"/>
        <v>3.3274624758071951</v>
      </c>
      <c r="X86" s="949">
        <f t="shared" si="46"/>
        <v>51.712746627154459</v>
      </c>
    </row>
    <row r="87" spans="2:25" ht="15" customHeight="1">
      <c r="B87" s="502" t="s">
        <v>753</v>
      </c>
      <c r="C87" s="938">
        <v>2</v>
      </c>
      <c r="D87" s="938">
        <v>6</v>
      </c>
      <c r="E87" s="938">
        <v>250</v>
      </c>
      <c r="F87" s="939">
        <v>0.85</v>
      </c>
      <c r="G87" s="939">
        <v>0.59</v>
      </c>
      <c r="H87" s="955">
        <v>7.3999999999999996E-2</v>
      </c>
      <c r="I87" s="940">
        <v>2.09</v>
      </c>
      <c r="J87" s="940">
        <v>0.216</v>
      </c>
      <c r="K87" s="942">
        <v>536</v>
      </c>
      <c r="L87" s="943">
        <f t="shared" si="44"/>
        <v>539.95621788904646</v>
      </c>
      <c r="M87" s="940">
        <v>0.74</v>
      </c>
      <c r="N87" s="940">
        <v>0.45</v>
      </c>
      <c r="O87" s="511">
        <f t="shared" si="40"/>
        <v>166.89208682900261</v>
      </c>
      <c r="P87" s="945">
        <f t="shared" si="41"/>
        <v>1.1474892287999997E-4</v>
      </c>
      <c r="Q87" s="945">
        <f t="shared" si="42"/>
        <v>6.9779750400000002E-5</v>
      </c>
      <c r="R87" s="548">
        <f t="shared" si="43"/>
        <v>166.9157499176938</v>
      </c>
      <c r="S87" s="946">
        <f>C87*D87*H87*$C$71*Fuel_Specs!$C$13/1000000</f>
        <v>23.433225983999996</v>
      </c>
      <c r="T87" s="947">
        <f>S87*Upstream!$C$99/1000000</f>
        <v>0.3986655997590734</v>
      </c>
      <c r="U87" s="947">
        <f>S87*Upstream!$D$99/1000000</f>
        <v>4.1269057766452647E-3</v>
      </c>
      <c r="V87" s="948">
        <f>S87*Upstream!$E$99/1000000</f>
        <v>5.7185724053821621E-6</v>
      </c>
      <c r="W87" s="945">
        <f t="shared" si="45"/>
        <v>0.50354237875200891</v>
      </c>
      <c r="X87" s="949">
        <f t="shared" si="46"/>
        <v>167.4192922964458</v>
      </c>
    </row>
    <row r="88" spans="2:25" ht="15" customHeight="1">
      <c r="B88" s="502" t="s">
        <v>775</v>
      </c>
      <c r="C88" s="938">
        <v>2</v>
      </c>
      <c r="D88" s="938">
        <v>6</v>
      </c>
      <c r="E88" s="938">
        <v>285</v>
      </c>
      <c r="F88" s="939">
        <v>0.75</v>
      </c>
      <c r="G88" s="939">
        <v>0.59</v>
      </c>
      <c r="H88" s="955">
        <v>7.3999999999999996E-2</v>
      </c>
      <c r="I88" s="940">
        <v>0.27400000000000002</v>
      </c>
      <c r="J88" s="940">
        <v>0.14099999999999999</v>
      </c>
      <c r="K88" s="942">
        <v>536</v>
      </c>
      <c r="L88" s="943">
        <f t="shared" si="44"/>
        <v>536.86953198089998</v>
      </c>
      <c r="M88" s="940">
        <v>0.74</v>
      </c>
      <c r="N88" s="940">
        <v>0.45</v>
      </c>
      <c r="O88" s="511">
        <f t="shared" si="40"/>
        <v>166.91414623851372</v>
      </c>
      <c r="P88" s="945">
        <f t="shared" si="41"/>
        <v>1.0124904959999998E-4</v>
      </c>
      <c r="Q88" s="945">
        <f t="shared" si="42"/>
        <v>6.1570368000000002E-5</v>
      </c>
      <c r="R88" s="548">
        <f t="shared" si="43"/>
        <v>166.93502543441772</v>
      </c>
      <c r="S88" s="946">
        <f>C88*D88*H88*$C$71*Fuel_Specs!$C$13/1000000</f>
        <v>23.433225983999996</v>
      </c>
      <c r="T88" s="947">
        <f>S88*Upstream!$C$99/1000000</f>
        <v>0.3986655997590734</v>
      </c>
      <c r="U88" s="947">
        <f>S88*Upstream!$D$99/1000000</f>
        <v>4.1269057766452647E-3</v>
      </c>
      <c r="V88" s="948">
        <f>S88*Upstream!$E$99/1000000</f>
        <v>5.7185724053821621E-6</v>
      </c>
      <c r="W88" s="945">
        <f t="shared" si="45"/>
        <v>0.50354237875200891</v>
      </c>
      <c r="X88" s="949">
        <f t="shared" si="46"/>
        <v>167.43856781316973</v>
      </c>
    </row>
    <row r="89" spans="2:25" ht="15" customHeight="1">
      <c r="B89" s="502" t="s">
        <v>752</v>
      </c>
      <c r="C89" s="938">
        <v>1</v>
      </c>
      <c r="D89" s="938">
        <v>6</v>
      </c>
      <c r="E89" s="938">
        <v>200</v>
      </c>
      <c r="F89" s="939">
        <v>0.85</v>
      </c>
      <c r="G89" s="939">
        <v>0.59</v>
      </c>
      <c r="H89" s="955">
        <v>0.112</v>
      </c>
      <c r="I89" s="940">
        <v>0.51900000000000002</v>
      </c>
      <c r="J89" s="940">
        <v>0.15</v>
      </c>
      <c r="K89" s="942">
        <v>536</v>
      </c>
      <c r="L89" s="943">
        <f t="shared" si="44"/>
        <v>537.28248017667522</v>
      </c>
      <c r="M89" s="940">
        <v>0.74</v>
      </c>
      <c r="N89" s="940">
        <v>0.45</v>
      </c>
      <c r="O89" s="511">
        <f t="shared" si="40"/>
        <v>66.426270399407173</v>
      </c>
      <c r="P89" s="945">
        <f t="shared" si="41"/>
        <v>8.683702271999999E-5</v>
      </c>
      <c r="Q89" s="945">
        <f t="shared" si="42"/>
        <v>5.2806297599999998E-5</v>
      </c>
      <c r="R89" s="548">
        <f t="shared" si="43"/>
        <v>66.444177601659973</v>
      </c>
      <c r="S89" s="946">
        <f>C89*D89*H89*$C$71*Fuel_Specs!$C$13/1000000</f>
        <v>17.733252096000001</v>
      </c>
      <c r="T89" s="947">
        <f>S89*Upstream!$C$99/1000000</f>
        <v>0.30169288630416374</v>
      </c>
      <c r="U89" s="947">
        <f>S89*Upstream!$D$99/1000000</f>
        <v>3.1230638309747961E-3</v>
      </c>
      <c r="V89" s="948">
        <f>S89*Upstream!$E$99/1000000</f>
        <v>4.3275683067756915E-6</v>
      </c>
      <c r="W89" s="945">
        <f t="shared" si="45"/>
        <v>0.38105909743395283</v>
      </c>
      <c r="X89" s="949">
        <f t="shared" si="46"/>
        <v>66.825236699093921</v>
      </c>
    </row>
    <row r="90" spans="2:25" ht="15" customHeight="1">
      <c r="B90" s="502" t="s">
        <v>751</v>
      </c>
      <c r="C90" s="938">
        <v>1</v>
      </c>
      <c r="D90" s="938">
        <v>6</v>
      </c>
      <c r="E90" s="938">
        <v>85</v>
      </c>
      <c r="F90" s="939">
        <v>0.5</v>
      </c>
      <c r="G90" s="939">
        <v>0.59</v>
      </c>
      <c r="H90" s="955">
        <v>0.65300000000000002</v>
      </c>
      <c r="I90" s="940">
        <v>2.5350000000000001</v>
      </c>
      <c r="J90" s="940">
        <v>0.28399999999999997</v>
      </c>
      <c r="K90" s="942">
        <v>595</v>
      </c>
      <c r="L90" s="943">
        <f t="shared" si="44"/>
        <v>599.86710385739082</v>
      </c>
      <c r="M90" s="940">
        <v>0.74</v>
      </c>
      <c r="N90" s="940">
        <v>0.45</v>
      </c>
      <c r="O90" s="511">
        <f t="shared" si="40"/>
        <v>18.540961186486765</v>
      </c>
      <c r="P90" s="945">
        <f t="shared" si="41"/>
        <v>2.978181504E-4</v>
      </c>
      <c r="Q90" s="945">
        <f t="shared" si="42"/>
        <v>1.8110563199999998E-4</v>
      </c>
      <c r="R90" s="548">
        <f t="shared" si="43"/>
        <v>18.602376118582765</v>
      </c>
      <c r="S90" s="946">
        <f>C90*D90*H90*$C$71*Fuel_Specs!$C$13/1000000</f>
        <v>103.391193024</v>
      </c>
      <c r="T90" s="947">
        <f>S90*Upstream!$C$99/1000000</f>
        <v>1.7589772746126688</v>
      </c>
      <c r="U90" s="947">
        <f>S90*Upstream!$D$99/1000000</f>
        <v>1.8208577514522695E-2</v>
      </c>
      <c r="V90" s="948">
        <f>S90*Upstream!$E$99/1000000</f>
        <v>2.5231268788611844E-5</v>
      </c>
      <c r="W90" s="945">
        <f t="shared" si="45"/>
        <v>2.2217106305747425</v>
      </c>
      <c r="X90" s="949">
        <f t="shared" si="46"/>
        <v>20.824086749157509</v>
      </c>
    </row>
    <row r="91" spans="2:25" ht="15" customHeight="1">
      <c r="B91" s="502" t="s">
        <v>750</v>
      </c>
      <c r="C91" s="938">
        <v>2</v>
      </c>
      <c r="D91" s="938">
        <v>6</v>
      </c>
      <c r="E91" s="938">
        <v>200</v>
      </c>
      <c r="F91" s="939">
        <v>0.85</v>
      </c>
      <c r="G91" s="939">
        <v>0.59</v>
      </c>
      <c r="H91" s="955">
        <v>0.112</v>
      </c>
      <c r="I91" s="940">
        <v>0.51900000000000002</v>
      </c>
      <c r="J91" s="940">
        <v>0.15</v>
      </c>
      <c r="K91" s="942">
        <v>536</v>
      </c>
      <c r="L91" s="943">
        <f t="shared" si="44"/>
        <v>537.28248017667522</v>
      </c>
      <c r="M91" s="940">
        <v>0.74</v>
      </c>
      <c r="N91" s="940">
        <v>0.45</v>
      </c>
      <c r="O91" s="511">
        <f t="shared" si="40"/>
        <v>132.85254079881435</v>
      </c>
      <c r="P91" s="945">
        <f t="shared" si="41"/>
        <v>1.7367404543999998E-4</v>
      </c>
      <c r="Q91" s="945">
        <f t="shared" si="42"/>
        <v>1.056125952E-4</v>
      </c>
      <c r="R91" s="548">
        <f>O91+P91*CH4_GWP+Q91*N2O_GWP</f>
        <v>132.88835520331995</v>
      </c>
      <c r="S91" s="946">
        <f>C91*D91*H91*$C$71*Fuel_Specs!$C$13/1000000</f>
        <v>35.466504192000002</v>
      </c>
      <c r="T91" s="947">
        <f>S91*Upstream!$C$99/1000000</f>
        <v>0.60338577260832749</v>
      </c>
      <c r="U91" s="947">
        <f>S91*Upstream!$D$99/1000000</f>
        <v>6.2461276619495921E-3</v>
      </c>
      <c r="V91" s="948">
        <f>S91*Upstream!$E$99/1000000</f>
        <v>8.655136613551383E-6</v>
      </c>
      <c r="W91" s="945">
        <f t="shared" si="45"/>
        <v>0.76211819486790566</v>
      </c>
      <c r="X91" s="949">
        <f>R91+W91</f>
        <v>133.65047339818784</v>
      </c>
    </row>
    <row r="92" spans="2:25" ht="15" customHeight="1">
      <c r="B92" s="502" t="s">
        <v>749</v>
      </c>
      <c r="C92" s="938">
        <v>2</v>
      </c>
      <c r="D92" s="938">
        <v>6</v>
      </c>
      <c r="E92" s="938">
        <v>100</v>
      </c>
      <c r="F92" s="939">
        <v>0.85</v>
      </c>
      <c r="G92" s="939">
        <v>0.21</v>
      </c>
      <c r="H92" s="955">
        <v>0.64600000000000002</v>
      </c>
      <c r="I92" s="940">
        <v>5.7</v>
      </c>
      <c r="J92" s="940">
        <v>0.92400000000000004</v>
      </c>
      <c r="K92" s="942">
        <v>693</v>
      </c>
      <c r="L92" s="943">
        <f t="shared" si="44"/>
        <v>704.83252444736092</v>
      </c>
      <c r="M92" s="940">
        <v>0.74</v>
      </c>
      <c r="N92" s="940">
        <v>0.45</v>
      </c>
      <c r="O92" s="511">
        <f t="shared" si="40"/>
        <v>31.016330036772182</v>
      </c>
      <c r="P92" s="945">
        <f t="shared" si="41"/>
        <v>1.0017270835199997E-3</v>
      </c>
      <c r="Q92" s="945">
        <f t="shared" si="42"/>
        <v>6.0915836159999999E-4</v>
      </c>
      <c r="R92" s="548">
        <f t="shared" si="43"/>
        <v>31.222902405616981</v>
      </c>
      <c r="S92" s="946">
        <f>C92*D92*H92*$C$71*Fuel_Specs!$C$13/1000000</f>
        <v>204.56572953600002</v>
      </c>
      <c r="T92" s="947">
        <f>S92*Upstream!$C$99/1000000</f>
        <v>3.4802429384373177</v>
      </c>
      <c r="U92" s="947">
        <f>S92*Upstream!$D$99/1000000</f>
        <v>3.6026772050173538E-2</v>
      </c>
      <c r="V92" s="948">
        <f>S92*Upstream!$E$99/1000000</f>
        <v>4.9921591538876725E-5</v>
      </c>
      <c r="W92" s="945">
        <f t="shared" si="45"/>
        <v>4.3957888739702415</v>
      </c>
      <c r="X92" s="949">
        <f t="shared" si="46"/>
        <v>35.618691279587225</v>
      </c>
    </row>
    <row r="93" spans="2:25" ht="15" customHeight="1">
      <c r="B93" s="502" t="s">
        <v>748</v>
      </c>
      <c r="C93" s="938">
        <v>1</v>
      </c>
      <c r="D93" s="938">
        <v>6</v>
      </c>
      <c r="E93" s="938">
        <v>50</v>
      </c>
      <c r="F93" s="939">
        <v>0.85</v>
      </c>
      <c r="G93" s="939">
        <v>0.21</v>
      </c>
      <c r="H93" s="955">
        <v>3.661</v>
      </c>
      <c r="I93" s="940">
        <v>6.3159999999999998</v>
      </c>
      <c r="J93" s="940">
        <v>1.643</v>
      </c>
      <c r="K93" s="942">
        <v>691</v>
      </c>
      <c r="L93" s="943">
        <f t="shared" si="44"/>
        <v>706.03915423721435</v>
      </c>
      <c r="M93" s="940">
        <v>0.74</v>
      </c>
      <c r="N93" s="940">
        <v>0.45</v>
      </c>
      <c r="O93" s="511">
        <f t="shared" si="40"/>
        <v>7.7673570199797171</v>
      </c>
      <c r="P93" s="945">
        <f t="shared" si="41"/>
        <v>2.8384851801600002E-3</v>
      </c>
      <c r="Q93" s="945">
        <f t="shared" si="42"/>
        <v>1.7261058528000002E-3</v>
      </c>
      <c r="R93" s="548">
        <f t="shared" si="43"/>
        <v>8.3526986936181178</v>
      </c>
      <c r="S93" s="946">
        <f>C93*D93*H93*$C$71*Fuel_Specs!$C$13/1000000</f>
        <v>579.65567788800001</v>
      </c>
      <c r="T93" s="947">
        <f>S93*Upstream!$C$99/1000000</f>
        <v>9.8615862210673519</v>
      </c>
      <c r="U93" s="947">
        <f>S93*Upstream!$D$99/1000000</f>
        <v>0.10208514897498863</v>
      </c>
      <c r="V93" s="948">
        <f>S93*Upstream!$E$99/1000000</f>
        <v>1.4145738902773041E-4</v>
      </c>
      <c r="W93" s="945">
        <f t="shared" si="45"/>
        <v>12.455869247372332</v>
      </c>
      <c r="X93" s="949">
        <f t="shared" si="46"/>
        <v>20.80856794099045</v>
      </c>
    </row>
    <row r="94" spans="2:25">
      <c r="B94" s="502" t="s">
        <v>781</v>
      </c>
      <c r="C94" s="506"/>
      <c r="D94" s="506"/>
      <c r="E94" s="506"/>
      <c r="F94" s="506"/>
      <c r="G94" s="506"/>
      <c r="H94" s="955"/>
      <c r="I94" s="940"/>
      <c r="J94" s="940"/>
      <c r="K94" s="942"/>
      <c r="L94" s="943"/>
      <c r="M94" s="940"/>
      <c r="N94" s="940"/>
      <c r="O94" s="1000"/>
      <c r="P94" s="1000"/>
      <c r="Q94" s="954"/>
      <c r="R94" s="954"/>
      <c r="S94" s="954"/>
      <c r="T94" s="954"/>
      <c r="U94" s="954"/>
      <c r="V94" s="954"/>
      <c r="W94" s="954"/>
      <c r="X94" s="954"/>
      <c r="Y94" s="501"/>
    </row>
    <row r="95" spans="2:25">
      <c r="B95" s="502" t="s">
        <v>751</v>
      </c>
      <c r="C95" s="938">
        <v>2</v>
      </c>
      <c r="D95" s="938">
        <v>6</v>
      </c>
      <c r="E95" s="938">
        <v>65</v>
      </c>
      <c r="F95" s="939">
        <v>0.75</v>
      </c>
      <c r="G95" s="939">
        <v>0.59</v>
      </c>
      <c r="H95" s="955">
        <v>0.65300000000000002</v>
      </c>
      <c r="I95" s="940">
        <v>2.5350000000000001</v>
      </c>
      <c r="J95" s="940">
        <v>0.29399999999999998</v>
      </c>
      <c r="K95" s="942">
        <v>595</v>
      </c>
      <c r="L95" s="943">
        <f t="shared" ref="L95:L102" si="47">K95+J95*VOC_C_Ratio/CO2_C_Ratio+I95*CO_C_Ratio/CO2_C_Ratio</f>
        <v>599.89824183852431</v>
      </c>
      <c r="M95" s="940">
        <v>0.74</v>
      </c>
      <c r="N95" s="940">
        <v>0.45</v>
      </c>
      <c r="O95" s="511">
        <f t="shared" ref="O95:O104" si="48">E95*$C$71*L95*C95*D95/1000000*F95*G95</f>
        <v>42.537354171361208</v>
      </c>
      <c r="P95" s="945">
        <f t="shared" ref="P95:P104" si="49">$C95*$H95*$C$71*$D95*M95/1000000*$F95</f>
        <v>8.9345445120000001E-4</v>
      </c>
      <c r="Q95" s="945">
        <f t="shared" ref="Q95:Q104" si="50">$C95*$H95*$C$71*$D95*N95/1000000*$F95</f>
        <v>5.4331689599999996E-4</v>
      </c>
      <c r="R95" s="548">
        <f t="shared" ref="R95:R105" si="51">O95+P95*CH4_GWP+Q95*N2O_GWP</f>
        <v>42.721598967649207</v>
      </c>
      <c r="S95" s="946">
        <f>C95*D95*H95*$C$71*Fuel_Specs!$C$13/1000000</f>
        <v>206.78238604800001</v>
      </c>
      <c r="T95" s="947">
        <f>S95*Upstream!$C$99/1000000</f>
        <v>3.5179545492253377</v>
      </c>
      <c r="U95" s="947">
        <f>S95*Upstream!$D$99/1000000</f>
        <v>3.6417155029045391E-2</v>
      </c>
      <c r="V95" s="948">
        <f>S95*Upstream!$E$99/1000000</f>
        <v>5.0462537577223688E-5</v>
      </c>
      <c r="W95" s="945">
        <f t="shared" ref="W95:W103" si="52">T95+U95*CH4_GWP+V95*N2O_GWP</f>
        <v>4.443421261149485</v>
      </c>
      <c r="X95" s="949">
        <f t="shared" si="46"/>
        <v>47.165020228798696</v>
      </c>
    </row>
    <row r="96" spans="2:25">
      <c r="B96" s="502" t="s">
        <v>758</v>
      </c>
      <c r="C96" s="938">
        <v>4</v>
      </c>
      <c r="D96" s="938">
        <v>6</v>
      </c>
      <c r="E96" s="938">
        <v>55</v>
      </c>
      <c r="F96" s="939">
        <v>1</v>
      </c>
      <c r="G96" s="939">
        <v>0.43</v>
      </c>
      <c r="H96" s="955">
        <v>1.02</v>
      </c>
      <c r="I96" s="940">
        <v>1.0900000000000001</v>
      </c>
      <c r="J96" s="940">
        <v>0.18099999999999999</v>
      </c>
      <c r="K96" s="942">
        <v>590</v>
      </c>
      <c r="L96" s="943">
        <f t="shared" si="47"/>
        <v>592.27611653567101</v>
      </c>
      <c r="M96" s="940">
        <v>0.74</v>
      </c>
      <c r="N96" s="940">
        <v>0.45</v>
      </c>
      <c r="O96" s="511">
        <f t="shared" si="48"/>
        <v>69.063981774305702</v>
      </c>
      <c r="P96" s="945">
        <f t="shared" si="49"/>
        <v>3.7215866879999997E-3</v>
      </c>
      <c r="Q96" s="945">
        <f t="shared" si="50"/>
        <v>2.26312704E-3</v>
      </c>
      <c r="R96" s="548">
        <f t="shared" si="51"/>
        <v>69.831433299425711</v>
      </c>
      <c r="S96" s="946">
        <f>C96*D96*H96*$C$71*Fuel_Specs!$C$13/1000000</f>
        <v>645.99704064000002</v>
      </c>
      <c r="T96" s="947">
        <f>S96*Upstream!$C$99/1000000</f>
        <v>10.990240858223107</v>
      </c>
      <c r="U96" s="947">
        <f>S96*Upstream!$D$99/1000000</f>
        <v>0.11376875384265327</v>
      </c>
      <c r="V96" s="948">
        <f>S96*Upstream!$E$99/1000000</f>
        <v>1.5764713117540018E-4</v>
      </c>
      <c r="W96" s="945">
        <f t="shared" si="52"/>
        <v>13.881438549379707</v>
      </c>
      <c r="X96" s="949">
        <f t="shared" si="46"/>
        <v>83.71287184880542</v>
      </c>
    </row>
    <row r="97" spans="2:24">
      <c r="B97" s="502" t="s">
        <v>754</v>
      </c>
      <c r="C97" s="938">
        <v>3</v>
      </c>
      <c r="D97" s="938">
        <v>6</v>
      </c>
      <c r="E97" s="938">
        <v>290</v>
      </c>
      <c r="F97" s="939">
        <v>0.85</v>
      </c>
      <c r="G97" s="939">
        <v>0.43</v>
      </c>
      <c r="H97" s="955">
        <v>0.17399999999999999</v>
      </c>
      <c r="I97" s="940">
        <v>0.49099999999999999</v>
      </c>
      <c r="J97" s="940">
        <v>9.8000000000000004E-2</v>
      </c>
      <c r="K97" s="942">
        <v>530</v>
      </c>
      <c r="L97" s="943">
        <f t="shared" si="47"/>
        <v>531.07657135903764</v>
      </c>
      <c r="M97" s="940">
        <v>0.74</v>
      </c>
      <c r="N97" s="940">
        <v>0.45</v>
      </c>
      <c r="O97" s="511">
        <f t="shared" si="48"/>
        <v>208.16132013118752</v>
      </c>
      <c r="P97" s="945">
        <f t="shared" si="49"/>
        <v>4.0472255232E-4</v>
      </c>
      <c r="Q97" s="945">
        <f t="shared" si="50"/>
        <v>2.4611506560000003E-4</v>
      </c>
      <c r="R97" s="548">
        <f t="shared" si="51"/>
        <v>208.24478048454432</v>
      </c>
      <c r="S97" s="946">
        <f>C97*D97*H97*$C$71*Fuel_Specs!$C$13/1000000</f>
        <v>82.649621375999985</v>
      </c>
      <c r="T97" s="947">
        <f>S97*Upstream!$C$99/1000000</f>
        <v>1.4061043450961914</v>
      </c>
      <c r="U97" s="947">
        <f>S97*Upstream!$D$99/1000000</f>
        <v>1.4555708212221812E-2</v>
      </c>
      <c r="V97" s="948">
        <f>S97*Upstream!$E$99/1000000</f>
        <v>2.0169559429793844E-5</v>
      </c>
      <c r="W97" s="945">
        <f t="shared" si="52"/>
        <v>1.7760075791118151</v>
      </c>
      <c r="X97" s="949">
        <f t="shared" si="46"/>
        <v>210.02078806365614</v>
      </c>
    </row>
    <row r="98" spans="2:24">
      <c r="B98" s="502" t="s">
        <v>753</v>
      </c>
      <c r="C98" s="938">
        <v>3</v>
      </c>
      <c r="D98" s="938">
        <v>6</v>
      </c>
      <c r="E98" s="938">
        <v>250</v>
      </c>
      <c r="F98" s="939">
        <v>0.25</v>
      </c>
      <c r="G98" s="939">
        <v>0.59</v>
      </c>
      <c r="H98" s="955">
        <v>7.3999999999999996E-2</v>
      </c>
      <c r="I98" s="940">
        <v>2.09</v>
      </c>
      <c r="J98" s="940">
        <v>0.219</v>
      </c>
      <c r="K98" s="942">
        <v>536</v>
      </c>
      <c r="L98" s="943">
        <f t="shared" si="47"/>
        <v>539.96555928338648</v>
      </c>
      <c r="M98" s="940">
        <v>0.74</v>
      </c>
      <c r="N98" s="940">
        <v>0.45</v>
      </c>
      <c r="O98" s="511">
        <f t="shared" si="48"/>
        <v>73.63013563633001</v>
      </c>
      <c r="P98" s="945">
        <f t="shared" si="49"/>
        <v>5.0624524799999995E-5</v>
      </c>
      <c r="Q98" s="945">
        <f t="shared" si="50"/>
        <v>3.0785183999999994E-5</v>
      </c>
      <c r="R98" s="548">
        <f t="shared" si="51"/>
        <v>73.640575234282011</v>
      </c>
      <c r="S98" s="946">
        <f>C98*D98*H98*$C$71*Fuel_Specs!$C$13/1000000</f>
        <v>35.149838975999998</v>
      </c>
      <c r="T98" s="947">
        <f>S98*Upstream!$C$99/1000000</f>
        <v>0.59799839963861023</v>
      </c>
      <c r="U98" s="947">
        <f>S98*Upstream!$D$99/1000000</f>
        <v>6.1903586649678984E-3</v>
      </c>
      <c r="V98" s="948">
        <f>S98*Upstream!$E$99/1000000</f>
        <v>8.5778586080732449E-6</v>
      </c>
      <c r="W98" s="945">
        <f t="shared" si="52"/>
        <v>0.75531356812801353</v>
      </c>
      <c r="X98" s="949">
        <f t="shared" si="46"/>
        <v>74.395888802410028</v>
      </c>
    </row>
    <row r="99" spans="2:24">
      <c r="B99" s="502" t="s">
        <v>780</v>
      </c>
      <c r="C99" s="938">
        <v>3</v>
      </c>
      <c r="D99" s="938">
        <v>6</v>
      </c>
      <c r="E99" s="938">
        <v>85</v>
      </c>
      <c r="F99" s="939">
        <v>0.85</v>
      </c>
      <c r="G99" s="939">
        <v>0.59</v>
      </c>
      <c r="H99" s="955">
        <v>0.73199999999999998</v>
      </c>
      <c r="I99" s="940">
        <v>2.6629999999999998</v>
      </c>
      <c r="J99" s="940">
        <v>0.32700000000000001</v>
      </c>
      <c r="K99" s="942">
        <v>595</v>
      </c>
      <c r="L99" s="943">
        <f t="shared" si="47"/>
        <v>600.20210033394915</v>
      </c>
      <c r="M99" s="940">
        <v>0.74</v>
      </c>
      <c r="N99" s="940">
        <v>0.45</v>
      </c>
      <c r="O99" s="511">
        <f t="shared" si="48"/>
        <v>94.611708579079504</v>
      </c>
      <c r="P99" s="945">
        <f t="shared" si="49"/>
        <v>1.7026259097599997E-3</v>
      </c>
      <c r="Q99" s="945">
        <f t="shared" si="50"/>
        <v>1.0353806207999998E-3</v>
      </c>
      <c r="R99" s="548">
        <f t="shared" si="51"/>
        <v>94.962817651821908</v>
      </c>
      <c r="S99" s="946">
        <f>C99*D99*H99*$C$71*Fuel_Specs!$C$13/1000000</f>
        <v>347.69840716800002</v>
      </c>
      <c r="T99" s="947">
        <f>S99*Upstream!$C$99/1000000</f>
        <v>5.9153355207494966</v>
      </c>
      <c r="U99" s="947">
        <f>S99*Upstream!$D$99/1000000</f>
        <v>6.1234358685898674E-2</v>
      </c>
      <c r="V99" s="948">
        <f>S99*Upstream!$E$99/1000000</f>
        <v>8.4851250014994809E-5</v>
      </c>
      <c r="W99" s="945">
        <f t="shared" si="52"/>
        <v>7.4714801604014323</v>
      </c>
      <c r="X99" s="949">
        <f t="shared" si="46"/>
        <v>102.43429781222333</v>
      </c>
    </row>
    <row r="100" spans="2:24">
      <c r="B100" s="502" t="s">
        <v>752</v>
      </c>
      <c r="C100" s="938">
        <v>3</v>
      </c>
      <c r="D100" s="938">
        <v>6</v>
      </c>
      <c r="E100" s="938">
        <v>200</v>
      </c>
      <c r="F100" s="939">
        <v>0.85</v>
      </c>
      <c r="G100" s="939">
        <v>0.59</v>
      </c>
      <c r="H100" s="955">
        <v>0.112</v>
      </c>
      <c r="I100" s="940">
        <v>0.51900000000000002</v>
      </c>
      <c r="J100" s="940">
        <v>0.121</v>
      </c>
      <c r="K100" s="942">
        <v>536</v>
      </c>
      <c r="L100" s="943">
        <f t="shared" si="47"/>
        <v>537.19218003138815</v>
      </c>
      <c r="M100" s="940">
        <v>0.74</v>
      </c>
      <c r="N100" s="940">
        <v>0.45</v>
      </c>
      <c r="O100" s="511">
        <f t="shared" si="48"/>
        <v>199.24531875008157</v>
      </c>
      <c r="P100" s="945">
        <f t="shared" si="49"/>
        <v>2.6051106815999994E-4</v>
      </c>
      <c r="Q100" s="945">
        <f t="shared" si="50"/>
        <v>1.5841889279999999E-4</v>
      </c>
      <c r="R100" s="548">
        <f t="shared" si="51"/>
        <v>199.29904035683995</v>
      </c>
      <c r="S100" s="946">
        <f>C100*D100*H100*$C$71*Fuel_Specs!$C$13/1000000</f>
        <v>53.199756287999996</v>
      </c>
      <c r="T100" s="947">
        <f>S100*Upstream!$C$99/1000000</f>
        <v>0.90507865891249106</v>
      </c>
      <c r="U100" s="947">
        <f>S100*Upstream!$D$99/1000000</f>
        <v>9.369191492924386E-3</v>
      </c>
      <c r="V100" s="948">
        <f>S100*Upstream!$E$99/1000000</f>
        <v>1.2982704920327072E-5</v>
      </c>
      <c r="W100" s="945">
        <f t="shared" si="52"/>
        <v>1.1431772923018582</v>
      </c>
      <c r="X100" s="949">
        <f t="shared" si="46"/>
        <v>200.44221764914181</v>
      </c>
    </row>
    <row r="101" spans="2:24">
      <c r="B101" s="502" t="s">
        <v>750</v>
      </c>
      <c r="C101" s="938">
        <v>2</v>
      </c>
      <c r="D101" s="938">
        <v>6</v>
      </c>
      <c r="E101" s="938">
        <v>200</v>
      </c>
      <c r="F101" s="939">
        <v>0.25</v>
      </c>
      <c r="G101" s="939">
        <v>0.59</v>
      </c>
      <c r="H101" s="955">
        <v>0.112</v>
      </c>
      <c r="I101" s="940">
        <v>0.51900000000000002</v>
      </c>
      <c r="J101" s="940">
        <v>0.121</v>
      </c>
      <c r="K101" s="942">
        <v>536</v>
      </c>
      <c r="L101" s="943">
        <f t="shared" si="47"/>
        <v>537.19218003138815</v>
      </c>
      <c r="M101" s="940">
        <v>0.74</v>
      </c>
      <c r="N101" s="940">
        <v>0.45</v>
      </c>
      <c r="O101" s="511">
        <f t="shared" si="48"/>
        <v>39.067709558839525</v>
      </c>
      <c r="P101" s="945">
        <f t="shared" si="49"/>
        <v>5.1080601599999992E-5</v>
      </c>
      <c r="Q101" s="945">
        <f t="shared" si="50"/>
        <v>3.1062527999999999E-5</v>
      </c>
      <c r="R101" s="548">
        <f t="shared" si="51"/>
        <v>39.07824320722353</v>
      </c>
      <c r="S101" s="946">
        <f>C101*D101*H101*$C$71*Fuel_Specs!$C$13/1000000</f>
        <v>35.466504192000002</v>
      </c>
      <c r="T101" s="947">
        <f>S101*Upstream!$C$99/1000000</f>
        <v>0.60338577260832749</v>
      </c>
      <c r="U101" s="947">
        <f>S101*Upstream!$D$99/1000000</f>
        <v>6.2461276619495921E-3</v>
      </c>
      <c r="V101" s="948">
        <f>S101*Upstream!$E$99/1000000</f>
        <v>8.655136613551383E-6</v>
      </c>
      <c r="W101" s="945">
        <f t="shared" si="52"/>
        <v>0.76211819486790566</v>
      </c>
      <c r="X101" s="949">
        <f t="shared" si="46"/>
        <v>39.840361402091432</v>
      </c>
    </row>
    <row r="102" spans="2:24">
      <c r="B102" s="502" t="s">
        <v>749</v>
      </c>
      <c r="C102" s="938">
        <v>2</v>
      </c>
      <c r="D102" s="938">
        <v>6</v>
      </c>
      <c r="E102" s="938">
        <v>100</v>
      </c>
      <c r="F102" s="939">
        <v>0.75</v>
      </c>
      <c r="G102" s="939">
        <v>0.21</v>
      </c>
      <c r="H102" s="955">
        <v>0.64600000000000002</v>
      </c>
      <c r="I102" s="940">
        <v>5.7</v>
      </c>
      <c r="J102" s="940">
        <v>0.83199999999999996</v>
      </c>
      <c r="K102" s="942">
        <v>693</v>
      </c>
      <c r="L102" s="943">
        <f t="shared" si="47"/>
        <v>704.54605502093284</v>
      </c>
      <c r="M102" s="940">
        <v>0.74</v>
      </c>
      <c r="N102" s="940">
        <v>0.45</v>
      </c>
      <c r="O102" s="511">
        <f t="shared" si="48"/>
        <v>27.356226951721585</v>
      </c>
      <c r="P102" s="945">
        <f t="shared" si="49"/>
        <v>8.8387683839999984E-4</v>
      </c>
      <c r="Q102" s="945">
        <f t="shared" si="50"/>
        <v>5.3749267200000001E-4</v>
      </c>
      <c r="R102" s="548">
        <f t="shared" si="51"/>
        <v>27.538496688937585</v>
      </c>
      <c r="S102" s="946">
        <f>C102*D102*H102*$C$71*Fuel_Specs!$C$13/1000000</f>
        <v>204.56572953600002</v>
      </c>
      <c r="T102" s="947">
        <f>S102*Upstream!$C$99/1000000</f>
        <v>3.4802429384373177</v>
      </c>
      <c r="U102" s="947">
        <f>S102*Upstream!$D$99/1000000</f>
        <v>3.6026772050173538E-2</v>
      </c>
      <c r="V102" s="948">
        <f>S102*Upstream!$E$99/1000000</f>
        <v>4.9921591538876725E-5</v>
      </c>
      <c r="W102" s="945">
        <f t="shared" si="52"/>
        <v>4.3957888739702415</v>
      </c>
      <c r="X102" s="949">
        <f t="shared" si="46"/>
        <v>31.934285562907824</v>
      </c>
    </row>
    <row r="103" spans="2:24">
      <c r="B103" s="502" t="s">
        <v>779</v>
      </c>
      <c r="C103" s="938">
        <v>1</v>
      </c>
      <c r="D103" s="1001">
        <f>(1230-C71)/C71</f>
        <v>4.9871495327102799</v>
      </c>
      <c r="E103" s="938">
        <v>30</v>
      </c>
      <c r="F103" s="939">
        <v>0.75</v>
      </c>
      <c r="G103" s="939">
        <v>0.45</v>
      </c>
      <c r="H103" s="955">
        <v>3.9</v>
      </c>
      <c r="I103" s="950">
        <f>5/kwperhp</f>
        <v>3.7284993600939971</v>
      </c>
      <c r="J103" s="950">
        <f>0.4/kwperhp</f>
        <v>0.29827994880751979</v>
      </c>
      <c r="K103" s="951">
        <f>690/kwperhp</f>
        <v>514.53291169297154</v>
      </c>
      <c r="L103" s="943">
        <f>K103+J103*VOC_C_Ratio/CO2_C_Ratio+I103*CO_C_Ratio/CO2_C_Ratio</f>
        <v>521.31960925621343</v>
      </c>
      <c r="M103" s="940">
        <v>0.02</v>
      </c>
      <c r="N103" s="940">
        <v>0.09</v>
      </c>
      <c r="O103" s="511">
        <f t="shared" si="48"/>
        <v>5.4079975909529034</v>
      </c>
      <c r="P103" s="945">
        <f t="shared" si="49"/>
        <v>5.9936759999999989E-5</v>
      </c>
      <c r="Q103" s="945">
        <f t="shared" si="50"/>
        <v>2.6971541999999996E-4</v>
      </c>
      <c r="R103" s="548">
        <f t="shared" si="51"/>
        <v>5.4898712051129035</v>
      </c>
      <c r="S103" s="946">
        <f>C103*D103*H103*$C$71*Fuel_Specs!$C$13/1000000</f>
        <v>513.25845479999987</v>
      </c>
      <c r="T103" s="947">
        <f>S103*Upstream!$C$99/1000000</f>
        <v>8.7319812412498798</v>
      </c>
      <c r="U103" s="947">
        <f>S103*Upstream!$D$99/1000000</f>
        <v>9.0391706352015294E-2</v>
      </c>
      <c r="V103" s="948">
        <f>S103*Upstream!$E$99/1000000</f>
        <v>1.2525401489544937E-4</v>
      </c>
      <c r="W103" s="945">
        <f t="shared" si="52"/>
        <v>11.029099596489106</v>
      </c>
      <c r="X103" s="949">
        <f t="shared" si="46"/>
        <v>16.518970801602009</v>
      </c>
    </row>
    <row r="104" spans="2:24">
      <c r="B104" s="964" t="s">
        <v>778</v>
      </c>
      <c r="C104" s="1002">
        <v>1</v>
      </c>
      <c r="D104" s="1003">
        <f>(420-C71)/C71</f>
        <v>1.044392523364486</v>
      </c>
      <c r="E104" s="1002">
        <v>500</v>
      </c>
      <c r="F104" s="1004">
        <v>0.85</v>
      </c>
      <c r="G104" s="1004">
        <v>0.45</v>
      </c>
      <c r="H104" s="1005">
        <v>31.8</v>
      </c>
      <c r="I104" s="1006">
        <f>5/kwperhp</f>
        <v>3.7284993600939971</v>
      </c>
      <c r="J104" s="1006">
        <f>0.3/kwperhp</f>
        <v>0.2237099616056398</v>
      </c>
      <c r="K104" s="1007">
        <f>690/kwperhp</f>
        <v>514.53291169297154</v>
      </c>
      <c r="L104" s="1008">
        <f>K104+J104*VOC_C_Ratio/CO2_C_Ratio+I104*CO_C_Ratio/CO2_C_Ratio</f>
        <v>521.08741337075173</v>
      </c>
      <c r="M104" s="1009">
        <v>0.02</v>
      </c>
      <c r="N104" s="1009">
        <v>0.09</v>
      </c>
      <c r="O104" s="965">
        <f t="shared" si="48"/>
        <v>21.382613572703448</v>
      </c>
      <c r="P104" s="966">
        <f t="shared" si="49"/>
        <v>1.1599113599999999E-4</v>
      </c>
      <c r="Q104" s="966">
        <f t="shared" si="50"/>
        <v>5.219601119999999E-4</v>
      </c>
      <c r="R104" s="1010">
        <f>O104+P104*CH4_GWP+Q104*N2O_GWP</f>
        <v>21.541057464479447</v>
      </c>
      <c r="S104" s="1011">
        <f>C104*D104*H104*$C$71*Fuel_Specs!$C$13/1000000</f>
        <v>876.41537760000006</v>
      </c>
      <c r="T104" s="1012">
        <f>S104*Upstream!$C$99/1000000</f>
        <v>14.910309932893741</v>
      </c>
      <c r="U104" s="1012">
        <f>S104*Upstream!$D$99/1000000</f>
        <v>0.15434851723052381</v>
      </c>
      <c r="V104" s="1013">
        <f>S104*Upstream!$E$99/1000000</f>
        <v>2.1387771352599904E-4</v>
      </c>
      <c r="W104" s="966">
        <f>T104+U104*CH4_GWP+V104*N2O_GWP</f>
        <v>18.832758422287583</v>
      </c>
      <c r="X104" s="1014">
        <f>R104+W104</f>
        <v>40.373815886767034</v>
      </c>
    </row>
    <row r="105" spans="2:24">
      <c r="B105" s="969"/>
      <c r="C105" s="967"/>
      <c r="D105" s="967"/>
      <c r="E105" s="967"/>
      <c r="F105" s="967"/>
      <c r="G105" s="967"/>
      <c r="H105" s="1015"/>
      <c r="I105" s="1016"/>
      <c r="J105" s="1017"/>
      <c r="K105" s="971"/>
      <c r="L105" s="1018"/>
      <c r="M105" s="1019"/>
      <c r="N105" s="970" t="s">
        <v>728</v>
      </c>
      <c r="O105" s="971">
        <f>SUM(O79:O104)</f>
        <v>1703.273065798094</v>
      </c>
      <c r="P105" s="972">
        <f>SUM(P79:P104)</f>
        <v>1.7791666257599998E-2</v>
      </c>
      <c r="Q105" s="972">
        <f t="shared" ref="Q105" si="53">SUM(Q79:Q104)</f>
        <v>1.1503948859999997E-2</v>
      </c>
      <c r="R105" s="1020">
        <f t="shared" si="51"/>
        <v>1707.1460342148139</v>
      </c>
      <c r="S105" s="1021">
        <f>SUM(S79:S104)</f>
        <v>4969.2574340640003</v>
      </c>
      <c r="T105" s="1022">
        <f>SUM(T79:T104)</f>
        <v>84.541155223826962</v>
      </c>
      <c r="U105" s="1022">
        <f t="shared" ref="U105:W105" si="54">SUM(U79:U104)</f>
        <v>0.87515296546359433</v>
      </c>
      <c r="V105" s="1022">
        <f t="shared" si="54"/>
        <v>1.2126823023463132E-3</v>
      </c>
      <c r="W105" s="1022">
        <f t="shared" si="54"/>
        <v>106.78135868651603</v>
      </c>
      <c r="X105" s="1022">
        <f>SUM(X79:X104)</f>
        <v>1813.9273929013302</v>
      </c>
    </row>
    <row r="106" spans="2:24">
      <c r="L106" s="503"/>
      <c r="M106" s="504"/>
      <c r="N106" s="504"/>
      <c r="P106" s="505"/>
      <c r="Q106" s="505"/>
      <c r="R106" s="505"/>
    </row>
    <row r="107" spans="2:24">
      <c r="L107" s="503"/>
      <c r="M107" s="504"/>
      <c r="N107" s="504"/>
      <c r="P107" s="505"/>
      <c r="Q107" s="505"/>
      <c r="R107" s="505"/>
    </row>
    <row r="108" spans="2:24" ht="15.75">
      <c r="B108" s="497" t="s">
        <v>786</v>
      </c>
      <c r="C108" s="498"/>
      <c r="D108" s="498"/>
      <c r="E108" s="498"/>
      <c r="F108" s="498"/>
      <c r="G108" s="498"/>
      <c r="H108" s="978"/>
      <c r="K108" s="498"/>
      <c r="L108" s="502"/>
      <c r="M108" s="506"/>
      <c r="N108" s="507"/>
      <c r="O108" s="498"/>
      <c r="P108" s="508"/>
      <c r="Q108" s="508"/>
    </row>
    <row r="109" spans="2:24" ht="62.25" thickBot="1">
      <c r="B109" s="957" t="s">
        <v>772</v>
      </c>
      <c r="C109" s="958" t="s">
        <v>771</v>
      </c>
      <c r="D109" s="959" t="s">
        <v>785</v>
      </c>
      <c r="E109" s="960" t="s">
        <v>769</v>
      </c>
      <c r="F109" s="960" t="s">
        <v>768</v>
      </c>
      <c r="G109" s="960" t="s">
        <v>767</v>
      </c>
      <c r="H109" s="979" t="s">
        <v>766</v>
      </c>
      <c r="I109" s="959" t="s">
        <v>822</v>
      </c>
      <c r="J109" s="959" t="s">
        <v>823</v>
      </c>
      <c r="K109" s="959" t="s">
        <v>784</v>
      </c>
      <c r="L109" s="960" t="s">
        <v>1111</v>
      </c>
      <c r="M109" s="960" t="s">
        <v>836</v>
      </c>
      <c r="N109" s="960" t="s">
        <v>834</v>
      </c>
      <c r="O109" s="961" t="s">
        <v>1112</v>
      </c>
      <c r="P109" s="962" t="s">
        <v>765</v>
      </c>
      <c r="Q109" s="962" t="s">
        <v>764</v>
      </c>
      <c r="R109" s="963" t="s">
        <v>838</v>
      </c>
      <c r="S109" s="963" t="s">
        <v>833</v>
      </c>
      <c r="T109" s="961" t="s">
        <v>829</v>
      </c>
      <c r="U109" s="959" t="s">
        <v>830</v>
      </c>
      <c r="V109" s="959" t="s">
        <v>831</v>
      </c>
      <c r="W109" s="961" t="s">
        <v>840</v>
      </c>
      <c r="X109" s="963" t="s">
        <v>839</v>
      </c>
    </row>
    <row r="110" spans="2:24" ht="13.5" thickTop="1">
      <c r="B110" s="936" t="s">
        <v>782</v>
      </c>
      <c r="C110" s="502"/>
      <c r="D110" s="502"/>
      <c r="E110" s="502"/>
      <c r="F110" s="502"/>
      <c r="G110" s="502"/>
      <c r="H110" s="980"/>
      <c r="I110" s="502"/>
      <c r="J110" s="502"/>
      <c r="K110" s="502"/>
      <c r="L110" s="502"/>
      <c r="M110" s="506"/>
      <c r="N110" s="507"/>
      <c r="O110" s="502"/>
      <c r="P110" s="937"/>
      <c r="Q110" s="937"/>
      <c r="X110" s="509"/>
    </row>
    <row r="111" spans="2:24">
      <c r="B111" s="502" t="s">
        <v>776</v>
      </c>
      <c r="C111" s="938">
        <v>1</v>
      </c>
      <c r="D111" s="938">
        <v>6</v>
      </c>
      <c r="E111" s="938">
        <v>165</v>
      </c>
      <c r="F111" s="939">
        <v>0.75</v>
      </c>
      <c r="G111" s="939">
        <v>0.21</v>
      </c>
      <c r="H111" s="955">
        <v>0.52</v>
      </c>
      <c r="I111" s="941">
        <v>2.33</v>
      </c>
      <c r="J111" s="941">
        <v>0.60599999999999998</v>
      </c>
      <c r="K111" s="942">
        <v>625</v>
      </c>
      <c r="L111" s="943">
        <f t="shared" ref="L111:L125" si="55">K111+J111*VOC_C_Ratio/CO2_C_Ratio+I111*CO_C_Ratio/CO2_C_Ratio</f>
        <v>630.54766757391053</v>
      </c>
      <c r="M111" s="940">
        <v>0.74</v>
      </c>
      <c r="N111" s="940">
        <v>0.45</v>
      </c>
      <c r="O111" s="944">
        <f t="shared" ref="O111:O125" si="56">E111*$C$71*L111*C111*D111/1000000*F111*G111</f>
        <v>20.19847972245395</v>
      </c>
      <c r="P111" s="945">
        <f t="shared" ref="P111:P125" si="57">$C111*$H111*$C$71*$D111*M111/1000000*$F111</f>
        <v>3.5573990400000001E-4</v>
      </c>
      <c r="Q111" s="945">
        <f t="shared" ref="Q111:Q125" si="58">$C111*$H111*$C$71*$D111*N111/1000000*$F111</f>
        <v>2.1632832E-4</v>
      </c>
      <c r="R111" s="548">
        <f t="shared" ref="R111:R125" si="59">O111+P111*CH4_GWP+Q111*N2O_GWP</f>
        <v>20.271839059413949</v>
      </c>
      <c r="S111" s="946">
        <f>C111*D111*H111*$C$71*Fuel_Specs!$C$13/1000000</f>
        <v>82.332956159999995</v>
      </c>
      <c r="T111" s="947">
        <f>S111*Upstream!$C$99/1000000</f>
        <v>1.4007169721264743</v>
      </c>
      <c r="U111" s="947">
        <f>S111*Upstream!$D$99/1000000</f>
        <v>1.4499939215240121E-2</v>
      </c>
      <c r="V111" s="948">
        <f>S111*Upstream!$E$99/1000000</f>
        <v>2.0092281424315709E-5</v>
      </c>
      <c r="W111" s="945">
        <f t="shared" ref="W111:W125" si="60">T111+U111*CH4_GWP+V111*N2O_GWP</f>
        <v>1.7692029523719233</v>
      </c>
      <c r="X111" s="949">
        <f>R111+W111</f>
        <v>22.041042011785873</v>
      </c>
    </row>
    <row r="112" spans="2:24">
      <c r="B112" s="502" t="s">
        <v>762</v>
      </c>
      <c r="C112" s="938">
        <v>1</v>
      </c>
      <c r="D112" s="938">
        <v>6</v>
      </c>
      <c r="E112" s="938">
        <v>250</v>
      </c>
      <c r="F112" s="939">
        <v>0.85</v>
      </c>
      <c r="G112" s="939">
        <v>0.43</v>
      </c>
      <c r="H112" s="955">
        <v>0.17</v>
      </c>
      <c r="I112" s="941">
        <v>0.42899999999999999</v>
      </c>
      <c r="J112" s="941">
        <v>0.17499999999999999</v>
      </c>
      <c r="K112" s="942">
        <v>530</v>
      </c>
      <c r="L112" s="943">
        <f t="shared" si="55"/>
        <v>531.21892447176219</v>
      </c>
      <c r="M112" s="940">
        <v>0.74</v>
      </c>
      <c r="N112" s="940">
        <v>0.45</v>
      </c>
      <c r="O112" s="944">
        <f t="shared" si="56"/>
        <v>59.832504886187266</v>
      </c>
      <c r="P112" s="945">
        <f t="shared" si="57"/>
        <v>1.3180619520000001E-4</v>
      </c>
      <c r="Q112" s="945">
        <f t="shared" si="58"/>
        <v>8.0152416000000019E-5</v>
      </c>
      <c r="R112" s="548">
        <f t="shared" si="59"/>
        <v>59.859685461035269</v>
      </c>
      <c r="S112" s="946">
        <f>C112*D112*H112*$C$71*Fuel_Specs!$C$13/1000000</f>
        <v>26.916543359999999</v>
      </c>
      <c r="T112" s="947">
        <f>S112*Upstream!$C$99/1000000</f>
        <v>0.45792670242596273</v>
      </c>
      <c r="U112" s="947">
        <f>S112*Upstream!$D$99/1000000</f>
        <v>4.7403647434438858E-3</v>
      </c>
      <c r="V112" s="948">
        <f>S112*Upstream!$E$99/1000000</f>
        <v>6.5686304656416732E-6</v>
      </c>
      <c r="W112" s="945">
        <f t="shared" si="60"/>
        <v>0.5783932728908211</v>
      </c>
      <c r="X112" s="949">
        <f t="shared" ref="X112:X154" si="61">R112+W112</f>
        <v>60.438078733926091</v>
      </c>
    </row>
    <row r="113" spans="2:26">
      <c r="B113" s="502" t="s">
        <v>761</v>
      </c>
      <c r="C113" s="938">
        <v>1</v>
      </c>
      <c r="D113" s="938">
        <v>6</v>
      </c>
      <c r="E113" s="938">
        <v>300</v>
      </c>
      <c r="F113" s="939">
        <v>0.85</v>
      </c>
      <c r="G113" s="939">
        <v>0.43</v>
      </c>
      <c r="H113" s="955">
        <v>0.17</v>
      </c>
      <c r="I113" s="941">
        <v>0.42899999999999999</v>
      </c>
      <c r="J113" s="941">
        <v>0.17499999999999999</v>
      </c>
      <c r="K113" s="942">
        <v>530</v>
      </c>
      <c r="L113" s="943">
        <f t="shared" si="55"/>
        <v>531.21892447176219</v>
      </c>
      <c r="M113" s="940">
        <v>0.74</v>
      </c>
      <c r="N113" s="940">
        <v>0.45</v>
      </c>
      <c r="O113" s="944">
        <f t="shared" si="56"/>
        <v>71.799005863424711</v>
      </c>
      <c r="P113" s="945">
        <f t="shared" si="57"/>
        <v>1.3180619520000001E-4</v>
      </c>
      <c r="Q113" s="945">
        <f t="shared" si="58"/>
        <v>8.0152416000000019E-5</v>
      </c>
      <c r="R113" s="548">
        <f t="shared" si="59"/>
        <v>71.826186438272714</v>
      </c>
      <c r="S113" s="946">
        <f>C113*D113*H113*$C$71*Fuel_Specs!$C$13/1000000</f>
        <v>26.916543359999999</v>
      </c>
      <c r="T113" s="947">
        <f>S113*Upstream!$C$99/1000000</f>
        <v>0.45792670242596273</v>
      </c>
      <c r="U113" s="947">
        <f>S113*Upstream!$D$99/1000000</f>
        <v>4.7403647434438858E-3</v>
      </c>
      <c r="V113" s="948">
        <f>S113*Upstream!$E$99/1000000</f>
        <v>6.5686304656416732E-6</v>
      </c>
      <c r="W113" s="945">
        <f t="shared" si="60"/>
        <v>0.5783932728908211</v>
      </c>
      <c r="X113" s="949">
        <f t="shared" si="61"/>
        <v>72.404579711163535</v>
      </c>
    </row>
    <row r="114" spans="2:26">
      <c r="B114" s="502" t="s">
        <v>760</v>
      </c>
      <c r="C114" s="938">
        <v>1</v>
      </c>
      <c r="D114" s="938">
        <v>6</v>
      </c>
      <c r="E114" s="938">
        <v>85</v>
      </c>
      <c r="F114" s="939">
        <v>0.85</v>
      </c>
      <c r="G114" s="939">
        <v>0.43</v>
      </c>
      <c r="H114" s="955">
        <v>0.42</v>
      </c>
      <c r="I114" s="941">
        <v>1.542</v>
      </c>
      <c r="J114" s="941">
        <v>0.23</v>
      </c>
      <c r="K114" s="942">
        <v>590</v>
      </c>
      <c r="L114" s="943">
        <f t="shared" si="55"/>
        <v>593.13883816879763</v>
      </c>
      <c r="M114" s="940">
        <v>0.74</v>
      </c>
      <c r="N114" s="940">
        <v>0.45</v>
      </c>
      <c r="O114" s="944">
        <f t="shared" si="56"/>
        <v>22.714277431271913</v>
      </c>
      <c r="P114" s="945">
        <f t="shared" si="57"/>
        <v>3.2563883519999993E-4</v>
      </c>
      <c r="Q114" s="945">
        <f t="shared" si="58"/>
        <v>1.9802361599999995E-4</v>
      </c>
      <c r="R114" s="548">
        <f t="shared" si="59"/>
        <v>22.781429439719911</v>
      </c>
      <c r="S114" s="946">
        <f>C114*D114*H114*$C$71*Fuel_Specs!$C$13/1000000</f>
        <v>66.499695360000004</v>
      </c>
      <c r="T114" s="947">
        <f>S114*Upstream!$C$99/1000000</f>
        <v>1.1313483236406141</v>
      </c>
      <c r="U114" s="947">
        <f>S114*Upstream!$D$99/1000000</f>
        <v>1.1711489366155485E-2</v>
      </c>
      <c r="V114" s="948">
        <f>S114*Upstream!$E$99/1000000</f>
        <v>1.6228381150408843E-5</v>
      </c>
      <c r="W114" s="945">
        <f t="shared" si="60"/>
        <v>1.4289716153773231</v>
      </c>
      <c r="X114" s="949">
        <f t="shared" si="61"/>
        <v>24.210401055097236</v>
      </c>
    </row>
    <row r="115" spans="2:26">
      <c r="B115" s="502" t="s">
        <v>759</v>
      </c>
      <c r="C115" s="938">
        <v>1</v>
      </c>
      <c r="D115" s="938">
        <v>6</v>
      </c>
      <c r="E115" s="938">
        <v>100</v>
      </c>
      <c r="F115" s="939">
        <v>0.85</v>
      </c>
      <c r="G115" s="939">
        <v>0.43</v>
      </c>
      <c r="H115" s="955">
        <v>0.42</v>
      </c>
      <c r="I115" s="941">
        <v>1.542</v>
      </c>
      <c r="J115" s="941">
        <v>0.23</v>
      </c>
      <c r="K115" s="942">
        <v>590</v>
      </c>
      <c r="L115" s="943">
        <f t="shared" si="55"/>
        <v>593.13883816879763</v>
      </c>
      <c r="M115" s="940">
        <v>0.74</v>
      </c>
      <c r="N115" s="940">
        <v>0.45</v>
      </c>
      <c r="O115" s="944">
        <f t="shared" si="56"/>
        <v>26.722679330908136</v>
      </c>
      <c r="P115" s="945">
        <f t="shared" si="57"/>
        <v>3.2563883519999993E-4</v>
      </c>
      <c r="Q115" s="945">
        <f t="shared" si="58"/>
        <v>1.9802361599999995E-4</v>
      </c>
      <c r="R115" s="548">
        <f t="shared" si="59"/>
        <v>26.789831339356134</v>
      </c>
      <c r="S115" s="946">
        <f>C115*D115*H115*$C$71*Fuel_Specs!$C$13/1000000</f>
        <v>66.499695360000004</v>
      </c>
      <c r="T115" s="947">
        <f>S115*Upstream!$C$99/1000000</f>
        <v>1.1313483236406141</v>
      </c>
      <c r="U115" s="947">
        <f>S115*Upstream!$D$99/1000000</f>
        <v>1.1711489366155485E-2</v>
      </c>
      <c r="V115" s="948">
        <f>S115*Upstream!$E$99/1000000</f>
        <v>1.6228381150408843E-5</v>
      </c>
      <c r="W115" s="945">
        <f t="shared" si="60"/>
        <v>1.4289716153773231</v>
      </c>
      <c r="X115" s="949">
        <f t="shared" si="61"/>
        <v>28.218802954733455</v>
      </c>
    </row>
    <row r="116" spans="2:26">
      <c r="B116" s="502" t="s">
        <v>758</v>
      </c>
      <c r="C116" s="938">
        <v>2</v>
      </c>
      <c r="D116" s="938">
        <v>6</v>
      </c>
      <c r="E116" s="938">
        <v>55</v>
      </c>
      <c r="F116" s="939">
        <v>1</v>
      </c>
      <c r="G116" s="939">
        <v>0.43</v>
      </c>
      <c r="H116" s="955">
        <v>1.02</v>
      </c>
      <c r="I116" s="941">
        <v>0.90800000000000003</v>
      </c>
      <c r="J116" s="941">
        <v>0.20699999999999999</v>
      </c>
      <c r="K116" s="942">
        <v>590</v>
      </c>
      <c r="L116" s="943">
        <f t="shared" si="55"/>
        <v>592.07113173428581</v>
      </c>
      <c r="M116" s="940">
        <v>0.74</v>
      </c>
      <c r="N116" s="940">
        <v>0.45</v>
      </c>
      <c r="O116" s="944">
        <f t="shared" si="56"/>
        <v>34.520039479530936</v>
      </c>
      <c r="P116" s="945">
        <f t="shared" si="57"/>
        <v>1.8607933439999998E-3</v>
      </c>
      <c r="Q116" s="945">
        <f t="shared" si="58"/>
        <v>1.13156352E-3</v>
      </c>
      <c r="R116" s="548">
        <f t="shared" si="59"/>
        <v>34.903765242090941</v>
      </c>
      <c r="S116" s="946">
        <f>C116*D116*H116*$C$71*Fuel_Specs!$C$13/1000000</f>
        <v>322.99852032000001</v>
      </c>
      <c r="T116" s="947">
        <f>S116*Upstream!$C$99/1000000</f>
        <v>5.4951204291115534</v>
      </c>
      <c r="U116" s="947">
        <f>S116*Upstream!$D$99/1000000</f>
        <v>5.6884376921326633E-2</v>
      </c>
      <c r="V116" s="948">
        <f>S116*Upstream!$E$99/1000000</f>
        <v>7.8823565587700088E-5</v>
      </c>
      <c r="W116" s="945">
        <f t="shared" si="60"/>
        <v>6.9407192746898536</v>
      </c>
      <c r="X116" s="949">
        <f t="shared" si="61"/>
        <v>41.844484516780796</v>
      </c>
    </row>
    <row r="117" spans="2:26">
      <c r="B117" s="502" t="s">
        <v>757</v>
      </c>
      <c r="C117" s="938">
        <v>2</v>
      </c>
      <c r="D117" s="938">
        <v>6</v>
      </c>
      <c r="E117" s="938">
        <v>65</v>
      </c>
      <c r="F117" s="939">
        <v>0.85</v>
      </c>
      <c r="G117" s="939">
        <v>0.59</v>
      </c>
      <c r="H117" s="955">
        <v>0.73</v>
      </c>
      <c r="I117" s="941">
        <v>2.4079999999999999</v>
      </c>
      <c r="J117" s="941">
        <v>0.28000000000000003</v>
      </c>
      <c r="K117" s="942">
        <v>595</v>
      </c>
      <c r="L117" s="943">
        <f t="shared" si="55"/>
        <v>599.65511662567258</v>
      </c>
      <c r="M117" s="940">
        <v>0.74</v>
      </c>
      <c r="N117" s="940">
        <v>0.45</v>
      </c>
      <c r="O117" s="944">
        <f t="shared" si="56"/>
        <v>48.189463374412185</v>
      </c>
      <c r="P117" s="945">
        <f t="shared" si="57"/>
        <v>1.1319826175999999E-3</v>
      </c>
      <c r="Q117" s="945">
        <f t="shared" si="58"/>
        <v>6.8836780799999997E-4</v>
      </c>
      <c r="R117" s="548">
        <f t="shared" si="59"/>
        <v>48.422896546636188</v>
      </c>
      <c r="S117" s="946">
        <f>C117*D117*H117*$C$71*Fuel_Specs!$C$13/1000000</f>
        <v>231.16560767999997</v>
      </c>
      <c r="T117" s="947">
        <f>S117*Upstream!$C$99/1000000</f>
        <v>3.932782267893562</v>
      </c>
      <c r="U117" s="947">
        <f>S117*Upstream!$D$99/1000000</f>
        <v>4.0711367796635721E-2</v>
      </c>
      <c r="V117" s="948">
        <f>S117*Upstream!$E$99/1000000</f>
        <v>5.6412943999040254E-5</v>
      </c>
      <c r="W117" s="945">
        <f t="shared" si="60"/>
        <v>4.9673775201211692</v>
      </c>
      <c r="X117" s="949">
        <f t="shared" si="61"/>
        <v>53.390274066757357</v>
      </c>
    </row>
    <row r="118" spans="2:26">
      <c r="B118" s="502" t="s">
        <v>756</v>
      </c>
      <c r="C118" s="938">
        <v>2</v>
      </c>
      <c r="D118" s="938">
        <v>6</v>
      </c>
      <c r="E118" s="938">
        <v>65</v>
      </c>
      <c r="F118" s="939">
        <v>0.85</v>
      </c>
      <c r="G118" s="939">
        <v>0.59</v>
      </c>
      <c r="H118" s="955">
        <v>0.49</v>
      </c>
      <c r="I118" s="941">
        <v>1.7689999999999999</v>
      </c>
      <c r="J118" s="941">
        <v>0.192</v>
      </c>
      <c r="K118" s="942">
        <v>596</v>
      </c>
      <c r="L118" s="943">
        <f t="shared" si="55"/>
        <v>599.37715772169599</v>
      </c>
      <c r="M118" s="940">
        <v>0.74</v>
      </c>
      <c r="N118" s="940">
        <v>0.45</v>
      </c>
      <c r="O118" s="944">
        <f t="shared" si="56"/>
        <v>48.16712605075498</v>
      </c>
      <c r="P118" s="945">
        <f t="shared" si="57"/>
        <v>7.5982394880000001E-4</v>
      </c>
      <c r="Q118" s="945">
        <f t="shared" si="58"/>
        <v>4.6205510400000003E-4</v>
      </c>
      <c r="R118" s="548">
        <f t="shared" si="59"/>
        <v>48.32381407046698</v>
      </c>
      <c r="S118" s="946">
        <f>C118*D118*H118*$C$71*Fuel_Specs!$C$13/1000000</f>
        <v>155.16595584000001</v>
      </c>
      <c r="T118" s="947">
        <f>S118*Upstream!$C$99/1000000</f>
        <v>2.6398127551614325</v>
      </c>
      <c r="U118" s="947">
        <f>S118*Upstream!$D$99/1000000</f>
        <v>2.7326808521029464E-2</v>
      </c>
      <c r="V118" s="948">
        <f>S118*Upstream!$E$99/1000000</f>
        <v>3.7866222684287303E-5</v>
      </c>
      <c r="W118" s="945">
        <f t="shared" si="60"/>
        <v>3.3342671025470869</v>
      </c>
      <c r="X118" s="949">
        <f t="shared" si="61"/>
        <v>51.658081173014068</v>
      </c>
    </row>
    <row r="119" spans="2:26">
      <c r="B119" s="502" t="s">
        <v>753</v>
      </c>
      <c r="C119" s="938">
        <v>2</v>
      </c>
      <c r="D119" s="938">
        <v>6</v>
      </c>
      <c r="E119" s="938">
        <v>250</v>
      </c>
      <c r="F119" s="939">
        <v>0.85</v>
      </c>
      <c r="G119" s="939">
        <v>0.59</v>
      </c>
      <c r="H119" s="955">
        <v>7.0000000000000007E-2</v>
      </c>
      <c r="I119" s="941">
        <v>0.20300000000000001</v>
      </c>
      <c r="J119" s="941">
        <v>0.13700000000000001</v>
      </c>
      <c r="K119" s="942">
        <v>536</v>
      </c>
      <c r="L119" s="943">
        <f t="shared" si="55"/>
        <v>536.7455273806687</v>
      </c>
      <c r="M119" s="940">
        <v>0.74</v>
      </c>
      <c r="N119" s="940">
        <v>0.45</v>
      </c>
      <c r="O119" s="944">
        <f t="shared" si="56"/>
        <v>165.89971222277975</v>
      </c>
      <c r="P119" s="945">
        <f t="shared" si="57"/>
        <v>1.0854627839999999E-4</v>
      </c>
      <c r="Q119" s="945">
        <f t="shared" si="58"/>
        <v>6.6007872000000006E-5</v>
      </c>
      <c r="R119" s="548">
        <f t="shared" si="59"/>
        <v>165.92209622559577</v>
      </c>
      <c r="S119" s="946">
        <f>C119*D119*H119*$C$71*Fuel_Specs!$C$13/1000000</f>
        <v>22.166565120000001</v>
      </c>
      <c r="T119" s="947">
        <f>S119*Upstream!$C$99/1000000</f>
        <v>0.37711610788020467</v>
      </c>
      <c r="U119" s="947">
        <f>S119*Upstream!$D$99/1000000</f>
        <v>3.9038297887184947E-3</v>
      </c>
      <c r="V119" s="948">
        <f>S119*Upstream!$E$99/1000000</f>
        <v>5.4094603834696141E-6</v>
      </c>
      <c r="W119" s="945">
        <f t="shared" si="60"/>
        <v>0.47632387179244101</v>
      </c>
      <c r="X119" s="949">
        <f t="shared" si="61"/>
        <v>166.3984200973882</v>
      </c>
    </row>
    <row r="120" spans="2:26">
      <c r="B120" s="502" t="s">
        <v>775</v>
      </c>
      <c r="C120" s="938">
        <v>2</v>
      </c>
      <c r="D120" s="938">
        <v>6</v>
      </c>
      <c r="E120" s="938">
        <v>285</v>
      </c>
      <c r="F120" s="939">
        <v>0.75</v>
      </c>
      <c r="G120" s="939">
        <v>0.59</v>
      </c>
      <c r="H120" s="955">
        <v>7.0000000000000007E-2</v>
      </c>
      <c r="I120" s="941">
        <v>0.20300000000000001</v>
      </c>
      <c r="J120" s="941">
        <v>0.13700000000000001</v>
      </c>
      <c r="K120" s="942">
        <v>536</v>
      </c>
      <c r="L120" s="943">
        <f t="shared" si="55"/>
        <v>536.7455273806687</v>
      </c>
      <c r="M120" s="940">
        <v>0.74</v>
      </c>
      <c r="N120" s="940">
        <v>0.45</v>
      </c>
      <c r="O120" s="944">
        <f t="shared" si="56"/>
        <v>166.87559288291374</v>
      </c>
      <c r="P120" s="945">
        <f t="shared" si="57"/>
        <v>9.5776128000000003E-5</v>
      </c>
      <c r="Q120" s="945">
        <f t="shared" si="58"/>
        <v>5.8242240000000006E-5</v>
      </c>
      <c r="R120" s="548">
        <f t="shared" si="59"/>
        <v>166.89534347363372</v>
      </c>
      <c r="S120" s="946">
        <f>C120*D120*H120*$C$71*Fuel_Specs!$C$13/1000000</f>
        <v>22.166565120000001</v>
      </c>
      <c r="T120" s="947">
        <f>S120*Upstream!$C$99/1000000</f>
        <v>0.37711610788020467</v>
      </c>
      <c r="U120" s="947">
        <f>S120*Upstream!$D$99/1000000</f>
        <v>3.9038297887184947E-3</v>
      </c>
      <c r="V120" s="948">
        <f>S120*Upstream!$E$99/1000000</f>
        <v>5.4094603834696141E-6</v>
      </c>
      <c r="W120" s="945">
        <f t="shared" si="60"/>
        <v>0.47632387179244101</v>
      </c>
      <c r="X120" s="949">
        <f t="shared" si="61"/>
        <v>167.37166734542615</v>
      </c>
    </row>
    <row r="121" spans="2:26">
      <c r="B121" s="502" t="s">
        <v>752</v>
      </c>
      <c r="C121" s="938">
        <v>1</v>
      </c>
      <c r="D121" s="938">
        <v>6</v>
      </c>
      <c r="E121" s="938">
        <v>200</v>
      </c>
      <c r="F121" s="939">
        <v>0.85</v>
      </c>
      <c r="G121" s="939">
        <v>0.59</v>
      </c>
      <c r="H121" s="955">
        <v>0.11</v>
      </c>
      <c r="I121" s="941">
        <v>0.32200000000000001</v>
      </c>
      <c r="J121" s="941">
        <v>0.14099999999999999</v>
      </c>
      <c r="K121" s="942">
        <v>536</v>
      </c>
      <c r="L121" s="943">
        <f t="shared" si="55"/>
        <v>536.94494566503158</v>
      </c>
      <c r="M121" s="940">
        <v>0.74</v>
      </c>
      <c r="N121" s="940">
        <v>0.45</v>
      </c>
      <c r="O121" s="944">
        <f t="shared" si="56"/>
        <v>66.384539727801808</v>
      </c>
      <c r="P121" s="945">
        <f t="shared" si="57"/>
        <v>8.5286361600000007E-5</v>
      </c>
      <c r="Q121" s="945">
        <f t="shared" si="58"/>
        <v>5.1863328000000005E-5</v>
      </c>
      <c r="R121" s="548">
        <f t="shared" si="59"/>
        <v>66.402127158585813</v>
      </c>
      <c r="S121" s="946">
        <f>C121*D121*H121*$C$71*Fuel_Specs!$C$13/1000000</f>
        <v>17.416586880000004</v>
      </c>
      <c r="T121" s="947">
        <f>S121*Upstream!$C$99/1000000</f>
        <v>0.2963055133344466</v>
      </c>
      <c r="U121" s="947">
        <f>S121*Upstream!$D$99/1000000</f>
        <v>3.0672948339931037E-3</v>
      </c>
      <c r="V121" s="948">
        <f>S121*Upstream!$E$99/1000000</f>
        <v>4.2502903012975543E-6</v>
      </c>
      <c r="W121" s="945">
        <f t="shared" si="60"/>
        <v>0.37425447069406087</v>
      </c>
      <c r="X121" s="949">
        <f t="shared" si="61"/>
        <v>66.776381629279868</v>
      </c>
    </row>
    <row r="122" spans="2:26">
      <c r="B122" s="502" t="s">
        <v>751</v>
      </c>
      <c r="C122" s="938">
        <v>1</v>
      </c>
      <c r="D122" s="938">
        <v>6</v>
      </c>
      <c r="E122" s="938">
        <v>85</v>
      </c>
      <c r="F122" s="939">
        <v>0.5</v>
      </c>
      <c r="G122" s="939">
        <v>0.59</v>
      </c>
      <c r="H122" s="955">
        <v>0.65</v>
      </c>
      <c r="I122" s="941">
        <v>2.2650000000000001</v>
      </c>
      <c r="J122" s="941">
        <v>0.25700000000000001</v>
      </c>
      <c r="K122" s="942">
        <v>595</v>
      </c>
      <c r="L122" s="943">
        <f t="shared" si="55"/>
        <v>599.35882933509015</v>
      </c>
      <c r="M122" s="940">
        <v>0.74</v>
      </c>
      <c r="N122" s="940">
        <v>0.45</v>
      </c>
      <c r="O122" s="944">
        <f t="shared" si="56"/>
        <v>18.525251209844509</v>
      </c>
      <c r="P122" s="945">
        <f t="shared" si="57"/>
        <v>2.9644992000000002E-4</v>
      </c>
      <c r="Q122" s="945">
        <f t="shared" si="58"/>
        <v>1.8027360000000001E-4</v>
      </c>
      <c r="R122" s="548">
        <f t="shared" si="59"/>
        <v>18.58638399064451</v>
      </c>
      <c r="S122" s="946">
        <f>C122*D122*H122*$C$71*Fuel_Specs!$C$13/1000000</f>
        <v>102.9161952</v>
      </c>
      <c r="T122" s="947">
        <f>S122*Upstream!$C$99/1000000</f>
        <v>1.7508962151580931</v>
      </c>
      <c r="U122" s="947">
        <f>S122*Upstream!$D$99/1000000</f>
        <v>1.8124924019050154E-2</v>
      </c>
      <c r="V122" s="948">
        <f>S122*Upstream!$E$99/1000000</f>
        <v>2.5115351780394635E-5</v>
      </c>
      <c r="W122" s="945">
        <f t="shared" si="60"/>
        <v>2.2115036904649044</v>
      </c>
      <c r="X122" s="949">
        <f t="shared" si="61"/>
        <v>20.797887681109415</v>
      </c>
    </row>
    <row r="123" spans="2:26">
      <c r="B123" s="502" t="s">
        <v>750</v>
      </c>
      <c r="C123" s="938">
        <v>2</v>
      </c>
      <c r="D123" s="938">
        <v>6</v>
      </c>
      <c r="E123" s="938">
        <v>200</v>
      </c>
      <c r="F123" s="939">
        <v>0.85</v>
      </c>
      <c r="G123" s="939">
        <v>0.59</v>
      </c>
      <c r="H123" s="955">
        <v>0.11</v>
      </c>
      <c r="I123" s="941">
        <v>0.32200000000000001</v>
      </c>
      <c r="J123" s="941">
        <v>0.14099999999999999</v>
      </c>
      <c r="K123" s="942">
        <v>536</v>
      </c>
      <c r="L123" s="943">
        <f t="shared" si="55"/>
        <v>536.94494566503158</v>
      </c>
      <c r="M123" s="940">
        <v>0.74</v>
      </c>
      <c r="N123" s="940">
        <v>0.45</v>
      </c>
      <c r="O123" s="944">
        <f t="shared" si="56"/>
        <v>132.76907945560362</v>
      </c>
      <c r="P123" s="945">
        <f t="shared" si="57"/>
        <v>1.7057272320000001E-4</v>
      </c>
      <c r="Q123" s="945">
        <f t="shared" si="58"/>
        <v>1.0372665600000001E-4</v>
      </c>
      <c r="R123" s="548">
        <f t="shared" si="59"/>
        <v>132.80425431717163</v>
      </c>
      <c r="S123" s="946">
        <f>C123*D123*H123*$C$71*Fuel_Specs!$C$13/1000000</f>
        <v>34.833173760000008</v>
      </c>
      <c r="T123" s="947">
        <f>S123*Upstream!$C$99/1000000</f>
        <v>0.5926110266688932</v>
      </c>
      <c r="U123" s="947">
        <f>S123*Upstream!$D$99/1000000</f>
        <v>6.1345896679862073E-3</v>
      </c>
      <c r="V123" s="948">
        <f>S123*Upstream!$E$99/1000000</f>
        <v>8.5005806025951085E-6</v>
      </c>
      <c r="W123" s="945">
        <f t="shared" si="60"/>
        <v>0.74850894138812174</v>
      </c>
      <c r="X123" s="949">
        <f t="shared" si="61"/>
        <v>133.55276325855974</v>
      </c>
    </row>
    <row r="124" spans="2:26">
      <c r="B124" s="502" t="s">
        <v>749</v>
      </c>
      <c r="C124" s="938">
        <v>2</v>
      </c>
      <c r="D124" s="938">
        <v>6</v>
      </c>
      <c r="E124" s="938">
        <v>100</v>
      </c>
      <c r="F124" s="939">
        <v>0.85</v>
      </c>
      <c r="G124" s="939">
        <v>0.21</v>
      </c>
      <c r="H124" s="955">
        <v>0.65</v>
      </c>
      <c r="I124" s="941">
        <v>5.2880000000000003</v>
      </c>
      <c r="J124" s="941">
        <v>0.83899999999999997</v>
      </c>
      <c r="K124" s="942">
        <v>693</v>
      </c>
      <c r="L124" s="943">
        <f t="shared" si="55"/>
        <v>703.92055081893022</v>
      </c>
      <c r="M124" s="940">
        <v>0.74</v>
      </c>
      <c r="N124" s="940">
        <v>0.45</v>
      </c>
      <c r="O124" s="944">
        <f t="shared" si="56"/>
        <v>30.976198411083626</v>
      </c>
      <c r="P124" s="945">
        <f t="shared" si="57"/>
        <v>1.007929728E-3</v>
      </c>
      <c r="Q124" s="945">
        <f t="shared" si="58"/>
        <v>6.1293024000000005E-4</v>
      </c>
      <c r="R124" s="548">
        <f t="shared" si="59"/>
        <v>31.184049865803626</v>
      </c>
      <c r="S124" s="946">
        <f>C124*D124*H124*$C$71*Fuel_Specs!$C$13/1000000</f>
        <v>205.83239040000001</v>
      </c>
      <c r="T124" s="947">
        <f>S124*Upstream!$C$99/1000000</f>
        <v>3.5017924303161863</v>
      </c>
      <c r="U124" s="947">
        <f>S124*Upstream!$D$99/1000000</f>
        <v>3.6249848038100309E-2</v>
      </c>
      <c r="V124" s="948">
        <f>S124*Upstream!$E$99/1000000</f>
        <v>5.0230703560789271E-5</v>
      </c>
      <c r="W124" s="945">
        <f t="shared" si="60"/>
        <v>4.4230073809298087</v>
      </c>
      <c r="X124" s="949">
        <f t="shared" si="61"/>
        <v>35.607057246733433</v>
      </c>
    </row>
    <row r="125" spans="2:26">
      <c r="B125" s="502" t="s">
        <v>748</v>
      </c>
      <c r="C125" s="938">
        <v>1</v>
      </c>
      <c r="D125" s="938">
        <v>6</v>
      </c>
      <c r="E125" s="938">
        <v>50</v>
      </c>
      <c r="F125" s="939">
        <v>0.85</v>
      </c>
      <c r="G125" s="939">
        <v>0.21</v>
      </c>
      <c r="H125" s="955">
        <v>3.66</v>
      </c>
      <c r="I125" s="941">
        <v>5.8730000000000002</v>
      </c>
      <c r="J125" s="941">
        <v>1.516</v>
      </c>
      <c r="K125" s="942">
        <v>691</v>
      </c>
      <c r="L125" s="943">
        <f t="shared" si="55"/>
        <v>704.94769641702123</v>
      </c>
      <c r="M125" s="940">
        <v>0.74</v>
      </c>
      <c r="N125" s="940">
        <v>0.45</v>
      </c>
      <c r="O125" s="944">
        <f t="shared" si="56"/>
        <v>7.7553495519649331</v>
      </c>
      <c r="P125" s="945">
        <f t="shared" si="57"/>
        <v>2.8377098496000005E-3</v>
      </c>
      <c r="Q125" s="945">
        <f t="shared" si="58"/>
        <v>1.7256343680000002E-3</v>
      </c>
      <c r="R125" s="548">
        <f t="shared" si="59"/>
        <v>8.3405313398689334</v>
      </c>
      <c r="S125" s="946">
        <f>C125*D125*H125*$C$71*Fuel_Specs!$C$13/1000000</f>
        <v>579.4973452800001</v>
      </c>
      <c r="T125" s="947">
        <f>S125*Upstream!$C$99/1000000</f>
        <v>9.8588925345824947</v>
      </c>
      <c r="U125" s="947">
        <f>S125*Upstream!$D$99/1000000</f>
        <v>0.10205726447649781</v>
      </c>
      <c r="V125" s="948">
        <f>S125*Upstream!$E$99/1000000</f>
        <v>1.4141875002499137E-4</v>
      </c>
      <c r="W125" s="945">
        <f t="shared" si="60"/>
        <v>12.452466934002388</v>
      </c>
      <c r="X125" s="949">
        <f t="shared" si="61"/>
        <v>20.792998273871319</v>
      </c>
    </row>
    <row r="126" spans="2:26">
      <c r="B126" s="976" t="s">
        <v>781</v>
      </c>
      <c r="C126" s="506"/>
      <c r="D126" s="506"/>
      <c r="E126" s="506"/>
      <c r="F126" s="506"/>
      <c r="G126" s="939"/>
      <c r="H126" s="955"/>
      <c r="I126" s="504"/>
      <c r="J126" s="504"/>
      <c r="K126" s="504"/>
      <c r="L126" s="503"/>
      <c r="M126" s="504"/>
      <c r="N126" s="940"/>
      <c r="O126" s="555"/>
      <c r="P126" s="504"/>
      <c r="Q126" s="504"/>
      <c r="R126" s="504"/>
      <c r="S126" s="504"/>
      <c r="T126" s="504"/>
      <c r="U126" s="504"/>
      <c r="V126" s="504"/>
      <c r="W126" s="504"/>
      <c r="X126" s="504"/>
      <c r="Y126" s="504"/>
      <c r="Z126" s="504"/>
    </row>
    <row r="127" spans="2:26">
      <c r="B127" s="502" t="s">
        <v>751</v>
      </c>
      <c r="C127" s="938">
        <v>2</v>
      </c>
      <c r="D127" s="938">
        <v>1</v>
      </c>
      <c r="E127" s="938">
        <v>65</v>
      </c>
      <c r="F127" s="939">
        <v>0.75</v>
      </c>
      <c r="G127" s="939">
        <v>0.59</v>
      </c>
      <c r="H127" s="955">
        <v>0.65</v>
      </c>
      <c r="I127" s="941">
        <v>2.2650000000000001</v>
      </c>
      <c r="J127" s="941">
        <v>0.25700000000000001</v>
      </c>
      <c r="K127" s="942">
        <v>595</v>
      </c>
      <c r="L127" s="943">
        <f t="shared" ref="L127:L136" si="62">K127+J127*VOC_C_Ratio/CO2_C_Ratio+I127*CO_C_Ratio/CO2_C_Ratio</f>
        <v>599.35882933509015</v>
      </c>
      <c r="M127" s="940">
        <v>0.74</v>
      </c>
      <c r="N127" s="940">
        <v>0.45</v>
      </c>
      <c r="O127" s="944">
        <f t="shared" ref="O127:O136" si="63">E127*$C$71*L127*C127*D127/1000000*F127*G127</f>
        <v>7.0831842861170182</v>
      </c>
      <c r="P127" s="945">
        <f t="shared" ref="P127:P136" si="64">$C127*$H127*$C$71*$D127*M127/1000000*$F127</f>
        <v>1.4822496000000001E-4</v>
      </c>
      <c r="Q127" s="945">
        <f t="shared" ref="Q127:Q136" si="65">$C127*$H127*$C$71*$D127*N127/1000000*$F127</f>
        <v>9.0136799999999994E-5</v>
      </c>
      <c r="R127" s="548">
        <f t="shared" ref="R127:R136" si="66">O127+P127*CH4_GWP+Q127*N2O_GWP</f>
        <v>7.113750676517018</v>
      </c>
      <c r="S127" s="946">
        <f>C127*D127*H127*$C$71*Fuel_Specs!$C$13/1000000</f>
        <v>34.305398400000001</v>
      </c>
      <c r="T127" s="947">
        <f>S127*Upstream!$C$99/1000000</f>
        <v>0.58363207171936438</v>
      </c>
      <c r="U127" s="947">
        <f>S127*Upstream!$D$99/1000000</f>
        <v>6.0416413396833851E-3</v>
      </c>
      <c r="V127" s="948">
        <f>S127*Upstream!$E$99/1000000</f>
        <v>8.3717839267982129E-6</v>
      </c>
      <c r="W127" s="945">
        <f t="shared" ref="W127:W136" si="67">T127+U127*CH4_GWP+V127*N2O_GWP</f>
        <v>0.73716789682163486</v>
      </c>
      <c r="X127" s="949">
        <f t="shared" si="61"/>
        <v>7.8509185733386531</v>
      </c>
    </row>
    <row r="128" spans="2:26">
      <c r="B128" s="502" t="s">
        <v>758</v>
      </c>
      <c r="C128" s="938">
        <v>4</v>
      </c>
      <c r="D128" s="938">
        <v>1</v>
      </c>
      <c r="E128" s="938">
        <v>55</v>
      </c>
      <c r="F128" s="939">
        <v>1</v>
      </c>
      <c r="G128" s="939">
        <v>0.43</v>
      </c>
      <c r="H128" s="955">
        <v>1.02</v>
      </c>
      <c r="I128" s="941">
        <v>0.90800000000000003</v>
      </c>
      <c r="J128" s="941">
        <v>0.20699999999999999</v>
      </c>
      <c r="K128" s="942">
        <v>590</v>
      </c>
      <c r="L128" s="943">
        <f t="shared" si="62"/>
        <v>592.07113173428581</v>
      </c>
      <c r="M128" s="940">
        <v>0.74</v>
      </c>
      <c r="N128" s="940">
        <v>0.45</v>
      </c>
      <c r="O128" s="944">
        <f t="shared" si="63"/>
        <v>11.506679826510313</v>
      </c>
      <c r="P128" s="945">
        <f t="shared" si="64"/>
        <v>6.2026444799999998E-4</v>
      </c>
      <c r="Q128" s="945">
        <f t="shared" si="65"/>
        <v>3.7718783999999997E-4</v>
      </c>
      <c r="R128" s="548">
        <f t="shared" si="66"/>
        <v>11.634588414030311</v>
      </c>
      <c r="S128" s="946">
        <f>C128*D128*H128*$C$71*Fuel_Specs!$C$13/1000000</f>
        <v>107.66617343999999</v>
      </c>
      <c r="T128" s="947">
        <f>S128*Upstream!$C$99/1000000</f>
        <v>1.8317068097038509</v>
      </c>
      <c r="U128" s="947">
        <f>S128*Upstream!$D$99/1000000</f>
        <v>1.8961458973775543E-2</v>
      </c>
      <c r="V128" s="948">
        <f>S128*Upstream!$E$99/1000000</f>
        <v>2.6274521862566693E-5</v>
      </c>
      <c r="W128" s="945">
        <f t="shared" si="67"/>
        <v>2.3135730915632844</v>
      </c>
      <c r="X128" s="949">
        <f t="shared" si="61"/>
        <v>13.948161505593596</v>
      </c>
    </row>
    <row r="129" spans="2:40">
      <c r="B129" s="502" t="s">
        <v>754</v>
      </c>
      <c r="C129" s="938">
        <v>3</v>
      </c>
      <c r="D129" s="938">
        <v>1</v>
      </c>
      <c r="E129" s="938">
        <v>290</v>
      </c>
      <c r="F129" s="939">
        <v>0.85</v>
      </c>
      <c r="G129" s="939">
        <v>0.43</v>
      </c>
      <c r="H129" s="955">
        <v>0.17</v>
      </c>
      <c r="I129" s="941">
        <v>0.42899999999999999</v>
      </c>
      <c r="J129" s="941">
        <v>0.17499999999999999</v>
      </c>
      <c r="K129" s="942">
        <v>530</v>
      </c>
      <c r="L129" s="943">
        <f t="shared" si="62"/>
        <v>531.21892447176219</v>
      </c>
      <c r="M129" s="940">
        <v>0.74</v>
      </c>
      <c r="N129" s="940">
        <v>0.45</v>
      </c>
      <c r="O129" s="944">
        <f t="shared" si="63"/>
        <v>34.702852833988608</v>
      </c>
      <c r="P129" s="945">
        <f t="shared" si="64"/>
        <v>6.5903097599999991E-5</v>
      </c>
      <c r="Q129" s="945">
        <f t="shared" si="65"/>
        <v>4.0076207999999996E-5</v>
      </c>
      <c r="R129" s="548">
        <f t="shared" si="66"/>
        <v>34.71644312141261</v>
      </c>
      <c r="S129" s="946">
        <f>C129*D129*H129*$C$71*Fuel_Specs!$C$13/1000000</f>
        <v>13.458271679999999</v>
      </c>
      <c r="T129" s="947">
        <f>S129*Upstream!$C$99/1000000</f>
        <v>0.22896335121298136</v>
      </c>
      <c r="U129" s="947">
        <f>S129*Upstream!$D$99/1000000</f>
        <v>2.3701823717219429E-3</v>
      </c>
      <c r="V129" s="948">
        <f>S129*Upstream!$E$99/1000000</f>
        <v>3.2843152328208366E-6</v>
      </c>
      <c r="W129" s="945">
        <f t="shared" si="67"/>
        <v>0.28919663644541055</v>
      </c>
      <c r="X129" s="949">
        <f t="shared" si="61"/>
        <v>35.00563975785802</v>
      </c>
    </row>
    <row r="130" spans="2:40">
      <c r="B130" s="502" t="s">
        <v>753</v>
      </c>
      <c r="C130" s="938">
        <v>3</v>
      </c>
      <c r="D130" s="938">
        <v>1</v>
      </c>
      <c r="E130" s="938">
        <v>250</v>
      </c>
      <c r="F130" s="939">
        <v>0.25</v>
      </c>
      <c r="G130" s="939">
        <v>0.59</v>
      </c>
      <c r="H130" s="955">
        <v>7.0000000000000007E-2</v>
      </c>
      <c r="I130" s="941">
        <v>0.20300000000000001</v>
      </c>
      <c r="J130" s="941">
        <v>0.13700000000000001</v>
      </c>
      <c r="K130" s="942">
        <v>536</v>
      </c>
      <c r="L130" s="943">
        <f t="shared" si="62"/>
        <v>536.7455273806687</v>
      </c>
      <c r="M130" s="940">
        <v>0.74</v>
      </c>
      <c r="N130" s="940">
        <v>0.45</v>
      </c>
      <c r="O130" s="944">
        <f t="shared" si="63"/>
        <v>12.198508251674982</v>
      </c>
      <c r="P130" s="945">
        <f t="shared" si="64"/>
        <v>7.9813439999999997E-6</v>
      </c>
      <c r="Q130" s="945">
        <f t="shared" si="65"/>
        <v>4.8535200000000008E-6</v>
      </c>
      <c r="R130" s="548">
        <f t="shared" si="66"/>
        <v>12.200154134234982</v>
      </c>
      <c r="S130" s="946">
        <f>C130*D130*H130*$C$71*Fuel_Specs!$C$13/1000000</f>
        <v>5.5416412800000003</v>
      </c>
      <c r="T130" s="947">
        <f>S130*Upstream!$C$99/1000000</f>
        <v>9.4279026970051166E-2</v>
      </c>
      <c r="U130" s="947">
        <f>S130*Upstream!$D$99/1000000</f>
        <v>9.7595744717962369E-4</v>
      </c>
      <c r="V130" s="948">
        <f>S130*Upstream!$E$99/1000000</f>
        <v>1.3523650958674035E-6</v>
      </c>
      <c r="W130" s="945">
        <f t="shared" si="67"/>
        <v>0.11908096794811025</v>
      </c>
      <c r="X130" s="949">
        <f t="shared" si="61"/>
        <v>12.319235102183091</v>
      </c>
    </row>
    <row r="131" spans="2:40">
      <c r="B131" s="502" t="s">
        <v>780</v>
      </c>
      <c r="C131" s="938">
        <v>3</v>
      </c>
      <c r="D131" s="938">
        <v>1</v>
      </c>
      <c r="E131" s="938">
        <v>85</v>
      </c>
      <c r="F131" s="939">
        <v>0.85</v>
      </c>
      <c r="G131" s="939">
        <v>0.59</v>
      </c>
      <c r="H131" s="955">
        <v>0.73</v>
      </c>
      <c r="I131" s="941">
        <v>2.4079999999999999</v>
      </c>
      <c r="J131" s="941">
        <v>0.28000000000000003</v>
      </c>
      <c r="K131" s="942">
        <v>595</v>
      </c>
      <c r="L131" s="943">
        <f t="shared" si="62"/>
        <v>599.65511662567258</v>
      </c>
      <c r="M131" s="940">
        <v>0.74</v>
      </c>
      <c r="N131" s="940">
        <v>0.45</v>
      </c>
      <c r="O131" s="944">
        <f t="shared" si="63"/>
        <v>15.754247641634757</v>
      </c>
      <c r="P131" s="945">
        <f t="shared" si="64"/>
        <v>2.8299565439999998E-4</v>
      </c>
      <c r="Q131" s="945">
        <f t="shared" si="65"/>
        <v>1.7209195199999999E-4</v>
      </c>
      <c r="R131" s="548">
        <f t="shared" si="66"/>
        <v>15.812605934690758</v>
      </c>
      <c r="S131" s="946">
        <f>C131*D131*H131*$C$71*Fuel_Specs!$C$13/1000000</f>
        <v>57.791401919999991</v>
      </c>
      <c r="T131" s="947">
        <f>S131*Upstream!$C$99/1000000</f>
        <v>0.9831955669733905</v>
      </c>
      <c r="U131" s="947">
        <f>S131*Upstream!$D$99/1000000</f>
        <v>1.017784194915893E-2</v>
      </c>
      <c r="V131" s="948">
        <f>S131*Upstream!$E$99/1000000</f>
        <v>1.4103235999760064E-5</v>
      </c>
      <c r="W131" s="945">
        <f t="shared" si="67"/>
        <v>1.2418443800302923</v>
      </c>
      <c r="X131" s="949">
        <f t="shared" si="61"/>
        <v>17.054450314721052</v>
      </c>
    </row>
    <row r="132" spans="2:40">
      <c r="B132" s="502" t="s">
        <v>752</v>
      </c>
      <c r="C132" s="938">
        <v>3</v>
      </c>
      <c r="D132" s="938">
        <v>1</v>
      </c>
      <c r="E132" s="938">
        <v>200</v>
      </c>
      <c r="F132" s="939">
        <v>0.85</v>
      </c>
      <c r="G132" s="939">
        <v>0.59</v>
      </c>
      <c r="H132" s="955">
        <v>0.11</v>
      </c>
      <c r="I132" s="941">
        <v>0.32200000000000001</v>
      </c>
      <c r="J132" s="941">
        <v>0.14099999999999999</v>
      </c>
      <c r="K132" s="942">
        <v>536</v>
      </c>
      <c r="L132" s="943">
        <f t="shared" si="62"/>
        <v>536.94494566503158</v>
      </c>
      <c r="M132" s="940">
        <v>0.74</v>
      </c>
      <c r="N132" s="940">
        <v>0.45</v>
      </c>
      <c r="O132" s="944">
        <f t="shared" si="63"/>
        <v>33.192269863900904</v>
      </c>
      <c r="P132" s="945">
        <f t="shared" si="64"/>
        <v>4.2643180800000003E-5</v>
      </c>
      <c r="Q132" s="945">
        <f t="shared" si="65"/>
        <v>2.5931664000000003E-5</v>
      </c>
      <c r="R132" s="548">
        <f t="shared" si="66"/>
        <v>33.201063579292907</v>
      </c>
      <c r="S132" s="946">
        <f>C132*D132*H132*$C$71*Fuel_Specs!$C$13/1000000</f>
        <v>8.7082934400000021</v>
      </c>
      <c r="T132" s="947">
        <f>S132*Upstream!$C$99/1000000</f>
        <v>0.1481527566672233</v>
      </c>
      <c r="U132" s="947">
        <f>S132*Upstream!$D$99/1000000</f>
        <v>1.5336474169965518E-3</v>
      </c>
      <c r="V132" s="948">
        <f>S132*Upstream!$E$99/1000000</f>
        <v>2.1251451506487771E-6</v>
      </c>
      <c r="W132" s="945">
        <f t="shared" si="67"/>
        <v>0.18712723534703044</v>
      </c>
      <c r="X132" s="949">
        <f t="shared" si="61"/>
        <v>33.388190814639934</v>
      </c>
    </row>
    <row r="133" spans="2:40">
      <c r="B133" s="502" t="s">
        <v>750</v>
      </c>
      <c r="C133" s="938">
        <v>2</v>
      </c>
      <c r="D133" s="938">
        <v>1</v>
      </c>
      <c r="E133" s="938">
        <v>200</v>
      </c>
      <c r="F133" s="939">
        <v>0.25</v>
      </c>
      <c r="G133" s="939">
        <v>0.59</v>
      </c>
      <c r="H133" s="955">
        <v>0.11</v>
      </c>
      <c r="I133" s="941">
        <v>0.32200000000000001</v>
      </c>
      <c r="J133" s="941">
        <v>0.14099999999999999</v>
      </c>
      <c r="K133" s="942">
        <v>536</v>
      </c>
      <c r="L133" s="943">
        <f t="shared" si="62"/>
        <v>536.94494566503158</v>
      </c>
      <c r="M133" s="940">
        <v>0.74</v>
      </c>
      <c r="N133" s="940">
        <v>0.45</v>
      </c>
      <c r="O133" s="944">
        <f t="shared" si="63"/>
        <v>6.5082882086080209</v>
      </c>
      <c r="P133" s="945">
        <f t="shared" si="64"/>
        <v>8.3614080000000012E-6</v>
      </c>
      <c r="Q133" s="945">
        <f t="shared" si="65"/>
        <v>5.0846400000000007E-6</v>
      </c>
      <c r="R133" s="548">
        <f t="shared" si="66"/>
        <v>6.5100124665280212</v>
      </c>
      <c r="S133" s="946">
        <f>C133*D133*H133*$C$71*Fuel_Specs!$C$13/1000000</f>
        <v>5.8055289600000002</v>
      </c>
      <c r="T133" s="947">
        <f>S133*Upstream!$C$99/1000000</f>
        <v>9.8768504444815511E-2</v>
      </c>
      <c r="U133" s="947">
        <f>S133*Upstream!$D$99/1000000</f>
        <v>1.0224316113310343E-3</v>
      </c>
      <c r="V133" s="948">
        <f>S133*Upstream!$E$99/1000000</f>
        <v>1.4167634337658511E-6</v>
      </c>
      <c r="W133" s="945">
        <f t="shared" si="67"/>
        <v>0.1247514902313536</v>
      </c>
      <c r="X133" s="949">
        <f t="shared" si="61"/>
        <v>6.6347639567593752</v>
      </c>
    </row>
    <row r="134" spans="2:40">
      <c r="B134" s="502" t="s">
        <v>749</v>
      </c>
      <c r="C134" s="938">
        <v>2</v>
      </c>
      <c r="D134" s="938">
        <v>1</v>
      </c>
      <c r="E134" s="938">
        <v>100</v>
      </c>
      <c r="F134" s="939">
        <v>0.75</v>
      </c>
      <c r="G134" s="939">
        <v>0.21</v>
      </c>
      <c r="H134" s="955">
        <v>0.65</v>
      </c>
      <c r="I134" s="941">
        <v>5.2880000000000003</v>
      </c>
      <c r="J134" s="941">
        <v>0.83899999999999997</v>
      </c>
      <c r="K134" s="942">
        <v>693</v>
      </c>
      <c r="L134" s="943">
        <f t="shared" si="62"/>
        <v>703.92055081893022</v>
      </c>
      <c r="M134" s="940">
        <v>0.74</v>
      </c>
      <c r="N134" s="940">
        <v>0.45</v>
      </c>
      <c r="O134" s="944">
        <f t="shared" si="63"/>
        <v>4.5553232957475922</v>
      </c>
      <c r="P134" s="945">
        <f t="shared" si="64"/>
        <v>1.4822496000000001E-4</v>
      </c>
      <c r="Q134" s="945">
        <f t="shared" si="65"/>
        <v>9.0136799999999994E-5</v>
      </c>
      <c r="R134" s="548">
        <f t="shared" si="66"/>
        <v>4.585889686147592</v>
      </c>
      <c r="S134" s="946">
        <f>C134*D134*H134*$C$71*Fuel_Specs!$C$13/1000000</f>
        <v>34.305398400000001</v>
      </c>
      <c r="T134" s="947">
        <f>S134*Upstream!$C$99/1000000</f>
        <v>0.58363207171936438</v>
      </c>
      <c r="U134" s="947">
        <f>S134*Upstream!$D$99/1000000</f>
        <v>6.0416413396833851E-3</v>
      </c>
      <c r="V134" s="948">
        <f>S134*Upstream!$E$99/1000000</f>
        <v>8.3717839267982129E-6</v>
      </c>
      <c r="W134" s="945">
        <f t="shared" si="67"/>
        <v>0.73716789682163486</v>
      </c>
      <c r="X134" s="949">
        <f t="shared" si="61"/>
        <v>5.323057582969227</v>
      </c>
    </row>
    <row r="135" spans="2:40">
      <c r="B135" s="502" t="s">
        <v>779</v>
      </c>
      <c r="C135" s="938">
        <v>1</v>
      </c>
      <c r="D135" s="938">
        <v>1</v>
      </c>
      <c r="E135" s="938">
        <v>30</v>
      </c>
      <c r="F135" s="939">
        <v>0.75</v>
      </c>
      <c r="G135" s="939">
        <v>0.45</v>
      </c>
      <c r="H135" s="955">
        <v>3.9</v>
      </c>
      <c r="I135" s="950">
        <f>5/kwperhp</f>
        <v>3.7284993600939971</v>
      </c>
      <c r="J135" s="950">
        <f>0.3/kwperhp</f>
        <v>0.2237099616056398</v>
      </c>
      <c r="K135" s="951">
        <f>690/kwperhp</f>
        <v>514.53291169297154</v>
      </c>
      <c r="L135" s="943">
        <f t="shared" si="62"/>
        <v>521.08741337075173</v>
      </c>
      <c r="M135" s="940">
        <v>0.02</v>
      </c>
      <c r="N135" s="940">
        <v>0.09</v>
      </c>
      <c r="O135" s="944">
        <f t="shared" si="63"/>
        <v>1.0839035068042333</v>
      </c>
      <c r="P135" s="945">
        <f t="shared" si="64"/>
        <v>1.2018239999999999E-5</v>
      </c>
      <c r="Q135" s="945">
        <f t="shared" si="65"/>
        <v>5.4082079999999994E-5</v>
      </c>
      <c r="R135" s="548">
        <f>O135+P135*CH4_GWP+Q135*N2O_GWP</f>
        <v>1.1003204226442334</v>
      </c>
      <c r="S135" s="946">
        <f>C135*D135*H135*$C$71*Fuel_Specs!$C$13/1000000</f>
        <v>102.9161952</v>
      </c>
      <c r="T135" s="947">
        <f>S135*Upstream!$C$99/1000000</f>
        <v>1.7508962151580931</v>
      </c>
      <c r="U135" s="947">
        <f>S135*Upstream!$D$99/1000000</f>
        <v>1.8124924019050154E-2</v>
      </c>
      <c r="V135" s="948">
        <f>S135*Upstream!$E$99/1000000</f>
        <v>2.5115351780394635E-5</v>
      </c>
      <c r="W135" s="945">
        <f t="shared" si="67"/>
        <v>2.2115036904649044</v>
      </c>
      <c r="X135" s="949">
        <f t="shared" si="61"/>
        <v>3.3118241131091377</v>
      </c>
    </row>
    <row r="136" spans="2:40">
      <c r="B136" s="502" t="s">
        <v>778</v>
      </c>
      <c r="C136" s="938">
        <v>1</v>
      </c>
      <c r="D136" s="938">
        <v>1</v>
      </c>
      <c r="E136" s="938">
        <v>250</v>
      </c>
      <c r="F136" s="939">
        <v>0.85</v>
      </c>
      <c r="G136" s="939">
        <v>0.45</v>
      </c>
      <c r="H136" s="981">
        <v>15.9</v>
      </c>
      <c r="I136" s="950">
        <f>5/kwperhp</f>
        <v>3.7284993600939971</v>
      </c>
      <c r="J136" s="950">
        <f>0.3/kwperhp</f>
        <v>0.2237099616056398</v>
      </c>
      <c r="K136" s="951">
        <f>690/kwperhp</f>
        <v>514.53291169297154</v>
      </c>
      <c r="L136" s="943">
        <f t="shared" si="62"/>
        <v>521.08741337075173</v>
      </c>
      <c r="M136" s="940">
        <v>0.02</v>
      </c>
      <c r="N136" s="940">
        <v>0.09</v>
      </c>
      <c r="O136" s="944">
        <f t="shared" si="63"/>
        <v>10.236866453151093</v>
      </c>
      <c r="P136" s="945">
        <f t="shared" si="64"/>
        <v>5.5530432000000007E-5</v>
      </c>
      <c r="Q136" s="945">
        <f t="shared" si="65"/>
        <v>2.4988694399999997E-4</v>
      </c>
      <c r="R136" s="548">
        <f t="shared" si="66"/>
        <v>10.312721023263093</v>
      </c>
      <c r="S136" s="946">
        <f>C136*D136*H136*$C$71*Fuel_Specs!$C$13/1000000</f>
        <v>419.58141119999999</v>
      </c>
      <c r="T136" s="947">
        <f>S136*Upstream!$C$99/1000000</f>
        <v>7.1382691848753019</v>
      </c>
      <c r="U136" s="947">
        <f>S136*Upstream!$D$99/1000000</f>
        <v>7.3893921000742935E-2</v>
      </c>
      <c r="V136" s="948">
        <f>S136*Upstream!$E$99/1000000</f>
        <v>1.0239335725853198E-4</v>
      </c>
      <c r="W136" s="945">
        <f t="shared" si="67"/>
        <v>9.0161304303569185</v>
      </c>
      <c r="X136" s="949">
        <f t="shared" si="61"/>
        <v>19.328851453620011</v>
      </c>
    </row>
    <row r="137" spans="2:40">
      <c r="B137" s="976" t="s">
        <v>777</v>
      </c>
      <c r="C137" s="506"/>
      <c r="D137" s="506"/>
      <c r="E137" s="506"/>
      <c r="H137" s="955"/>
      <c r="I137" s="941"/>
      <c r="J137" s="940"/>
      <c r="K137" s="941"/>
      <c r="L137" s="952"/>
      <c r="M137" s="941"/>
      <c r="N137" s="940"/>
      <c r="O137" s="953"/>
      <c r="P137" s="941"/>
      <c r="Q137" s="954"/>
      <c r="R137" s="954"/>
      <c r="S137" s="954"/>
      <c r="T137" s="954"/>
      <c r="U137" s="954"/>
      <c r="V137" s="954"/>
      <c r="W137" s="954"/>
      <c r="X137" s="954"/>
      <c r="Y137" s="954"/>
      <c r="Z137" s="954"/>
      <c r="AA137" s="954"/>
      <c r="AB137" s="954"/>
      <c r="AC137" s="954"/>
      <c r="AD137" s="954"/>
      <c r="AE137" s="954"/>
      <c r="AF137" s="954"/>
      <c r="AG137" s="954"/>
      <c r="AH137" s="954"/>
      <c r="AI137" s="954"/>
      <c r="AJ137" s="954"/>
      <c r="AK137" s="954"/>
      <c r="AL137" s="954"/>
      <c r="AM137" s="954"/>
      <c r="AN137" s="954"/>
    </row>
    <row r="138" spans="2:40">
      <c r="B138" s="502" t="s">
        <v>776</v>
      </c>
      <c r="C138" s="938">
        <v>1</v>
      </c>
      <c r="D138" s="938">
        <v>7</v>
      </c>
      <c r="E138" s="938">
        <v>165</v>
      </c>
      <c r="F138" s="939">
        <v>0.85</v>
      </c>
      <c r="G138" s="939">
        <v>0.21</v>
      </c>
      <c r="H138" s="955">
        <v>0.52</v>
      </c>
      <c r="I138" s="941">
        <v>2.33</v>
      </c>
      <c r="J138" s="941">
        <v>0.60599999999999998</v>
      </c>
      <c r="K138" s="942">
        <v>625</v>
      </c>
      <c r="L138" s="943">
        <f t="shared" ref="L138:L154" si="68">K138+J138*VOC_C_Ratio/CO2_C_Ratio+I138*CO_C_Ratio/CO2_C_Ratio</f>
        <v>630.54766757391053</v>
      </c>
      <c r="M138" s="940">
        <v>0.74</v>
      </c>
      <c r="N138" s="940">
        <v>0.45</v>
      </c>
      <c r="O138" s="944">
        <f t="shared" ref="O138:O154" si="69">E138*$C$71*L138*C138*D138/1000000*F138*G138</f>
        <v>26.706878744133554</v>
      </c>
      <c r="P138" s="945">
        <f t="shared" ref="P138:P154" si="70">$C138*$H138*$C$71*$D138*M138/1000000*$F138</f>
        <v>4.7036720640000003E-4</v>
      </c>
      <c r="Q138" s="945">
        <f t="shared" ref="Q138:Q154" si="71">$C138*$H138*$C$71*$D138*N138/1000000*$F138</f>
        <v>2.8603411199999999E-4</v>
      </c>
      <c r="R138" s="548">
        <f t="shared" ref="R138:R154" si="72">O138+P138*CH4_GWP+Q138*N2O_GWP</f>
        <v>26.803876089669554</v>
      </c>
      <c r="S138" s="946">
        <f>C138*D138*H138*$C$71*Fuel_Specs!$C$13/1000000</f>
        <v>96.055115520000001</v>
      </c>
      <c r="T138" s="947">
        <f>S138*Upstream!$C$99/1000000</f>
        <v>1.6341698008142203</v>
      </c>
      <c r="U138" s="947">
        <f>S138*Upstream!$D$99/1000000</f>
        <v>1.6916595751113477E-2</v>
      </c>
      <c r="V138" s="948">
        <f>S138*Upstream!$E$99/1000000</f>
        <v>2.3440994995034992E-5</v>
      </c>
      <c r="W138" s="945">
        <f t="shared" ref="W138:W153" si="73">T138+U138*CH4_GWP+V138*N2O_GWP</f>
        <v>2.0640701111005777</v>
      </c>
      <c r="X138" s="949">
        <f t="shared" si="61"/>
        <v>28.867946200770131</v>
      </c>
    </row>
    <row r="139" spans="2:40">
      <c r="B139" s="502" t="s">
        <v>762</v>
      </c>
      <c r="C139" s="938">
        <v>2</v>
      </c>
      <c r="D139" s="938">
        <v>7</v>
      </c>
      <c r="E139" s="938">
        <v>250</v>
      </c>
      <c r="F139" s="939">
        <v>0.85</v>
      </c>
      <c r="G139" s="939">
        <v>0.43</v>
      </c>
      <c r="H139" s="955">
        <v>0.17</v>
      </c>
      <c r="I139" s="941">
        <v>0.42899999999999999</v>
      </c>
      <c r="J139" s="941">
        <v>0.17499999999999999</v>
      </c>
      <c r="K139" s="942">
        <v>530</v>
      </c>
      <c r="L139" s="943">
        <f t="shared" si="68"/>
        <v>531.21892447176219</v>
      </c>
      <c r="M139" s="940">
        <v>0.74</v>
      </c>
      <c r="N139" s="940">
        <v>0.45</v>
      </c>
      <c r="O139" s="944">
        <f t="shared" si="69"/>
        <v>139.6091780677703</v>
      </c>
      <c r="P139" s="945">
        <f t="shared" si="70"/>
        <v>3.0754778880000001E-4</v>
      </c>
      <c r="Q139" s="945">
        <f t="shared" si="71"/>
        <v>1.8702230400000002E-4</v>
      </c>
      <c r="R139" s="548">
        <f t="shared" si="72"/>
        <v>139.6725994090823</v>
      </c>
      <c r="S139" s="946">
        <f>C139*D139*H139*$C$71*Fuel_Specs!$C$13/1000000</f>
        <v>62.805267840000013</v>
      </c>
      <c r="T139" s="947">
        <f>S139*Upstream!$C$99/1000000</f>
        <v>1.0684956389939133</v>
      </c>
      <c r="U139" s="947">
        <f>S139*Upstream!$D$99/1000000</f>
        <v>1.1060851068035737E-2</v>
      </c>
      <c r="V139" s="948">
        <f>S139*Upstream!$E$99/1000000</f>
        <v>1.5326804419830574E-5</v>
      </c>
      <c r="W139" s="945">
        <f t="shared" si="73"/>
        <v>1.3495843034119164</v>
      </c>
      <c r="X139" s="949">
        <f t="shared" si="61"/>
        <v>141.02218371249421</v>
      </c>
    </row>
    <row r="140" spans="2:40">
      <c r="B140" s="502" t="s">
        <v>761</v>
      </c>
      <c r="C140" s="938">
        <v>3</v>
      </c>
      <c r="D140" s="938">
        <v>7</v>
      </c>
      <c r="E140" s="938">
        <v>300</v>
      </c>
      <c r="F140" s="939">
        <v>0.85</v>
      </c>
      <c r="G140" s="939">
        <v>0.43</v>
      </c>
      <c r="H140" s="955">
        <v>0.17</v>
      </c>
      <c r="I140" s="941">
        <v>0.42899999999999999</v>
      </c>
      <c r="J140" s="941">
        <v>0.17499999999999999</v>
      </c>
      <c r="K140" s="942">
        <v>530</v>
      </c>
      <c r="L140" s="943">
        <f t="shared" si="68"/>
        <v>531.21892447176219</v>
      </c>
      <c r="M140" s="940">
        <v>0.74</v>
      </c>
      <c r="N140" s="940">
        <v>0.45</v>
      </c>
      <c r="O140" s="944">
        <f t="shared" si="69"/>
        <v>251.29652052198654</v>
      </c>
      <c r="P140" s="945">
        <f t="shared" si="70"/>
        <v>4.6132168319999999E-4</v>
      </c>
      <c r="Q140" s="945">
        <f t="shared" si="71"/>
        <v>2.8053345599999999E-4</v>
      </c>
      <c r="R140" s="548">
        <f t="shared" si="72"/>
        <v>251.39165253395453</v>
      </c>
      <c r="S140" s="946">
        <f>C140*D140*H140*$C$71*Fuel_Specs!$C$13/1000000</f>
        <v>94.207901759999999</v>
      </c>
      <c r="T140" s="947">
        <f>S140*Upstream!$C$99/1000000</f>
        <v>1.6027434584908697</v>
      </c>
      <c r="U140" s="947">
        <f>S140*Upstream!$D$99/1000000</f>
        <v>1.65912766020536E-2</v>
      </c>
      <c r="V140" s="948">
        <f>S140*Upstream!$E$99/1000000</f>
        <v>2.2990206629745857E-5</v>
      </c>
      <c r="W140" s="945">
        <f t="shared" si="73"/>
        <v>2.0243764551178738</v>
      </c>
      <c r="X140" s="949">
        <f t="shared" si="61"/>
        <v>253.4160289890724</v>
      </c>
    </row>
    <row r="141" spans="2:40">
      <c r="B141" s="502" t="s">
        <v>760</v>
      </c>
      <c r="C141" s="938">
        <v>4</v>
      </c>
      <c r="D141" s="938">
        <v>7</v>
      </c>
      <c r="E141" s="938">
        <v>85</v>
      </c>
      <c r="F141" s="939">
        <v>0.85</v>
      </c>
      <c r="G141" s="939">
        <v>0.43</v>
      </c>
      <c r="H141" s="955">
        <v>0.42</v>
      </c>
      <c r="I141" s="941">
        <v>1.542</v>
      </c>
      <c r="J141" s="941">
        <v>0.23</v>
      </c>
      <c r="K141" s="942">
        <v>590</v>
      </c>
      <c r="L141" s="943">
        <f t="shared" si="68"/>
        <v>593.13883816879763</v>
      </c>
      <c r="M141" s="940">
        <v>0.74</v>
      </c>
      <c r="N141" s="940">
        <v>0.45</v>
      </c>
      <c r="O141" s="944">
        <f t="shared" si="69"/>
        <v>105.9999613459356</v>
      </c>
      <c r="P141" s="945">
        <f t="shared" si="70"/>
        <v>1.5196478975999998E-3</v>
      </c>
      <c r="Q141" s="945">
        <f t="shared" si="71"/>
        <v>9.2411020799999983E-4</v>
      </c>
      <c r="R141" s="548">
        <f t="shared" si="72"/>
        <v>106.3133373853596</v>
      </c>
      <c r="S141" s="946">
        <f>C141*D141*H141*$C$71*Fuel_Specs!$C$13/1000000</f>
        <v>310.33191168000002</v>
      </c>
      <c r="T141" s="947">
        <f>S141*Upstream!$C$99/1000000</f>
        <v>5.2796255103228651</v>
      </c>
      <c r="U141" s="947">
        <f>S141*Upstream!$D$99/1000000</f>
        <v>5.4653617042058927E-2</v>
      </c>
      <c r="V141" s="948">
        <f>S141*Upstream!$E$99/1000000</f>
        <v>7.5732445368574606E-5</v>
      </c>
      <c r="W141" s="945">
        <f t="shared" si="73"/>
        <v>6.6685342050941738</v>
      </c>
      <c r="X141" s="949">
        <f t="shared" si="61"/>
        <v>112.98187159045378</v>
      </c>
    </row>
    <row r="142" spans="2:40">
      <c r="B142" s="502" t="s">
        <v>759</v>
      </c>
      <c r="C142" s="938">
        <v>3</v>
      </c>
      <c r="D142" s="938">
        <v>7</v>
      </c>
      <c r="E142" s="938">
        <v>100</v>
      </c>
      <c r="F142" s="939">
        <v>0.85</v>
      </c>
      <c r="G142" s="939">
        <v>0.43</v>
      </c>
      <c r="H142" s="955">
        <v>0.42</v>
      </c>
      <c r="I142" s="941">
        <v>1.542</v>
      </c>
      <c r="J142" s="941">
        <v>0.23</v>
      </c>
      <c r="K142" s="942">
        <v>590</v>
      </c>
      <c r="L142" s="943">
        <f t="shared" si="68"/>
        <v>593.13883816879763</v>
      </c>
      <c r="M142" s="940">
        <v>0.74</v>
      </c>
      <c r="N142" s="940">
        <v>0.45</v>
      </c>
      <c r="O142" s="944">
        <f t="shared" si="69"/>
        <v>93.52937765817849</v>
      </c>
      <c r="P142" s="945">
        <f t="shared" si="70"/>
        <v>1.1397359232E-3</v>
      </c>
      <c r="Q142" s="945">
        <f t="shared" si="71"/>
        <v>6.9308265600000001E-4</v>
      </c>
      <c r="R142" s="548">
        <f t="shared" si="72"/>
        <v>93.764409687746493</v>
      </c>
      <c r="S142" s="946">
        <f>C142*D142*H142*$C$71*Fuel_Specs!$C$13/1000000</f>
        <v>232.74893376000003</v>
      </c>
      <c r="T142" s="947">
        <f>S142*Upstream!$C$99/1000000</f>
        <v>3.9597191327421495</v>
      </c>
      <c r="U142" s="947">
        <f>S142*Upstream!$D$99/1000000</f>
        <v>4.0990212781544202E-2</v>
      </c>
      <c r="V142" s="948">
        <f>S142*Upstream!$E$99/1000000</f>
        <v>5.6799334026430948E-5</v>
      </c>
      <c r="W142" s="945">
        <f t="shared" si="73"/>
        <v>5.0014006538206308</v>
      </c>
      <c r="X142" s="949">
        <f t="shared" si="61"/>
        <v>98.765810341567118</v>
      </c>
    </row>
    <row r="143" spans="2:40">
      <c r="B143" s="502" t="s">
        <v>758</v>
      </c>
      <c r="C143" s="938">
        <v>4</v>
      </c>
      <c r="D143" s="938">
        <v>7</v>
      </c>
      <c r="E143" s="938">
        <v>55</v>
      </c>
      <c r="F143" s="939">
        <v>0.85</v>
      </c>
      <c r="G143" s="939">
        <v>0.43</v>
      </c>
      <c r="H143" s="955">
        <v>1.02</v>
      </c>
      <c r="I143" s="941">
        <v>0.90800000000000003</v>
      </c>
      <c r="J143" s="941">
        <v>0.20699999999999999</v>
      </c>
      <c r="K143" s="942">
        <v>590</v>
      </c>
      <c r="L143" s="943">
        <f t="shared" si="68"/>
        <v>592.07113173428581</v>
      </c>
      <c r="M143" s="940">
        <v>0.74</v>
      </c>
      <c r="N143" s="940">
        <v>0.45</v>
      </c>
      <c r="O143" s="944">
        <f t="shared" si="69"/>
        <v>68.464744967736365</v>
      </c>
      <c r="P143" s="945">
        <f t="shared" si="70"/>
        <v>3.6905734655999999E-3</v>
      </c>
      <c r="Q143" s="945">
        <f t="shared" si="71"/>
        <v>2.2442676479999999E-3</v>
      </c>
      <c r="R143" s="548">
        <f t="shared" si="72"/>
        <v>69.225801063480361</v>
      </c>
      <c r="S143" s="946">
        <f>C143*D143*H143*$C$71*Fuel_Specs!$C$13/1000000</f>
        <v>753.66321407999999</v>
      </c>
      <c r="T143" s="947">
        <f>S143*Upstream!$C$99/1000000</f>
        <v>12.821947667926958</v>
      </c>
      <c r="U143" s="947">
        <f>S143*Upstream!$D$99/1000000</f>
        <v>0.1327302128164288</v>
      </c>
      <c r="V143" s="948">
        <f>S143*Upstream!$E$99/1000000</f>
        <v>1.8392165303796686E-4</v>
      </c>
      <c r="W143" s="945">
        <f t="shared" si="73"/>
        <v>16.19501164094299</v>
      </c>
      <c r="X143" s="949">
        <f t="shared" si="61"/>
        <v>85.420812704423355</v>
      </c>
    </row>
    <row r="144" spans="2:40">
      <c r="B144" s="502" t="s">
        <v>757</v>
      </c>
      <c r="C144" s="938">
        <v>3</v>
      </c>
      <c r="D144" s="938">
        <v>7</v>
      </c>
      <c r="E144" s="938">
        <v>65</v>
      </c>
      <c r="F144" s="939">
        <v>0.85</v>
      </c>
      <c r="G144" s="939">
        <v>0.59</v>
      </c>
      <c r="H144" s="955">
        <v>0.73</v>
      </c>
      <c r="I144" s="941">
        <v>2.4079999999999999</v>
      </c>
      <c r="J144" s="941">
        <v>0.28000000000000003</v>
      </c>
      <c r="K144" s="942">
        <v>595</v>
      </c>
      <c r="L144" s="943">
        <f t="shared" si="68"/>
        <v>599.65511662567258</v>
      </c>
      <c r="M144" s="940">
        <v>0.74</v>
      </c>
      <c r="N144" s="940">
        <v>0.45</v>
      </c>
      <c r="O144" s="944">
        <f t="shared" si="69"/>
        <v>84.331560905221323</v>
      </c>
      <c r="P144" s="945">
        <f t="shared" si="70"/>
        <v>1.9809695808000001E-3</v>
      </c>
      <c r="Q144" s="945">
        <f t="shared" si="71"/>
        <v>1.204643664E-3</v>
      </c>
      <c r="R144" s="548">
        <f t="shared" si="72"/>
        <v>84.740068956613314</v>
      </c>
      <c r="S144" s="946">
        <f>C144*D144*H144*$C$71*Fuel_Specs!$C$13/1000000</f>
        <v>404.53981343999999</v>
      </c>
      <c r="T144" s="947">
        <f>S144*Upstream!$C$99/1000000</f>
        <v>6.8823689688137337</v>
      </c>
      <c r="U144" s="947">
        <f>S144*Upstream!$D$99/1000000</f>
        <v>7.1244893644112531E-2</v>
      </c>
      <c r="V144" s="948">
        <f>S144*Upstream!$E$99/1000000</f>
        <v>9.872265199832044E-5</v>
      </c>
      <c r="W144" s="945">
        <f t="shared" si="73"/>
        <v>8.6929106602120463</v>
      </c>
      <c r="X144" s="949">
        <f t="shared" si="61"/>
        <v>93.432979616825364</v>
      </c>
    </row>
    <row r="145" spans="2:24">
      <c r="B145" s="502" t="s">
        <v>756</v>
      </c>
      <c r="C145" s="938">
        <v>3</v>
      </c>
      <c r="D145" s="938">
        <v>7</v>
      </c>
      <c r="E145" s="938">
        <v>65</v>
      </c>
      <c r="F145" s="939">
        <v>0.85</v>
      </c>
      <c r="G145" s="939">
        <v>0.59</v>
      </c>
      <c r="H145" s="955">
        <v>0.49</v>
      </c>
      <c r="I145" s="941">
        <v>1.7689999999999999</v>
      </c>
      <c r="J145" s="941">
        <v>0.192</v>
      </c>
      <c r="K145" s="942">
        <v>596</v>
      </c>
      <c r="L145" s="943">
        <f t="shared" si="68"/>
        <v>599.37715772169599</v>
      </c>
      <c r="M145" s="940">
        <v>0.74</v>
      </c>
      <c r="N145" s="940">
        <v>0.45</v>
      </c>
      <c r="O145" s="944">
        <f t="shared" si="69"/>
        <v>84.292470588821217</v>
      </c>
      <c r="P145" s="945">
        <f t="shared" si="70"/>
        <v>1.3296919104000002E-3</v>
      </c>
      <c r="Q145" s="945">
        <f t="shared" si="71"/>
        <v>8.0859643199999998E-4</v>
      </c>
      <c r="R145" s="548">
        <f t="shared" si="72"/>
        <v>84.566674623317212</v>
      </c>
      <c r="S145" s="946">
        <f>C145*D145*H145*$C$71*Fuel_Specs!$C$13/1000000</f>
        <v>271.54042271999998</v>
      </c>
      <c r="T145" s="947">
        <f>S145*Upstream!$C$99/1000000</f>
        <v>4.6196723215325068</v>
      </c>
      <c r="U145" s="947">
        <f>S145*Upstream!$D$99/1000000</f>
        <v>4.7821914911801558E-2</v>
      </c>
      <c r="V145" s="948">
        <f>S145*Upstream!$E$99/1000000</f>
        <v>6.6265889697502753E-5</v>
      </c>
      <c r="W145" s="945">
        <f t="shared" si="73"/>
        <v>5.8349674294574019</v>
      </c>
      <c r="X145" s="949">
        <f t="shared" si="61"/>
        <v>90.401642052774619</v>
      </c>
    </row>
    <row r="146" spans="2:24">
      <c r="B146" s="502" t="s">
        <v>755</v>
      </c>
      <c r="C146" s="938">
        <v>3</v>
      </c>
      <c r="D146" s="938">
        <v>7</v>
      </c>
      <c r="E146" s="938">
        <v>150</v>
      </c>
      <c r="F146" s="939">
        <v>0.85</v>
      </c>
      <c r="G146" s="939">
        <v>0.43</v>
      </c>
      <c r="H146" s="955">
        <v>1.06</v>
      </c>
      <c r="I146" s="941">
        <v>2.355</v>
      </c>
      <c r="J146" s="941">
        <v>0.47299999999999998</v>
      </c>
      <c r="K146" s="942">
        <v>589</v>
      </c>
      <c r="L146" s="943">
        <f t="shared" si="68"/>
        <v>594.1728103853203</v>
      </c>
      <c r="M146" s="955">
        <v>0.74</v>
      </c>
      <c r="N146" s="940">
        <v>0.45</v>
      </c>
      <c r="O146" s="944">
        <f t="shared" si="69"/>
        <v>140.53863008276358</v>
      </c>
      <c r="P146" s="945">
        <f t="shared" si="70"/>
        <v>2.8764763775999997E-3</v>
      </c>
      <c r="Q146" s="945">
        <f t="shared" si="71"/>
        <v>1.7492086079999997E-3</v>
      </c>
      <c r="R146" s="548">
        <f t="shared" si="72"/>
        <v>141.13180615738756</v>
      </c>
      <c r="S146" s="946">
        <f>C146*D146*H146*$C$71*Fuel_Specs!$C$13/1000000</f>
        <v>587.41397567999991</v>
      </c>
      <c r="T146" s="947">
        <f>S146*Upstream!$C$99/1000000</f>
        <v>9.9935768588254206</v>
      </c>
      <c r="U146" s="947">
        <f>S146*Upstream!$D$99/1000000</f>
        <v>0.10345148940104008</v>
      </c>
      <c r="V146" s="948">
        <f>S146*Upstream!$E$99/1000000</f>
        <v>1.4335070016194474E-4</v>
      </c>
      <c r="W146" s="945">
        <f t="shared" si="73"/>
        <v>12.622582602499683</v>
      </c>
      <c r="X146" s="949">
        <f t="shared" si="61"/>
        <v>153.75438875988723</v>
      </c>
    </row>
    <row r="147" spans="2:24">
      <c r="B147" s="502" t="s">
        <v>754</v>
      </c>
      <c r="C147" s="938">
        <v>1</v>
      </c>
      <c r="D147" s="938">
        <v>7</v>
      </c>
      <c r="E147" s="938">
        <v>290</v>
      </c>
      <c r="F147" s="939">
        <v>0.5</v>
      </c>
      <c r="G147" s="939">
        <v>0.43</v>
      </c>
      <c r="H147" s="955">
        <v>0.17</v>
      </c>
      <c r="I147" s="941">
        <v>0.42899999999999999</v>
      </c>
      <c r="J147" s="941">
        <v>0.17499999999999999</v>
      </c>
      <c r="K147" s="942">
        <v>530</v>
      </c>
      <c r="L147" s="943">
        <f t="shared" si="68"/>
        <v>531.21892447176219</v>
      </c>
      <c r="M147" s="940">
        <v>0.74</v>
      </c>
      <c r="N147" s="940">
        <v>0.45</v>
      </c>
      <c r="O147" s="944">
        <f t="shared" si="69"/>
        <v>47.631366634886334</v>
      </c>
      <c r="P147" s="945">
        <f t="shared" si="70"/>
        <v>9.0455232000000009E-5</v>
      </c>
      <c r="Q147" s="945">
        <f t="shared" si="71"/>
        <v>5.5006560000000007E-5</v>
      </c>
      <c r="R147" s="548">
        <f t="shared" si="72"/>
        <v>47.650019970566333</v>
      </c>
      <c r="S147" s="946">
        <f>C147*D147*H147*$C$71*Fuel_Specs!$C$13/1000000</f>
        <v>31.402633920000007</v>
      </c>
      <c r="T147" s="947">
        <f>S147*Upstream!$C$99/1000000</f>
        <v>0.53424781949695666</v>
      </c>
      <c r="U147" s="947">
        <f>S147*Upstream!$D$99/1000000</f>
        <v>5.5304255340178684E-3</v>
      </c>
      <c r="V147" s="948">
        <f>S147*Upstream!$E$99/1000000</f>
        <v>7.6634022099152869E-6</v>
      </c>
      <c r="W147" s="945">
        <f t="shared" si="73"/>
        <v>0.67479215170595819</v>
      </c>
      <c r="X147" s="949">
        <f t="shared" si="61"/>
        <v>48.324812122272292</v>
      </c>
    </row>
    <row r="148" spans="2:24">
      <c r="B148" s="502" t="s">
        <v>753</v>
      </c>
      <c r="C148" s="938">
        <v>6</v>
      </c>
      <c r="D148" s="938">
        <v>7</v>
      </c>
      <c r="E148" s="938">
        <v>250</v>
      </c>
      <c r="F148" s="939">
        <v>0.85</v>
      </c>
      <c r="G148" s="939">
        <v>0.59</v>
      </c>
      <c r="H148" s="955">
        <v>7.0000000000000007E-2</v>
      </c>
      <c r="I148" s="941">
        <v>0.20300000000000001</v>
      </c>
      <c r="J148" s="941">
        <v>0.13700000000000001</v>
      </c>
      <c r="K148" s="942">
        <v>536</v>
      </c>
      <c r="L148" s="943">
        <f t="shared" si="68"/>
        <v>536.7455273806687</v>
      </c>
      <c r="M148" s="940">
        <v>0.74</v>
      </c>
      <c r="N148" s="940">
        <v>0.45</v>
      </c>
      <c r="O148" s="944">
        <f t="shared" si="69"/>
        <v>580.64899277972916</v>
      </c>
      <c r="P148" s="945">
        <f t="shared" si="70"/>
        <v>3.7991197440000001E-4</v>
      </c>
      <c r="Q148" s="945">
        <f t="shared" si="71"/>
        <v>2.3102755200000001E-4</v>
      </c>
      <c r="R148" s="548">
        <f t="shared" si="72"/>
        <v>580.72733678958514</v>
      </c>
      <c r="S148" s="946">
        <f>C148*D148*H148*$C$71*Fuel_Specs!$C$13/1000000</f>
        <v>77.582977920000019</v>
      </c>
      <c r="T148" s="947">
        <f>S148*Upstream!$C$99/1000000</f>
        <v>1.3199063775807165</v>
      </c>
      <c r="U148" s="947">
        <f>S148*Upstream!$D$99/1000000</f>
        <v>1.3663404260514734E-2</v>
      </c>
      <c r="V148" s="948">
        <f>S148*Upstream!$E$99/1000000</f>
        <v>1.8933111342143655E-5</v>
      </c>
      <c r="W148" s="945">
        <f t="shared" si="73"/>
        <v>1.6671335512735437</v>
      </c>
      <c r="X148" s="949">
        <f t="shared" si="61"/>
        <v>582.39447034085867</v>
      </c>
    </row>
    <row r="149" spans="2:24">
      <c r="B149" s="502" t="s">
        <v>775</v>
      </c>
      <c r="C149" s="938">
        <v>1</v>
      </c>
      <c r="D149" s="938">
        <v>7</v>
      </c>
      <c r="E149" s="938">
        <v>285</v>
      </c>
      <c r="F149" s="939">
        <v>0.75</v>
      </c>
      <c r="G149" s="939">
        <v>0.59</v>
      </c>
      <c r="H149" s="955">
        <v>7.0000000000000007E-2</v>
      </c>
      <c r="I149" s="941">
        <v>0.20300000000000001</v>
      </c>
      <c r="J149" s="941">
        <v>0.13700000000000001</v>
      </c>
      <c r="K149" s="942">
        <v>536</v>
      </c>
      <c r="L149" s="943">
        <f t="shared" si="68"/>
        <v>536.7455273806687</v>
      </c>
      <c r="M149" s="940">
        <v>0.74</v>
      </c>
      <c r="N149" s="940">
        <v>0.45</v>
      </c>
      <c r="O149" s="944">
        <f t="shared" si="69"/>
        <v>97.344095848366351</v>
      </c>
      <c r="P149" s="945">
        <f t="shared" si="70"/>
        <v>5.5869408000000013E-5</v>
      </c>
      <c r="Q149" s="945">
        <f t="shared" si="71"/>
        <v>3.3974640000000008E-5</v>
      </c>
      <c r="R149" s="548">
        <f t="shared" si="72"/>
        <v>97.355617026286353</v>
      </c>
      <c r="S149" s="946">
        <f>C149*D149*H149*$C$71*Fuel_Specs!$C$13/1000000</f>
        <v>12.930496320000001</v>
      </c>
      <c r="T149" s="947">
        <f>S149*Upstream!$C$99/1000000</f>
        <v>0.21998439626345273</v>
      </c>
      <c r="U149" s="947">
        <f>S149*Upstream!$D$99/1000000</f>
        <v>2.277234043419122E-3</v>
      </c>
      <c r="V149" s="948">
        <f>S149*Upstream!$E$99/1000000</f>
        <v>3.1555185570239414E-6</v>
      </c>
      <c r="W149" s="945">
        <f t="shared" si="73"/>
        <v>0.27785559187892395</v>
      </c>
      <c r="X149" s="949">
        <f t="shared" si="61"/>
        <v>97.633472618165271</v>
      </c>
    </row>
    <row r="150" spans="2:24">
      <c r="B150" s="502" t="s">
        <v>752</v>
      </c>
      <c r="C150" s="938">
        <v>3</v>
      </c>
      <c r="D150" s="938">
        <v>7</v>
      </c>
      <c r="E150" s="938">
        <v>200</v>
      </c>
      <c r="F150" s="939">
        <v>0.85</v>
      </c>
      <c r="G150" s="939">
        <v>0.59</v>
      </c>
      <c r="H150" s="955">
        <v>0.11</v>
      </c>
      <c r="I150" s="941">
        <v>0.32200000000000001</v>
      </c>
      <c r="J150" s="941">
        <v>0.14099999999999999</v>
      </c>
      <c r="K150" s="942">
        <v>536</v>
      </c>
      <c r="L150" s="943">
        <f t="shared" si="68"/>
        <v>536.94494566503158</v>
      </c>
      <c r="M150" s="940">
        <v>0.74</v>
      </c>
      <c r="N150" s="940">
        <v>0.45</v>
      </c>
      <c r="O150" s="944">
        <f t="shared" si="69"/>
        <v>232.34588904730634</v>
      </c>
      <c r="P150" s="945">
        <f t="shared" si="70"/>
        <v>2.9850226560000002E-4</v>
      </c>
      <c r="Q150" s="945">
        <f t="shared" si="71"/>
        <v>1.8152164800000001E-4</v>
      </c>
      <c r="R150" s="548">
        <f t="shared" si="72"/>
        <v>232.40744505505035</v>
      </c>
      <c r="S150" s="946">
        <f>C150*D150*H150*$C$71*Fuel_Specs!$C$13/1000000</f>
        <v>60.958054079999997</v>
      </c>
      <c r="T150" s="947">
        <f>S150*Upstream!$C$99/1000000</f>
        <v>1.0370692966705628</v>
      </c>
      <c r="U150" s="947">
        <f>S150*Upstream!$D$99/1000000</f>
        <v>1.0735531918975858E-2</v>
      </c>
      <c r="V150" s="948">
        <f>S150*Upstream!$E$99/1000000</f>
        <v>1.4876016054541436E-5</v>
      </c>
      <c r="W150" s="945">
        <f t="shared" si="73"/>
        <v>1.3098906474292125</v>
      </c>
      <c r="X150" s="949">
        <f t="shared" si="61"/>
        <v>233.71733570247955</v>
      </c>
    </row>
    <row r="151" spans="2:24">
      <c r="B151" s="502" t="s">
        <v>751</v>
      </c>
      <c r="C151" s="938">
        <v>3</v>
      </c>
      <c r="D151" s="938">
        <v>7</v>
      </c>
      <c r="E151" s="938">
        <v>85</v>
      </c>
      <c r="F151" s="939">
        <v>0.5</v>
      </c>
      <c r="G151" s="939">
        <v>0.59</v>
      </c>
      <c r="H151" s="955">
        <v>0.65</v>
      </c>
      <c r="I151" s="941">
        <v>2.2650000000000001</v>
      </c>
      <c r="J151" s="941">
        <v>0.25700000000000001</v>
      </c>
      <c r="K151" s="942">
        <v>595</v>
      </c>
      <c r="L151" s="943">
        <f t="shared" si="68"/>
        <v>599.35882933509015</v>
      </c>
      <c r="M151" s="940">
        <v>0.74</v>
      </c>
      <c r="N151" s="940">
        <v>0.45</v>
      </c>
      <c r="O151" s="944">
        <f t="shared" si="69"/>
        <v>64.838379234455786</v>
      </c>
      <c r="P151" s="945">
        <f t="shared" si="70"/>
        <v>1.0375747199999998E-3</v>
      </c>
      <c r="Q151" s="945">
        <f t="shared" si="71"/>
        <v>6.309575999999999E-4</v>
      </c>
      <c r="R151" s="548">
        <f t="shared" si="72"/>
        <v>65.05234396725578</v>
      </c>
      <c r="S151" s="946">
        <f>C151*D151*H151*$C$71*Fuel_Specs!$C$13/1000000</f>
        <v>360.20668319999999</v>
      </c>
      <c r="T151" s="947">
        <f>S151*Upstream!$C$99/1000000</f>
        <v>6.1281367530533251</v>
      </c>
      <c r="U151" s="947">
        <f>S151*Upstream!$D$99/1000000</f>
        <v>6.3437234066675535E-2</v>
      </c>
      <c r="V151" s="948">
        <f>S151*Upstream!$E$99/1000000</f>
        <v>8.790373123138122E-5</v>
      </c>
      <c r="W151" s="945">
        <f t="shared" si="73"/>
        <v>7.7402629166271648</v>
      </c>
      <c r="X151" s="949">
        <f t="shared" si="61"/>
        <v>72.792606883882939</v>
      </c>
    </row>
    <row r="152" spans="2:24">
      <c r="B152" s="502" t="s">
        <v>750</v>
      </c>
      <c r="C152" s="938">
        <v>3</v>
      </c>
      <c r="D152" s="938">
        <v>7</v>
      </c>
      <c r="E152" s="938">
        <v>200</v>
      </c>
      <c r="F152" s="939">
        <v>0.85</v>
      </c>
      <c r="G152" s="939">
        <v>0.59</v>
      </c>
      <c r="H152" s="955">
        <v>0.11</v>
      </c>
      <c r="I152" s="941">
        <v>0.32200000000000001</v>
      </c>
      <c r="J152" s="941">
        <v>0.14099999999999999</v>
      </c>
      <c r="K152" s="942">
        <v>536</v>
      </c>
      <c r="L152" s="943">
        <f t="shared" si="68"/>
        <v>536.94494566503158</v>
      </c>
      <c r="M152" s="940">
        <v>0.74</v>
      </c>
      <c r="N152" s="940">
        <v>0.45</v>
      </c>
      <c r="O152" s="944">
        <f t="shared" si="69"/>
        <v>232.34588904730634</v>
      </c>
      <c r="P152" s="945">
        <f t="shared" si="70"/>
        <v>2.9850226560000002E-4</v>
      </c>
      <c r="Q152" s="945">
        <f t="shared" si="71"/>
        <v>1.8152164800000001E-4</v>
      </c>
      <c r="R152" s="548">
        <f t="shared" si="72"/>
        <v>232.40744505505035</v>
      </c>
      <c r="S152" s="946">
        <f>C152*D152*H152*$C$71*Fuel_Specs!$C$13/1000000</f>
        <v>60.958054079999997</v>
      </c>
      <c r="T152" s="947">
        <f>S152*Upstream!$C$99/1000000</f>
        <v>1.0370692966705628</v>
      </c>
      <c r="U152" s="947">
        <f>S152*Upstream!$D$99/1000000</f>
        <v>1.0735531918975858E-2</v>
      </c>
      <c r="V152" s="948">
        <f>S152*Upstream!$E$99/1000000</f>
        <v>1.4876016054541436E-5</v>
      </c>
      <c r="W152" s="945">
        <f t="shared" si="73"/>
        <v>1.3098906474292125</v>
      </c>
      <c r="X152" s="949">
        <f t="shared" si="61"/>
        <v>233.71733570247955</v>
      </c>
    </row>
    <row r="153" spans="2:24">
      <c r="B153" s="502" t="s">
        <v>749</v>
      </c>
      <c r="C153" s="938">
        <v>3</v>
      </c>
      <c r="D153" s="938">
        <v>7</v>
      </c>
      <c r="E153" s="938">
        <v>100</v>
      </c>
      <c r="F153" s="939">
        <v>0.85</v>
      </c>
      <c r="G153" s="939">
        <v>0.21</v>
      </c>
      <c r="H153" s="955">
        <v>0.65</v>
      </c>
      <c r="I153" s="941">
        <v>5.2880000000000003</v>
      </c>
      <c r="J153" s="941">
        <v>0.83899999999999997</v>
      </c>
      <c r="K153" s="942">
        <v>693</v>
      </c>
      <c r="L153" s="943">
        <f t="shared" si="68"/>
        <v>703.92055081893022</v>
      </c>
      <c r="M153" s="940">
        <v>0.74</v>
      </c>
      <c r="N153" s="940">
        <v>0.45</v>
      </c>
      <c r="O153" s="944">
        <f t="shared" si="69"/>
        <v>54.208347219396352</v>
      </c>
      <c r="P153" s="945">
        <f t="shared" si="70"/>
        <v>1.7638770239999995E-3</v>
      </c>
      <c r="Q153" s="945">
        <f t="shared" si="71"/>
        <v>1.0726279199999998E-3</v>
      </c>
      <c r="R153" s="548">
        <f t="shared" si="72"/>
        <v>54.572087265156355</v>
      </c>
      <c r="S153" s="946">
        <f>C153*D153*H153*$C$71*Fuel_Specs!$C$13/1000000</f>
        <v>360.20668319999999</v>
      </c>
      <c r="T153" s="947">
        <f>S153*Upstream!$C$99/1000000</f>
        <v>6.1281367530533251</v>
      </c>
      <c r="U153" s="947">
        <f>S153*Upstream!$D$99/1000000</f>
        <v>6.3437234066675535E-2</v>
      </c>
      <c r="V153" s="948">
        <f>S153*Upstream!$E$99/1000000</f>
        <v>8.790373123138122E-5</v>
      </c>
      <c r="W153" s="945">
        <f t="shared" si="73"/>
        <v>7.7402629166271648</v>
      </c>
      <c r="X153" s="949">
        <f t="shared" si="61"/>
        <v>62.312350181783522</v>
      </c>
    </row>
    <row r="154" spans="2:24">
      <c r="B154" s="502" t="s">
        <v>748</v>
      </c>
      <c r="C154" s="938">
        <v>6</v>
      </c>
      <c r="D154" s="938">
        <v>7</v>
      </c>
      <c r="E154" s="938">
        <v>50</v>
      </c>
      <c r="F154" s="939">
        <v>0.85</v>
      </c>
      <c r="G154" s="939">
        <v>0.21</v>
      </c>
      <c r="H154" s="955">
        <v>3.66</v>
      </c>
      <c r="I154" s="941">
        <v>5.8730000000000002</v>
      </c>
      <c r="J154" s="941">
        <v>1.516</v>
      </c>
      <c r="K154" s="942">
        <v>691</v>
      </c>
      <c r="L154" s="943">
        <f t="shared" si="68"/>
        <v>704.94769641702123</v>
      </c>
      <c r="M154" s="940">
        <v>0.74</v>
      </c>
      <c r="N154" s="940">
        <v>0.45</v>
      </c>
      <c r="O154" s="944">
        <f t="shared" si="69"/>
        <v>54.287446863754539</v>
      </c>
      <c r="P154" s="945">
        <f t="shared" si="70"/>
        <v>1.9863968947200002E-2</v>
      </c>
      <c r="Q154" s="945">
        <f t="shared" si="71"/>
        <v>1.2079440576000001E-2</v>
      </c>
      <c r="R154" s="548">
        <f t="shared" si="72"/>
        <v>58.383719379082542</v>
      </c>
      <c r="S154" s="946">
        <f>C154*D154*H154*$C$71*Fuel_Specs!$C$13/1000000</f>
        <v>4056.4814169599999</v>
      </c>
      <c r="T154" s="947">
        <f>S154*Upstream!$C$99/1000000</f>
        <v>69.012247742077435</v>
      </c>
      <c r="U154" s="947">
        <f>S154*Upstream!$D$99/1000000</f>
        <v>0.71440085133548459</v>
      </c>
      <c r="V154" s="948">
        <f>S154*Upstream!$E$99/1000000</f>
        <v>9.8993125017493924E-4</v>
      </c>
      <c r="W154" s="945">
        <f>T154+U154*CH4_GWP+V154*N2O_GWP</f>
        <v>87.167268538016685</v>
      </c>
      <c r="X154" s="949">
        <f t="shared" si="61"/>
        <v>145.55098791709923</v>
      </c>
    </row>
    <row r="155" spans="2:24">
      <c r="B155" s="967"/>
      <c r="C155" s="967"/>
      <c r="D155" s="967"/>
      <c r="E155" s="967"/>
      <c r="F155" s="967"/>
      <c r="G155" s="967"/>
      <c r="H155" s="982"/>
      <c r="I155" s="968"/>
      <c r="J155" s="968"/>
      <c r="K155" s="967"/>
      <c r="L155" s="969"/>
      <c r="M155" s="969"/>
      <c r="N155" s="970" t="s">
        <v>728</v>
      </c>
      <c r="O155" s="971">
        <f>SUM(O111:O154)</f>
        <v>3416.5711533268213</v>
      </c>
      <c r="P155" s="972">
        <f t="shared" ref="P155:W155" si="74">SUM(P111:P154)</f>
        <v>4.8582642259199997E-2</v>
      </c>
      <c r="Q155" s="973">
        <f t="shared" si="74"/>
        <v>2.9806390800000002E-2</v>
      </c>
      <c r="R155" s="974">
        <f t="shared" si="74"/>
        <v>3426.6680238417011</v>
      </c>
      <c r="S155" s="973">
        <f t="shared" si="74"/>
        <v>10587.437609279999</v>
      </c>
      <c r="T155" s="973">
        <f>SUM(T111:T154)</f>
        <v>180.12232576502012</v>
      </c>
      <c r="U155" s="973">
        <f t="shared" si="74"/>
        <v>1.8645899399187469</v>
      </c>
      <c r="V155" s="973">
        <f t="shared" si="74"/>
        <v>2.5837257148236233E-3</v>
      </c>
      <c r="W155" s="973">
        <f t="shared" si="74"/>
        <v>227.50702452600618</v>
      </c>
      <c r="X155" s="975">
        <f>SUM(X111:X154)</f>
        <v>3654.1750483677074</v>
      </c>
    </row>
    <row r="156" spans="2:24">
      <c r="L156" s="503"/>
      <c r="M156" s="503"/>
      <c r="N156" s="503"/>
      <c r="P156" s="505"/>
      <c r="Q156" s="505"/>
      <c r="R156" s="505"/>
    </row>
    <row r="157" spans="2:24">
      <c r="L157" s="503"/>
      <c r="M157" s="503"/>
      <c r="N157" s="503"/>
      <c r="P157" s="505"/>
      <c r="Q157" s="505"/>
      <c r="R157" s="505"/>
    </row>
    <row r="158" spans="2:24" ht="15.75">
      <c r="B158" s="497" t="s">
        <v>774</v>
      </c>
      <c r="C158" s="498"/>
      <c r="D158" s="498"/>
      <c r="E158" s="498"/>
      <c r="F158" s="498"/>
      <c r="G158" s="498"/>
      <c r="H158" s="978"/>
      <c r="K158" s="499"/>
      <c r="L158" s="509"/>
      <c r="M158" s="502"/>
      <c r="N158" s="502"/>
      <c r="O158" s="499"/>
      <c r="P158" s="508"/>
      <c r="Q158" s="508"/>
      <c r="R158" s="508"/>
      <c r="X158" s="499"/>
    </row>
    <row r="159" spans="2:24" ht="50.25" thickBot="1">
      <c r="B159" s="957" t="s">
        <v>772</v>
      </c>
      <c r="C159" s="958" t="s">
        <v>771</v>
      </c>
      <c r="D159" s="959" t="s">
        <v>770</v>
      </c>
      <c r="E159" s="960" t="s">
        <v>769</v>
      </c>
      <c r="F159" s="960" t="s">
        <v>768</v>
      </c>
      <c r="G159" s="960" t="s">
        <v>767</v>
      </c>
      <c r="H159" s="979" t="s">
        <v>766</v>
      </c>
      <c r="I159" s="959" t="s">
        <v>822</v>
      </c>
      <c r="J159" s="959" t="s">
        <v>823</v>
      </c>
      <c r="K159" s="959" t="s">
        <v>826</v>
      </c>
      <c r="L159" s="960" t="s">
        <v>825</v>
      </c>
      <c r="M159" s="960" t="s">
        <v>837</v>
      </c>
      <c r="N159" s="960" t="s">
        <v>835</v>
      </c>
      <c r="O159" s="961" t="s">
        <v>827</v>
      </c>
      <c r="P159" s="962" t="s">
        <v>765</v>
      </c>
      <c r="Q159" s="962" t="s">
        <v>764</v>
      </c>
      <c r="R159" s="963" t="s">
        <v>838</v>
      </c>
      <c r="S159" s="963" t="s">
        <v>833</v>
      </c>
      <c r="T159" s="961" t="s">
        <v>829</v>
      </c>
      <c r="U159" s="959" t="s">
        <v>830</v>
      </c>
      <c r="V159" s="959" t="s">
        <v>831</v>
      </c>
      <c r="W159" s="961" t="s">
        <v>840</v>
      </c>
      <c r="X159" s="963" t="s">
        <v>839</v>
      </c>
    </row>
    <row r="160" spans="2:24" ht="13.5" thickTop="1">
      <c r="B160" s="936" t="s">
        <v>763</v>
      </c>
      <c r="C160" s="502"/>
      <c r="D160" s="502"/>
      <c r="E160" s="502"/>
      <c r="F160" s="502"/>
      <c r="G160" s="502"/>
      <c r="H160" s="980"/>
      <c r="K160" s="509"/>
      <c r="L160" s="509"/>
      <c r="M160" s="506"/>
      <c r="N160" s="506"/>
      <c r="O160" s="509"/>
      <c r="P160" s="937"/>
      <c r="Q160" s="937"/>
      <c r="X160" s="509"/>
    </row>
    <row r="161" spans="2:24">
      <c r="B161" s="502" t="s">
        <v>762</v>
      </c>
      <c r="C161" s="1023">
        <v>2</v>
      </c>
      <c r="D161" s="938">
        <v>12</v>
      </c>
      <c r="E161" s="938">
        <v>250</v>
      </c>
      <c r="F161" s="939">
        <v>0.85</v>
      </c>
      <c r="G161" s="1024">
        <v>0.43</v>
      </c>
      <c r="H161" s="955">
        <v>0.17399999999999999</v>
      </c>
      <c r="I161" s="940">
        <v>0.371</v>
      </c>
      <c r="J161" s="940">
        <v>0.16600000000000001</v>
      </c>
      <c r="K161" s="942">
        <v>531</v>
      </c>
      <c r="L161" s="943">
        <f t="shared" ref="L161:L175" si="75">K161+J161*VOC_C_Ratio/CO2_C_Ratio+I161*CO_C_Ratio/CO2_C_Ratio</f>
        <v>532.09977542041634</v>
      </c>
      <c r="M161" s="940">
        <v>0.74</v>
      </c>
      <c r="N161" s="940">
        <v>0.45</v>
      </c>
      <c r="O161" s="511">
        <f t="shared" ref="O161:O175" si="76">E161*$C$71*L161*C161*D161/1000000*F161*G161</f>
        <v>239.72686925217815</v>
      </c>
      <c r="P161" s="945">
        <f t="shared" ref="P161:P175" si="77">$C161*$H161*$C$71*$D161*M161/1000000*$F161</f>
        <v>5.396300697599999E-4</v>
      </c>
      <c r="Q161" s="945">
        <f t="shared" ref="Q161:Q175" si="78">$C161*$H161*$C$71*$D161*N161/1000000*$F161</f>
        <v>3.2815342079999996E-4</v>
      </c>
      <c r="R161" s="548">
        <f t="shared" ref="R161:R175" si="79">O161+P161*CH4_GWP+Q161*N2O_GWP</f>
        <v>239.83814972332056</v>
      </c>
      <c r="S161" s="946">
        <f>C161*D161*H161*$C$71*Fuel_Specs!$C$13/1000000</f>
        <v>110.19949516800001</v>
      </c>
      <c r="T161" s="947">
        <f>S161*Upstream!$C$99/1000000</f>
        <v>1.8748057934615889</v>
      </c>
      <c r="U161" s="947">
        <f>S161*Upstream!$D$99/1000000</f>
        <v>1.9407610949629089E-2</v>
      </c>
      <c r="V161" s="948">
        <f>S161*Upstream!$E$99/1000000</f>
        <v>2.6892745906391794E-5</v>
      </c>
      <c r="W161" s="945">
        <f t="shared" ref="W161:W175" si="80">T161+U161*CH4_GWP+V161*N2O_GWP</f>
        <v>2.368010105482421</v>
      </c>
      <c r="X161" s="949">
        <f>R161+W161</f>
        <v>242.20615982880298</v>
      </c>
    </row>
    <row r="162" spans="2:24">
      <c r="B162" s="502" t="s">
        <v>761</v>
      </c>
      <c r="C162" s="1023">
        <v>2</v>
      </c>
      <c r="D162" s="938">
        <v>12</v>
      </c>
      <c r="E162" s="938">
        <v>300</v>
      </c>
      <c r="F162" s="939">
        <v>0.85</v>
      </c>
      <c r="G162" s="1024">
        <v>0.43</v>
      </c>
      <c r="H162" s="955">
        <v>0.17399999999999999</v>
      </c>
      <c r="I162" s="940">
        <v>0.371</v>
      </c>
      <c r="J162" s="940">
        <v>0.16600000000000001</v>
      </c>
      <c r="K162" s="942">
        <v>531</v>
      </c>
      <c r="L162" s="943">
        <f t="shared" si="75"/>
        <v>532.09977542041634</v>
      </c>
      <c r="M162" s="940">
        <v>0.74</v>
      </c>
      <c r="N162" s="940">
        <v>0.45</v>
      </c>
      <c r="O162" s="511">
        <f t="shared" si="76"/>
        <v>287.67224310261378</v>
      </c>
      <c r="P162" s="945">
        <f t="shared" si="77"/>
        <v>5.396300697599999E-4</v>
      </c>
      <c r="Q162" s="945">
        <f t="shared" si="78"/>
        <v>3.2815342079999996E-4</v>
      </c>
      <c r="R162" s="548">
        <f t="shared" si="79"/>
        <v>287.78352357375616</v>
      </c>
      <c r="S162" s="946">
        <f>C162*D162*H162*$C$71*Fuel_Specs!$C$13/1000000</f>
        <v>110.19949516800001</v>
      </c>
      <c r="T162" s="947">
        <f>S162*Upstream!$C$99/1000000</f>
        <v>1.8748057934615889</v>
      </c>
      <c r="U162" s="947">
        <f>S162*Upstream!$D$99/1000000</f>
        <v>1.9407610949629089E-2</v>
      </c>
      <c r="V162" s="948">
        <f>S162*Upstream!$E$99/1000000</f>
        <v>2.6892745906391794E-5</v>
      </c>
      <c r="W162" s="945">
        <f t="shared" si="80"/>
        <v>2.368010105482421</v>
      </c>
      <c r="X162" s="949">
        <f t="shared" ref="X162:X175" si="81">R162+W162</f>
        <v>290.15153367923858</v>
      </c>
    </row>
    <row r="163" spans="2:24">
      <c r="B163" s="502" t="s">
        <v>760</v>
      </c>
      <c r="C163" s="1023">
        <v>3</v>
      </c>
      <c r="D163" s="938">
        <v>12</v>
      </c>
      <c r="E163" s="938">
        <v>85</v>
      </c>
      <c r="F163" s="939">
        <v>0.85</v>
      </c>
      <c r="G163" s="1024">
        <v>0.43</v>
      </c>
      <c r="H163" s="955">
        <v>0.42199999999999999</v>
      </c>
      <c r="I163" s="940">
        <v>1.359</v>
      </c>
      <c r="J163" s="940">
        <v>0.20799999999999999</v>
      </c>
      <c r="K163" s="942">
        <v>590</v>
      </c>
      <c r="L163" s="943">
        <f t="shared" si="75"/>
        <v>592.78281993955227</v>
      </c>
      <c r="M163" s="940">
        <v>0.74</v>
      </c>
      <c r="N163" s="940">
        <v>0.45</v>
      </c>
      <c r="O163" s="511">
        <f t="shared" si="76"/>
        <v>136.20386218681787</v>
      </c>
      <c r="P163" s="945">
        <f t="shared" si="77"/>
        <v>1.9631369779199996E-3</v>
      </c>
      <c r="Q163" s="945">
        <f t="shared" si="78"/>
        <v>1.1937995135999999E-3</v>
      </c>
      <c r="R163" s="548">
        <f t="shared" si="79"/>
        <v>136.60869286631868</v>
      </c>
      <c r="S163" s="946">
        <f>C163*D163*H163*$C$71*Fuel_Specs!$C$13/1000000</f>
        <v>400.89816345600002</v>
      </c>
      <c r="T163" s="947">
        <f>S163*Upstream!$C$99/1000000</f>
        <v>6.820414179661987</v>
      </c>
      <c r="U163" s="947">
        <f>S163*Upstream!$D$99/1000000</f>
        <v>7.0603550178823055E-2</v>
      </c>
      <c r="V163" s="948">
        <f>S163*Upstream!$E$99/1000000</f>
        <v>9.7833954935321868E-5</v>
      </c>
      <c r="W163" s="945">
        <f t="shared" si="80"/>
        <v>8.6146574527032893</v>
      </c>
      <c r="X163" s="949">
        <f t="shared" si="81"/>
        <v>145.22335031902196</v>
      </c>
    </row>
    <row r="164" spans="2:24">
      <c r="B164" s="502" t="s">
        <v>759</v>
      </c>
      <c r="C164" s="1023">
        <v>2</v>
      </c>
      <c r="D164" s="938">
        <v>12</v>
      </c>
      <c r="E164" s="938">
        <v>100</v>
      </c>
      <c r="F164" s="939">
        <v>0.85</v>
      </c>
      <c r="G164" s="1024">
        <v>0.43</v>
      </c>
      <c r="H164" s="955">
        <v>0.42199999999999999</v>
      </c>
      <c r="I164" s="940">
        <v>1.359</v>
      </c>
      <c r="J164" s="940">
        <v>0.20799999999999999</v>
      </c>
      <c r="K164" s="942">
        <v>590</v>
      </c>
      <c r="L164" s="943">
        <f t="shared" si="75"/>
        <v>592.78281993955227</v>
      </c>
      <c r="M164" s="940">
        <v>0.74</v>
      </c>
      <c r="N164" s="940">
        <v>0.45</v>
      </c>
      <c r="O164" s="511">
        <f t="shared" si="76"/>
        <v>106.82655857789634</v>
      </c>
      <c r="P164" s="945">
        <f t="shared" si="77"/>
        <v>1.30875798528E-3</v>
      </c>
      <c r="Q164" s="945">
        <f t="shared" si="78"/>
        <v>7.9586634240000006E-4</v>
      </c>
      <c r="R164" s="548">
        <f t="shared" si="79"/>
        <v>107.09644569756354</v>
      </c>
      <c r="S164" s="946">
        <f>C164*D164*H164*$C$71*Fuel_Specs!$C$13/1000000</f>
        <v>267.26544230399998</v>
      </c>
      <c r="T164" s="947">
        <f>S164*Upstream!$C$99/1000000</f>
        <v>4.5469427864413241</v>
      </c>
      <c r="U164" s="947">
        <f>S164*Upstream!$D$99/1000000</f>
        <v>4.7069033452548696E-2</v>
      </c>
      <c r="V164" s="948">
        <f>S164*Upstream!$E$99/1000000</f>
        <v>6.5222636623547912E-5</v>
      </c>
      <c r="W164" s="945">
        <f t="shared" si="80"/>
        <v>5.7431049684688587</v>
      </c>
      <c r="X164" s="949">
        <f t="shared" si="81"/>
        <v>112.83955066603239</v>
      </c>
    </row>
    <row r="165" spans="2:24">
      <c r="B165" s="502" t="s">
        <v>758</v>
      </c>
      <c r="C165" s="1023">
        <v>3</v>
      </c>
      <c r="D165" s="938">
        <v>12</v>
      </c>
      <c r="E165" s="938">
        <v>55</v>
      </c>
      <c r="F165" s="939">
        <v>0.85</v>
      </c>
      <c r="G165" s="1024">
        <v>0.43</v>
      </c>
      <c r="H165" s="955">
        <v>1.02</v>
      </c>
      <c r="I165" s="940">
        <v>0.73399999999999999</v>
      </c>
      <c r="J165" s="940">
        <v>0.189</v>
      </c>
      <c r="K165" s="942">
        <v>590</v>
      </c>
      <c r="L165" s="943">
        <f t="shared" si="75"/>
        <v>591.74170876326855</v>
      </c>
      <c r="M165" s="940">
        <v>0.74</v>
      </c>
      <c r="N165" s="940">
        <v>0.45</v>
      </c>
      <c r="O165" s="511">
        <f t="shared" si="76"/>
        <v>87.97712375422698</v>
      </c>
      <c r="P165" s="945">
        <f t="shared" si="77"/>
        <v>4.7450230271999993E-3</v>
      </c>
      <c r="Q165" s="945">
        <f t="shared" si="78"/>
        <v>2.8854869759999996E-3</v>
      </c>
      <c r="R165" s="548">
        <f t="shared" si="79"/>
        <v>88.955624448754975</v>
      </c>
      <c r="S165" s="946">
        <f>C165*D165*H165*$C$71*Fuel_Specs!$C$13/1000000</f>
        <v>968.99556096000003</v>
      </c>
      <c r="T165" s="947">
        <f>S165*Upstream!$C$99/1000000</f>
        <v>16.485361287334658</v>
      </c>
      <c r="U165" s="947">
        <f>S165*Upstream!$D$99/1000000</f>
        <v>0.17065313076397992</v>
      </c>
      <c r="V165" s="948">
        <f>S165*Upstream!$E$99/1000000</f>
        <v>2.3647069676310025E-4</v>
      </c>
      <c r="W165" s="945">
        <f t="shared" si="80"/>
        <v>20.822157824069564</v>
      </c>
      <c r="X165" s="949">
        <f t="shared" si="81"/>
        <v>109.77778227282454</v>
      </c>
    </row>
    <row r="166" spans="2:24">
      <c r="B166" s="502" t="s">
        <v>757</v>
      </c>
      <c r="C166" s="1023">
        <v>2</v>
      </c>
      <c r="D166" s="938">
        <v>12</v>
      </c>
      <c r="E166" s="938">
        <v>65</v>
      </c>
      <c r="F166" s="939">
        <v>0.85</v>
      </c>
      <c r="G166" s="1024">
        <v>0.59</v>
      </c>
      <c r="H166" s="955">
        <v>0.73199999999999998</v>
      </c>
      <c r="I166" s="940">
        <v>2.1629999999999998</v>
      </c>
      <c r="J166" s="940">
        <v>0.254</v>
      </c>
      <c r="K166" s="942">
        <v>595</v>
      </c>
      <c r="L166" s="943">
        <f t="shared" si="75"/>
        <v>599.18923386197048</v>
      </c>
      <c r="M166" s="940">
        <v>0.74</v>
      </c>
      <c r="N166" s="940">
        <v>0.45</v>
      </c>
      <c r="O166" s="511">
        <f t="shared" si="76"/>
        <v>96.304048240309271</v>
      </c>
      <c r="P166" s="945">
        <f t="shared" si="77"/>
        <v>2.2701678796799999E-3</v>
      </c>
      <c r="Q166" s="945">
        <f t="shared" si="78"/>
        <v>1.3805074944000001E-3</v>
      </c>
      <c r="R166" s="548">
        <f t="shared" si="79"/>
        <v>96.772193670632475</v>
      </c>
      <c r="S166" s="946">
        <f>C166*D166*H166*$C$71*Fuel_Specs!$C$13/1000000</f>
        <v>463.59787622399989</v>
      </c>
      <c r="T166" s="947">
        <f>S166*Upstream!$C$99/1000000</f>
        <v>7.8871140276659926</v>
      </c>
      <c r="U166" s="947">
        <f>S166*Upstream!$D$99/1000000</f>
        <v>8.1645811581198213E-2</v>
      </c>
      <c r="V166" s="948">
        <f>S166*Upstream!$E$99/1000000</f>
        <v>1.1313500001999305E-4</v>
      </c>
      <c r="W166" s="945">
        <f t="shared" si="80"/>
        <v>9.9619735472019055</v>
      </c>
      <c r="X166" s="949">
        <f t="shared" si="81"/>
        <v>106.73416721783438</v>
      </c>
    </row>
    <row r="167" spans="2:24">
      <c r="B167" s="502" t="s">
        <v>756</v>
      </c>
      <c r="C167" s="1023">
        <v>2</v>
      </c>
      <c r="D167" s="938">
        <v>12</v>
      </c>
      <c r="E167" s="938">
        <v>65</v>
      </c>
      <c r="F167" s="939">
        <v>0.85</v>
      </c>
      <c r="G167" s="1024">
        <v>0.59</v>
      </c>
      <c r="H167" s="955">
        <v>0.48899999999999999</v>
      </c>
      <c r="I167" s="940">
        <v>1.5029999999999999</v>
      </c>
      <c r="J167" s="940">
        <v>0.17699999999999999</v>
      </c>
      <c r="K167" s="942">
        <v>596</v>
      </c>
      <c r="L167" s="943">
        <f t="shared" si="75"/>
        <v>598.91253325043328</v>
      </c>
      <c r="M167" s="940">
        <v>0.74</v>
      </c>
      <c r="N167" s="940">
        <v>0.45</v>
      </c>
      <c r="O167" s="511">
        <f t="shared" si="76"/>
        <v>96.259575830700285</v>
      </c>
      <c r="P167" s="945">
        <f t="shared" si="77"/>
        <v>1.51654657536E-3</v>
      </c>
      <c r="Q167" s="945">
        <f t="shared" si="78"/>
        <v>9.2222426880000019E-4</v>
      </c>
      <c r="R167" s="548">
        <f t="shared" si="79"/>
        <v>96.572312327186694</v>
      </c>
      <c r="S167" s="946">
        <f>C167*D167*H167*$C$71*Fuel_Specs!$C$13/1000000</f>
        <v>309.69858124800004</v>
      </c>
      <c r="T167" s="947">
        <f>S167*Upstream!$C$99/1000000</f>
        <v>5.2688507643834317</v>
      </c>
      <c r="U167" s="947">
        <f>S167*Upstream!$D$99/1000000</f>
        <v>5.4542079048095549E-2</v>
      </c>
      <c r="V167" s="948">
        <f>S167*Upstream!$E$99/1000000</f>
        <v>7.5577889357618337E-5</v>
      </c>
      <c r="W167" s="945">
        <f t="shared" si="80"/>
        <v>6.6549249516143902</v>
      </c>
      <c r="X167" s="949">
        <f t="shared" si="81"/>
        <v>103.22723727880108</v>
      </c>
    </row>
    <row r="168" spans="2:24">
      <c r="B168" s="502" t="s">
        <v>755</v>
      </c>
      <c r="C168" s="1023">
        <v>2</v>
      </c>
      <c r="D168" s="938">
        <v>12</v>
      </c>
      <c r="E168" s="938">
        <v>150</v>
      </c>
      <c r="F168" s="939">
        <v>0.85</v>
      </c>
      <c r="G168" s="1024">
        <v>0.43</v>
      </c>
      <c r="H168" s="955">
        <v>1.0580000000000001</v>
      </c>
      <c r="I168" s="940">
        <v>2.214</v>
      </c>
      <c r="J168" s="940">
        <v>0.44500000000000001</v>
      </c>
      <c r="K168" s="942">
        <v>589</v>
      </c>
      <c r="L168" s="943">
        <f t="shared" si="75"/>
        <v>593.86409634100994</v>
      </c>
      <c r="M168" s="940">
        <v>0.74</v>
      </c>
      <c r="N168" s="940">
        <v>0.45</v>
      </c>
      <c r="O168" s="511">
        <f t="shared" si="76"/>
        <v>160.53212628923248</v>
      </c>
      <c r="P168" s="945">
        <f t="shared" si="77"/>
        <v>3.2811989299199999E-3</v>
      </c>
      <c r="Q168" s="945">
        <f t="shared" si="78"/>
        <v>1.9953236735999998E-3</v>
      </c>
      <c r="R168" s="548">
        <f t="shared" si="79"/>
        <v>161.20876271721329</v>
      </c>
      <c r="S168" s="946">
        <f>C168*D168*H168*$C$71*Fuel_Specs!$C$13/1000000</f>
        <v>670.06359705600016</v>
      </c>
      <c r="T168" s="947">
        <f>S168*Upstream!$C$99/1000000</f>
        <v>11.399681203921618</v>
      </c>
      <c r="U168" s="947">
        <f>S168*Upstream!$D$99/1000000</f>
        <v>0.11800719761326195</v>
      </c>
      <c r="V168" s="948">
        <f>S168*Upstream!$E$99/1000000</f>
        <v>1.6352025959173863E-4</v>
      </c>
      <c r="W168" s="945">
        <f t="shared" si="80"/>
        <v>14.398590181611507</v>
      </c>
      <c r="X168" s="949">
        <f t="shared" si="81"/>
        <v>175.60735289882479</v>
      </c>
    </row>
    <row r="169" spans="2:24">
      <c r="B169" s="502" t="s">
        <v>754</v>
      </c>
      <c r="C169" s="1023">
        <v>1</v>
      </c>
      <c r="D169" s="938">
        <v>12</v>
      </c>
      <c r="E169" s="938">
        <v>290</v>
      </c>
      <c r="F169" s="939">
        <v>0.5</v>
      </c>
      <c r="G169" s="1024">
        <v>0.43</v>
      </c>
      <c r="H169" s="955">
        <v>0.17399999999999999</v>
      </c>
      <c r="I169" s="940">
        <v>0.371</v>
      </c>
      <c r="J169" s="940">
        <v>0.16600000000000001</v>
      </c>
      <c r="K169" s="942">
        <v>531</v>
      </c>
      <c r="L169" s="943">
        <f t="shared" si="75"/>
        <v>532.09977542041634</v>
      </c>
      <c r="M169" s="940">
        <v>0.74</v>
      </c>
      <c r="N169" s="940">
        <v>0.45</v>
      </c>
      <c r="O169" s="511">
        <f t="shared" si="76"/>
        <v>81.789167156625496</v>
      </c>
      <c r="P169" s="945">
        <f t="shared" si="77"/>
        <v>1.5871472639999998E-4</v>
      </c>
      <c r="Q169" s="945">
        <f t="shared" si="78"/>
        <v>9.6515711999999994E-5</v>
      </c>
      <c r="R169" s="548">
        <f t="shared" si="79"/>
        <v>81.821896706961496</v>
      </c>
      <c r="S169" s="946">
        <f>C169*D169*H169*$C$71*Fuel_Specs!$C$13/1000000</f>
        <v>55.099747584000006</v>
      </c>
      <c r="T169" s="947">
        <f>S169*Upstream!$C$99/1000000</f>
        <v>0.93740289673079447</v>
      </c>
      <c r="U169" s="947">
        <f>S169*Upstream!$D$99/1000000</f>
        <v>9.7038054748145447E-3</v>
      </c>
      <c r="V169" s="948">
        <f>S169*Upstream!$E$99/1000000</f>
        <v>1.3446372953195897E-5</v>
      </c>
      <c r="W169" s="945">
        <f t="shared" si="80"/>
        <v>1.1840050527412105</v>
      </c>
      <c r="X169" s="949">
        <f t="shared" si="81"/>
        <v>83.005901759702709</v>
      </c>
    </row>
    <row r="170" spans="2:24">
      <c r="B170" s="502" t="s">
        <v>753</v>
      </c>
      <c r="C170" s="1023">
        <v>4</v>
      </c>
      <c r="D170" s="938">
        <v>12</v>
      </c>
      <c r="E170" s="938">
        <v>250</v>
      </c>
      <c r="F170" s="939">
        <v>0.85</v>
      </c>
      <c r="G170" s="1024">
        <v>0.59</v>
      </c>
      <c r="H170" s="955">
        <v>7.3999999999999996E-2</v>
      </c>
      <c r="I170" s="940">
        <v>0.16300000000000001</v>
      </c>
      <c r="J170" s="940">
        <v>0.13500000000000001</v>
      </c>
      <c r="K170" s="942">
        <v>536</v>
      </c>
      <c r="L170" s="943">
        <f t="shared" si="75"/>
        <v>536.67645504766563</v>
      </c>
      <c r="M170" s="940">
        <v>0.74</v>
      </c>
      <c r="N170" s="940">
        <v>0.45</v>
      </c>
      <c r="O170" s="511">
        <f t="shared" si="76"/>
        <v>663.51345214660432</v>
      </c>
      <c r="P170" s="945">
        <f t="shared" si="77"/>
        <v>4.5899569151999986E-4</v>
      </c>
      <c r="Q170" s="945">
        <f t="shared" si="78"/>
        <v>2.7911900160000001E-4</v>
      </c>
      <c r="R170" s="548">
        <f t="shared" si="79"/>
        <v>663.6081045013691</v>
      </c>
      <c r="S170" s="946">
        <f>C170*D170*H170*$C$71*Fuel_Specs!$C$13/1000000</f>
        <v>93.732903935999985</v>
      </c>
      <c r="T170" s="947">
        <f>S170*Upstream!$C$99/1000000</f>
        <v>1.5946623990362936</v>
      </c>
      <c r="U170" s="947">
        <f>S170*Upstream!$D$99/1000000</f>
        <v>1.6507623106581059E-2</v>
      </c>
      <c r="V170" s="948">
        <f>S170*Upstream!$E$99/1000000</f>
        <v>2.2874289621528649E-5</v>
      </c>
      <c r="W170" s="945">
        <f t="shared" si="80"/>
        <v>2.0141695150080356</v>
      </c>
      <c r="X170" s="949">
        <f t="shared" si="81"/>
        <v>665.6222740163771</v>
      </c>
    </row>
    <row r="171" spans="2:24">
      <c r="B171" s="502" t="s">
        <v>752</v>
      </c>
      <c r="C171" s="1023">
        <v>2</v>
      </c>
      <c r="D171" s="938">
        <v>12</v>
      </c>
      <c r="E171" s="938">
        <v>200</v>
      </c>
      <c r="F171" s="939">
        <v>0.85</v>
      </c>
      <c r="G171" s="1024">
        <v>0.59</v>
      </c>
      <c r="H171" s="955">
        <v>0.112</v>
      </c>
      <c r="I171" s="940">
        <v>0.23899999999999999</v>
      </c>
      <c r="J171" s="940">
        <v>0.13700000000000001</v>
      </c>
      <c r="K171" s="942">
        <v>536</v>
      </c>
      <c r="L171" s="943">
        <f t="shared" si="75"/>
        <v>536.80208764376732</v>
      </c>
      <c r="M171" s="940">
        <v>0.74</v>
      </c>
      <c r="N171" s="940">
        <v>0.45</v>
      </c>
      <c r="O171" s="511">
        <f t="shared" si="76"/>
        <v>265.46751059566117</v>
      </c>
      <c r="P171" s="945">
        <f t="shared" si="77"/>
        <v>3.4734809087999996E-4</v>
      </c>
      <c r="Q171" s="945">
        <f t="shared" si="78"/>
        <v>2.1122519039999999E-4</v>
      </c>
      <c r="R171" s="548">
        <f t="shared" si="79"/>
        <v>265.53913940467237</v>
      </c>
      <c r="S171" s="946">
        <f>C171*D171*H171*$C$71*Fuel_Specs!$C$13/1000000</f>
        <v>70.933008384000004</v>
      </c>
      <c r="T171" s="947">
        <f>S171*Upstream!$C$99/1000000</f>
        <v>1.206771545216655</v>
      </c>
      <c r="U171" s="947">
        <f>S171*Upstream!$D$99/1000000</f>
        <v>1.2492255323899184E-2</v>
      </c>
      <c r="V171" s="948">
        <f>S171*Upstream!$E$99/1000000</f>
        <v>1.7310273227102766E-5</v>
      </c>
      <c r="W171" s="945">
        <f t="shared" si="80"/>
        <v>1.5242363897358113</v>
      </c>
      <c r="X171" s="949">
        <f t="shared" si="81"/>
        <v>267.06337579440816</v>
      </c>
    </row>
    <row r="172" spans="2:24">
      <c r="B172" s="502" t="s">
        <v>751</v>
      </c>
      <c r="C172" s="1023">
        <v>2</v>
      </c>
      <c r="D172" s="938">
        <v>12</v>
      </c>
      <c r="E172" s="938">
        <v>85</v>
      </c>
      <c r="F172" s="939">
        <v>0.25</v>
      </c>
      <c r="G172" s="1024">
        <v>0.59</v>
      </c>
      <c r="H172" s="955">
        <v>0.65300000000000002</v>
      </c>
      <c r="I172" s="940">
        <v>2.0070000000000001</v>
      </c>
      <c r="J172" s="940">
        <v>0.23300000000000001</v>
      </c>
      <c r="K172" s="942">
        <v>595</v>
      </c>
      <c r="L172" s="943">
        <f t="shared" si="75"/>
        <v>598.8787496281625</v>
      </c>
      <c r="M172" s="940">
        <v>0.74</v>
      </c>
      <c r="N172" s="940">
        <v>0.45</v>
      </c>
      <c r="O172" s="511">
        <f t="shared" si="76"/>
        <v>37.020825382374163</v>
      </c>
      <c r="P172" s="945">
        <f t="shared" si="77"/>
        <v>5.9563630080000001E-4</v>
      </c>
      <c r="Q172" s="945">
        <f t="shared" si="78"/>
        <v>3.6221126399999995E-4</v>
      </c>
      <c r="R172" s="548">
        <f t="shared" si="79"/>
        <v>37.143655246566162</v>
      </c>
      <c r="S172" s="946">
        <f>C172*D172*H172*$C$71*Fuel_Specs!$C$13/1000000</f>
        <v>413.56477209600001</v>
      </c>
      <c r="T172" s="947">
        <f>S172*Upstream!$C$99/1000000</f>
        <v>7.0359090984506754</v>
      </c>
      <c r="U172" s="947">
        <f>S172*Upstream!$D$99/1000000</f>
        <v>7.2834310058090782E-2</v>
      </c>
      <c r="V172" s="948">
        <f>S172*Upstream!$E$99/1000000</f>
        <v>1.0092507515444738E-4</v>
      </c>
      <c r="W172" s="945">
        <f t="shared" si="80"/>
        <v>8.88684252229897</v>
      </c>
      <c r="X172" s="949">
        <f t="shared" si="81"/>
        <v>46.030497768865132</v>
      </c>
    </row>
    <row r="173" spans="2:24">
      <c r="B173" s="502" t="s">
        <v>750</v>
      </c>
      <c r="C173" s="1023">
        <v>2</v>
      </c>
      <c r="D173" s="938">
        <v>12</v>
      </c>
      <c r="E173" s="938">
        <v>200</v>
      </c>
      <c r="F173" s="939">
        <v>0.85</v>
      </c>
      <c r="G173" s="1024">
        <v>0.59</v>
      </c>
      <c r="H173" s="955">
        <v>0.112</v>
      </c>
      <c r="I173" s="940">
        <v>0.23899999999999999</v>
      </c>
      <c r="J173" s="940">
        <v>0.13700000000000001</v>
      </c>
      <c r="K173" s="942">
        <v>536</v>
      </c>
      <c r="L173" s="943">
        <f t="shared" si="75"/>
        <v>536.80208764376732</v>
      </c>
      <c r="M173" s="940">
        <v>0.74</v>
      </c>
      <c r="N173" s="940">
        <v>0.45</v>
      </c>
      <c r="O173" s="511">
        <f t="shared" si="76"/>
        <v>265.46751059566117</v>
      </c>
      <c r="P173" s="945">
        <f t="shared" si="77"/>
        <v>3.4734809087999996E-4</v>
      </c>
      <c r="Q173" s="945">
        <f t="shared" si="78"/>
        <v>2.1122519039999999E-4</v>
      </c>
      <c r="R173" s="548">
        <f t="shared" si="79"/>
        <v>265.53913940467237</v>
      </c>
      <c r="S173" s="946">
        <f>C173*D173*H173*$C$71*Fuel_Specs!$C$13/1000000</f>
        <v>70.933008384000004</v>
      </c>
      <c r="T173" s="947">
        <f>S173*Upstream!$C$99/1000000</f>
        <v>1.206771545216655</v>
      </c>
      <c r="U173" s="947">
        <f>S173*Upstream!$D$99/1000000</f>
        <v>1.2492255323899184E-2</v>
      </c>
      <c r="V173" s="948">
        <f>S173*Upstream!$E$99/1000000</f>
        <v>1.7310273227102766E-5</v>
      </c>
      <c r="W173" s="945">
        <f t="shared" si="80"/>
        <v>1.5242363897358113</v>
      </c>
      <c r="X173" s="949">
        <f t="shared" si="81"/>
        <v>267.06337579440816</v>
      </c>
    </row>
    <row r="174" spans="2:24">
      <c r="B174" s="502" t="s">
        <v>749</v>
      </c>
      <c r="C174" s="1023">
        <v>2</v>
      </c>
      <c r="D174" s="938">
        <v>12</v>
      </c>
      <c r="E174" s="938">
        <v>100</v>
      </c>
      <c r="F174" s="939">
        <v>0.85</v>
      </c>
      <c r="G174" s="1024">
        <v>0.21</v>
      </c>
      <c r="H174" s="955">
        <v>0.64600000000000002</v>
      </c>
      <c r="I174" s="940">
        <v>4.8949999999999996</v>
      </c>
      <c r="J174" s="940">
        <v>0.75900000000000001</v>
      </c>
      <c r="K174" s="942">
        <v>694</v>
      </c>
      <c r="L174" s="943">
        <f t="shared" si="75"/>
        <v>704.05399743103476</v>
      </c>
      <c r="M174" s="940">
        <v>0.74</v>
      </c>
      <c r="N174" s="940">
        <v>0.45</v>
      </c>
      <c r="O174" s="511">
        <f t="shared" si="76"/>
        <v>61.964141524688088</v>
      </c>
      <c r="P174" s="945">
        <f t="shared" si="77"/>
        <v>2.0034541670399995E-3</v>
      </c>
      <c r="Q174" s="945">
        <f t="shared" si="78"/>
        <v>1.2183167232E-3</v>
      </c>
      <c r="R174" s="548">
        <f t="shared" si="79"/>
        <v>62.377286262377687</v>
      </c>
      <c r="S174" s="946">
        <f>C174*D174*H174*$C$71*Fuel_Specs!$C$13/1000000</f>
        <v>409.13145907200004</v>
      </c>
      <c r="T174" s="947">
        <f>S174*Upstream!$C$99/1000000</f>
        <v>6.9604858768746354</v>
      </c>
      <c r="U174" s="947">
        <f>S174*Upstream!$D$99/1000000</f>
        <v>7.2053544100347075E-2</v>
      </c>
      <c r="V174" s="948">
        <f>S174*Upstream!$E$99/1000000</f>
        <v>9.984318307775345E-5</v>
      </c>
      <c r="W174" s="945">
        <f t="shared" si="80"/>
        <v>8.7915777479404831</v>
      </c>
      <c r="X174" s="949">
        <f t="shared" si="81"/>
        <v>71.168864010318174</v>
      </c>
    </row>
    <row r="175" spans="2:24">
      <c r="B175" s="964" t="s">
        <v>748</v>
      </c>
      <c r="C175" s="1029">
        <v>4</v>
      </c>
      <c r="D175" s="1002">
        <v>12</v>
      </c>
      <c r="E175" s="1002">
        <v>50</v>
      </c>
      <c r="F175" s="1004">
        <v>0.85</v>
      </c>
      <c r="G175" s="1030">
        <v>0.21</v>
      </c>
      <c r="H175" s="1025">
        <v>3.661</v>
      </c>
      <c r="I175" s="1009">
        <v>5.4409999999999998</v>
      </c>
      <c r="J175" s="1009">
        <v>1.393</v>
      </c>
      <c r="K175" s="1026">
        <v>692</v>
      </c>
      <c r="L175" s="1008">
        <f t="shared" si="75"/>
        <v>704.88597609189492</v>
      </c>
      <c r="M175" s="1009">
        <v>0.74</v>
      </c>
      <c r="N175" s="1009">
        <v>0.45</v>
      </c>
      <c r="O175" s="965">
        <f t="shared" si="76"/>
        <v>62.037364379291809</v>
      </c>
      <c r="P175" s="966">
        <f t="shared" si="77"/>
        <v>2.2707881441280001E-2</v>
      </c>
      <c r="Q175" s="966">
        <f t="shared" si="78"/>
        <v>1.3808846822400002E-2</v>
      </c>
      <c r="R175" s="1010">
        <f t="shared" si="79"/>
        <v>66.720097768399015</v>
      </c>
      <c r="S175" s="1011">
        <f>C175*D175*H175*$C$71*Fuel_Specs!$C$13/1000000</f>
        <v>4637.2454231040001</v>
      </c>
      <c r="T175" s="1012">
        <f>S175*Upstream!$C$99/1000000</f>
        <v>78.892689768538816</v>
      </c>
      <c r="U175" s="1012">
        <f>S175*Upstream!$D$99/1000000</f>
        <v>0.81668119179990906</v>
      </c>
      <c r="V175" s="1013">
        <f>S175*Upstream!$E$99/1000000</f>
        <v>1.1316591122218433E-3</v>
      </c>
      <c r="W175" s="966">
        <f t="shared" si="80"/>
        <v>99.646953978978658</v>
      </c>
      <c r="X175" s="1014">
        <f t="shared" si="81"/>
        <v>166.36705174737767</v>
      </c>
    </row>
    <row r="176" spans="2:24">
      <c r="B176" s="498"/>
      <c r="C176" s="498"/>
      <c r="D176" s="498"/>
      <c r="E176" s="498"/>
      <c r="F176" s="498"/>
      <c r="G176" s="498"/>
      <c r="H176" s="983"/>
      <c r="I176" s="510"/>
      <c r="J176" s="510"/>
      <c r="K176" s="511"/>
      <c r="L176" s="943"/>
      <c r="M176" s="940"/>
      <c r="N176" s="509" t="s">
        <v>728</v>
      </c>
      <c r="O176" s="511">
        <f>SUM(O161:O175)</f>
        <v>2648.7623790148814</v>
      </c>
      <c r="P176" s="945">
        <f t="shared" ref="P176:W176" si="82">SUM(P161:P175)</f>
        <v>4.2783470023679993E-2</v>
      </c>
      <c r="Q176" s="945">
        <f t="shared" si="82"/>
        <v>2.60169750144E-2</v>
      </c>
      <c r="R176" s="956">
        <f t="shared" si="82"/>
        <v>2657.5850243197647</v>
      </c>
      <c r="S176" s="956">
        <f t="shared" si="82"/>
        <v>9051.5585341440019</v>
      </c>
      <c r="T176" s="956">
        <f>SUM(T161:T175)</f>
        <v>153.99266896639671</v>
      </c>
      <c r="U176" s="956">
        <f t="shared" si="82"/>
        <v>1.5941010097247064</v>
      </c>
      <c r="V176" s="956">
        <f t="shared" si="82"/>
        <v>2.208914508587078E-3</v>
      </c>
      <c r="W176" s="956">
        <f t="shared" si="82"/>
        <v>194.50345073307335</v>
      </c>
      <c r="X176" s="956">
        <f>SUM(X161:X175)</f>
        <v>2852.0884750528376</v>
      </c>
    </row>
    <row r="177" spans="2:24">
      <c r="L177" s="503"/>
      <c r="M177" s="504"/>
      <c r="N177" s="504"/>
      <c r="P177" s="505"/>
      <c r="Q177" s="505"/>
      <c r="R177" s="505"/>
    </row>
    <row r="178" spans="2:24">
      <c r="L178" s="503"/>
      <c r="M178" s="504"/>
      <c r="N178" s="504"/>
      <c r="P178" s="505"/>
      <c r="Q178" s="505"/>
      <c r="R178" s="505"/>
    </row>
    <row r="179" spans="2:24" ht="15.75">
      <c r="B179" s="497" t="s">
        <v>773</v>
      </c>
      <c r="C179" s="498"/>
      <c r="D179" s="498"/>
      <c r="E179" s="498"/>
      <c r="F179" s="498"/>
      <c r="G179" s="498"/>
      <c r="H179" s="978"/>
      <c r="K179" s="498"/>
      <c r="L179" s="502"/>
      <c r="M179" s="506"/>
      <c r="N179" s="507"/>
      <c r="O179" s="498"/>
      <c r="P179" s="508"/>
      <c r="Q179" s="508"/>
      <c r="R179" s="508"/>
      <c r="X179" s="498"/>
    </row>
    <row r="180" spans="2:24" ht="50.25" thickBot="1">
      <c r="B180" s="957" t="s">
        <v>772</v>
      </c>
      <c r="C180" s="958" t="s">
        <v>771</v>
      </c>
      <c r="D180" s="959" t="s">
        <v>770</v>
      </c>
      <c r="E180" s="960" t="s">
        <v>769</v>
      </c>
      <c r="F180" s="960" t="s">
        <v>768</v>
      </c>
      <c r="G180" s="960" t="s">
        <v>767</v>
      </c>
      <c r="H180" s="979" t="s">
        <v>766</v>
      </c>
      <c r="I180" s="959" t="s">
        <v>822</v>
      </c>
      <c r="J180" s="959" t="s">
        <v>823</v>
      </c>
      <c r="K180" s="959" t="s">
        <v>826</v>
      </c>
      <c r="L180" s="960" t="s">
        <v>825</v>
      </c>
      <c r="M180" s="960" t="s">
        <v>837</v>
      </c>
      <c r="N180" s="960" t="s">
        <v>835</v>
      </c>
      <c r="O180" s="961" t="s">
        <v>827</v>
      </c>
      <c r="P180" s="962" t="s">
        <v>765</v>
      </c>
      <c r="Q180" s="962" t="s">
        <v>764</v>
      </c>
      <c r="R180" s="963" t="s">
        <v>838</v>
      </c>
      <c r="S180" s="963" t="s">
        <v>833</v>
      </c>
      <c r="T180" s="961" t="s">
        <v>829</v>
      </c>
      <c r="U180" s="959" t="s">
        <v>830</v>
      </c>
      <c r="V180" s="959" t="s">
        <v>831</v>
      </c>
      <c r="W180" s="961" t="s">
        <v>840</v>
      </c>
      <c r="X180" s="963" t="s">
        <v>839</v>
      </c>
    </row>
    <row r="181" spans="2:24" ht="13.5" thickTop="1">
      <c r="B181" s="936" t="s">
        <v>763</v>
      </c>
      <c r="C181" s="502"/>
      <c r="D181" s="502"/>
      <c r="E181" s="502"/>
      <c r="F181" s="502"/>
      <c r="G181" s="502"/>
      <c r="H181" s="980"/>
      <c r="I181" s="502"/>
      <c r="J181" s="502"/>
      <c r="K181" s="502"/>
      <c r="L181" s="502"/>
      <c r="M181" s="506"/>
      <c r="N181" s="507"/>
      <c r="O181" s="511"/>
      <c r="P181" s="937"/>
      <c r="Q181" s="937"/>
      <c r="X181" s="509"/>
    </row>
    <row r="182" spans="2:24">
      <c r="B182" s="502" t="s">
        <v>762</v>
      </c>
      <c r="C182" s="938">
        <v>2</v>
      </c>
      <c r="D182" s="938">
        <v>7</v>
      </c>
      <c r="E182" s="938">
        <v>250</v>
      </c>
      <c r="F182" s="939">
        <v>0.85</v>
      </c>
      <c r="G182" s="939">
        <v>0.43</v>
      </c>
      <c r="H182" s="955">
        <v>0.17399999999999999</v>
      </c>
      <c r="I182" s="940">
        <v>0.317</v>
      </c>
      <c r="J182" s="940">
        <v>0.159</v>
      </c>
      <c r="K182" s="942">
        <v>531</v>
      </c>
      <c r="L182" s="943">
        <f t="shared" ref="L182:L196" si="83">K182+J182*VOC_C_Ratio/CO2_C_Ratio+I182*CO_C_Ratio/CO2_C_Ratio</f>
        <v>531.99313843897482</v>
      </c>
      <c r="M182" s="940">
        <v>0.74</v>
      </c>
      <c r="N182" s="940">
        <v>0.45</v>
      </c>
      <c r="O182" s="511">
        <f t="shared" ref="O182:O196" si="84">E182*$C$71*L182*C182*D182/1000000*F182*G182</f>
        <v>139.81264855918513</v>
      </c>
      <c r="P182" s="945">
        <v>3.5E-4</v>
      </c>
      <c r="Q182" s="945">
        <v>2.1000000000000001E-4</v>
      </c>
      <c r="R182" s="548">
        <f t="shared" ref="R182:R196" si="85">O182+P182*CH4_GWP+Q182*N2O_GWP</f>
        <v>139.88397855918512</v>
      </c>
      <c r="S182" s="946">
        <f>C182*D182*H182*$C$71*Fuel_Specs!$C$13/1000000</f>
        <v>64.283038848000004</v>
      </c>
      <c r="T182" s="947">
        <f>S182*Upstream!$C$99/1000000</f>
        <v>1.0936367128525935</v>
      </c>
      <c r="U182" s="947">
        <f>S182*Upstream!$D$99/1000000</f>
        <v>1.1321106387283635E-2</v>
      </c>
      <c r="V182" s="948">
        <f>S182*Upstream!$E$99/1000000</f>
        <v>1.568743511206188E-5</v>
      </c>
      <c r="W182" s="945">
        <f t="shared" ref="W182:W196" si="86">T182+U182*CH4_GWP+V182*N2O_GWP</f>
        <v>1.3813392281980788</v>
      </c>
      <c r="X182" s="949">
        <f>R182+W182</f>
        <v>141.2653177873832</v>
      </c>
    </row>
    <row r="183" spans="2:24">
      <c r="B183" s="502" t="s">
        <v>761</v>
      </c>
      <c r="C183" s="938">
        <v>2</v>
      </c>
      <c r="D183" s="938">
        <v>7</v>
      </c>
      <c r="E183" s="938">
        <v>300</v>
      </c>
      <c r="F183" s="939">
        <v>0.85</v>
      </c>
      <c r="G183" s="939">
        <v>0.43</v>
      </c>
      <c r="H183" s="955">
        <v>0.17399999999999999</v>
      </c>
      <c r="I183" s="940">
        <v>0.317</v>
      </c>
      <c r="J183" s="940">
        <v>0.159</v>
      </c>
      <c r="K183" s="942">
        <v>531</v>
      </c>
      <c r="L183" s="943">
        <f t="shared" si="83"/>
        <v>531.99313843897482</v>
      </c>
      <c r="M183" s="940">
        <v>0.74</v>
      </c>
      <c r="N183" s="940">
        <v>0.45</v>
      </c>
      <c r="O183" s="511">
        <f t="shared" si="84"/>
        <v>167.77517827102216</v>
      </c>
      <c r="P183" s="945">
        <v>3.5E-4</v>
      </c>
      <c r="Q183" s="945">
        <v>2.1000000000000001E-4</v>
      </c>
      <c r="R183" s="548">
        <f t="shared" si="85"/>
        <v>167.84650827102215</v>
      </c>
      <c r="S183" s="946">
        <f>C183*D183*H183*$C$71*Fuel_Specs!$C$13/1000000</f>
        <v>64.283038848000004</v>
      </c>
      <c r="T183" s="947">
        <f>S183*Upstream!$C$99/1000000</f>
        <v>1.0936367128525935</v>
      </c>
      <c r="U183" s="947">
        <f>S183*Upstream!$D$99/1000000</f>
        <v>1.1321106387283635E-2</v>
      </c>
      <c r="V183" s="948">
        <f>S183*Upstream!$E$99/1000000</f>
        <v>1.568743511206188E-5</v>
      </c>
      <c r="W183" s="945">
        <f t="shared" si="86"/>
        <v>1.3813392281980788</v>
      </c>
      <c r="X183" s="949">
        <f t="shared" ref="X183:X196" si="87">R183+W183</f>
        <v>169.22784749922022</v>
      </c>
    </row>
    <row r="184" spans="2:24">
      <c r="B184" s="502" t="s">
        <v>760</v>
      </c>
      <c r="C184" s="938">
        <v>3</v>
      </c>
      <c r="D184" s="938">
        <v>7</v>
      </c>
      <c r="E184" s="938">
        <v>85</v>
      </c>
      <c r="F184" s="939">
        <v>0.85</v>
      </c>
      <c r="G184" s="939">
        <v>0.43</v>
      </c>
      <c r="H184" s="955">
        <v>0.42199999999999999</v>
      </c>
      <c r="I184" s="940">
        <v>1.1830000000000001</v>
      </c>
      <c r="J184" s="940">
        <v>0.188</v>
      </c>
      <c r="K184" s="942">
        <v>590</v>
      </c>
      <c r="L184" s="943">
        <f t="shared" si="83"/>
        <v>592.44402713546947</v>
      </c>
      <c r="M184" s="940">
        <v>0.74</v>
      </c>
      <c r="N184" s="940">
        <v>0.45</v>
      </c>
      <c r="O184" s="511">
        <f t="shared" si="84"/>
        <v>79.406843644571723</v>
      </c>
      <c r="P184" s="945">
        <v>1.2999999999999999E-3</v>
      </c>
      <c r="Q184" s="945">
        <v>7.6999999999999996E-4</v>
      </c>
      <c r="R184" s="548">
        <f t="shared" si="85"/>
        <v>79.668803644571724</v>
      </c>
      <c r="S184" s="946">
        <f>C184*D184*H184*$C$71*Fuel_Specs!$C$13/1000000</f>
        <v>233.85726201599996</v>
      </c>
      <c r="T184" s="947">
        <f>S184*Upstream!$C$99/1000000</f>
        <v>3.9785749381361586</v>
      </c>
      <c r="U184" s="947">
        <f>S184*Upstream!$D$99/1000000</f>
        <v>4.1185404270980115E-2</v>
      </c>
      <c r="V184" s="948">
        <f>S184*Upstream!$E$99/1000000</f>
        <v>5.7069807045604416E-5</v>
      </c>
      <c r="W184" s="945">
        <f t="shared" si="86"/>
        <v>5.0252168474102517</v>
      </c>
      <c r="X184" s="949">
        <f t="shared" si="87"/>
        <v>84.694020491981973</v>
      </c>
    </row>
    <row r="185" spans="2:24">
      <c r="B185" s="502" t="s">
        <v>759</v>
      </c>
      <c r="C185" s="938">
        <v>2</v>
      </c>
      <c r="D185" s="938">
        <v>7</v>
      </c>
      <c r="E185" s="938">
        <v>100</v>
      </c>
      <c r="F185" s="939">
        <v>0.85</v>
      </c>
      <c r="G185" s="939">
        <v>0.43</v>
      </c>
      <c r="H185" s="955">
        <v>0.42199999999999999</v>
      </c>
      <c r="I185" s="940">
        <v>1.1830000000000001</v>
      </c>
      <c r="J185" s="940">
        <v>0.188</v>
      </c>
      <c r="K185" s="942">
        <v>590</v>
      </c>
      <c r="L185" s="943">
        <f t="shared" si="83"/>
        <v>592.44402713546947</v>
      </c>
      <c r="M185" s="940">
        <v>0.74</v>
      </c>
      <c r="N185" s="940">
        <v>0.45</v>
      </c>
      <c r="O185" s="511">
        <f t="shared" si="84"/>
        <v>62.279877368291544</v>
      </c>
      <c r="P185" s="945">
        <v>8.4000000000000003E-4</v>
      </c>
      <c r="Q185" s="945">
        <v>5.1000000000000004E-4</v>
      </c>
      <c r="R185" s="548">
        <f t="shared" si="85"/>
        <v>62.452857368291546</v>
      </c>
      <c r="S185" s="946">
        <f>C185*D185*H185*$C$71*Fuel_Specs!$C$13/1000000</f>
        <v>155.90484134399998</v>
      </c>
      <c r="T185" s="947">
        <f>S185*Upstream!$C$99/1000000</f>
        <v>2.6523832920907724</v>
      </c>
      <c r="U185" s="947">
        <f>S185*Upstream!$D$99/1000000</f>
        <v>2.7456936180653407E-2</v>
      </c>
      <c r="V185" s="948">
        <f>S185*Upstream!$E$99/1000000</f>
        <v>3.8046538030402939E-5</v>
      </c>
      <c r="W185" s="945">
        <f t="shared" si="86"/>
        <v>3.3501445649401678</v>
      </c>
      <c r="X185" s="949">
        <f t="shared" si="87"/>
        <v>65.803001933231712</v>
      </c>
    </row>
    <row r="186" spans="2:24">
      <c r="B186" s="502" t="s">
        <v>758</v>
      </c>
      <c r="C186" s="938">
        <v>3</v>
      </c>
      <c r="D186" s="938">
        <v>7</v>
      </c>
      <c r="E186" s="938">
        <v>55</v>
      </c>
      <c r="F186" s="939">
        <v>0.85</v>
      </c>
      <c r="G186" s="939">
        <v>0.43</v>
      </c>
      <c r="H186" s="955">
        <v>1.02</v>
      </c>
      <c r="I186" s="940">
        <v>0.57199999999999995</v>
      </c>
      <c r="J186" s="940">
        <v>0.17199999999999999</v>
      </c>
      <c r="K186" s="942">
        <v>590</v>
      </c>
      <c r="L186" s="943">
        <f t="shared" si="83"/>
        <v>591.43425301139757</v>
      </c>
      <c r="M186" s="940">
        <v>0.74</v>
      </c>
      <c r="N186" s="940">
        <v>0.45</v>
      </c>
      <c r="O186" s="511">
        <f t="shared" si="84"/>
        <v>51.293324138688305</v>
      </c>
      <c r="P186" s="945">
        <v>3.0999999999999999E-3</v>
      </c>
      <c r="Q186" s="945">
        <v>1.9E-3</v>
      </c>
      <c r="R186" s="548">
        <f t="shared" si="85"/>
        <v>51.937024138688308</v>
      </c>
      <c r="S186" s="946">
        <f>C186*D186*H186*$C$71*Fuel_Specs!$C$13/1000000</f>
        <v>565.24741056000005</v>
      </c>
      <c r="T186" s="947">
        <f>S186*Upstream!$C$99/1000000</f>
        <v>9.6164607509452189</v>
      </c>
      <c r="U186" s="947">
        <f>S186*Upstream!$D$99/1000000</f>
        <v>9.9547659612321621E-2</v>
      </c>
      <c r="V186" s="948">
        <f>S186*Upstream!$E$99/1000000</f>
        <v>1.3794123977847516E-4</v>
      </c>
      <c r="W186" s="945">
        <f t="shared" si="86"/>
        <v>12.146258730707245</v>
      </c>
      <c r="X186" s="949">
        <f t="shared" si="87"/>
        <v>64.083282869395561</v>
      </c>
    </row>
    <row r="187" spans="2:24">
      <c r="B187" s="502" t="s">
        <v>757</v>
      </c>
      <c r="C187" s="938">
        <v>2</v>
      </c>
      <c r="D187" s="938">
        <v>7</v>
      </c>
      <c r="E187" s="938">
        <v>65</v>
      </c>
      <c r="F187" s="939">
        <v>0.85</v>
      </c>
      <c r="G187" s="939">
        <v>0.59</v>
      </c>
      <c r="H187" s="955">
        <v>0.73199999999999998</v>
      </c>
      <c r="I187" s="940">
        <v>1.93</v>
      </c>
      <c r="J187" s="940">
        <v>0.23200000000000001</v>
      </c>
      <c r="K187" s="942">
        <v>595</v>
      </c>
      <c r="L187" s="943">
        <f t="shared" si="83"/>
        <v>598.7546597117547</v>
      </c>
      <c r="M187" s="940">
        <v>0.74</v>
      </c>
      <c r="N187" s="940">
        <v>0.45</v>
      </c>
      <c r="O187" s="511">
        <f t="shared" si="84"/>
        <v>56.136617702190669</v>
      </c>
      <c r="P187" s="945">
        <v>1.5E-3</v>
      </c>
      <c r="Q187" s="945">
        <v>8.8999999999999995E-4</v>
      </c>
      <c r="R187" s="548">
        <f t="shared" si="85"/>
        <v>56.43933770219067</v>
      </c>
      <c r="S187" s="946">
        <f>C187*D187*H187*$C$71*Fuel_Specs!$C$13/1000000</f>
        <v>270.43209446399999</v>
      </c>
      <c r="T187" s="947">
        <f>S187*Upstream!$C$99/1000000</f>
        <v>4.6008165161384964</v>
      </c>
      <c r="U187" s="947">
        <f>S187*Upstream!$D$99/1000000</f>
        <v>4.7626723422365631E-2</v>
      </c>
      <c r="V187" s="948">
        <f>S187*Upstream!$E$99/1000000</f>
        <v>6.5995416678329272E-5</v>
      </c>
      <c r="W187" s="945">
        <f t="shared" si="86"/>
        <v>5.8111512358677793</v>
      </c>
      <c r="X187" s="949">
        <f t="shared" si="87"/>
        <v>62.250488938058453</v>
      </c>
    </row>
    <row r="188" spans="2:24">
      <c r="B188" s="502" t="s">
        <v>756</v>
      </c>
      <c r="C188" s="938">
        <v>2</v>
      </c>
      <c r="D188" s="938">
        <v>7</v>
      </c>
      <c r="E188" s="938">
        <v>65</v>
      </c>
      <c r="F188" s="939">
        <v>0.85</v>
      </c>
      <c r="G188" s="939">
        <v>0.59</v>
      </c>
      <c r="H188" s="955">
        <v>0.48899999999999999</v>
      </c>
      <c r="I188" s="940">
        <v>1.2569999999999999</v>
      </c>
      <c r="J188" s="940">
        <v>0.16400000000000001</v>
      </c>
      <c r="K188" s="942">
        <v>596</v>
      </c>
      <c r="L188" s="943">
        <f t="shared" si="83"/>
        <v>598.48555874378519</v>
      </c>
      <c r="M188" s="940">
        <v>0.74</v>
      </c>
      <c r="N188" s="940">
        <v>0.45</v>
      </c>
      <c r="O188" s="511">
        <f t="shared" si="84"/>
        <v>56.111387972589121</v>
      </c>
      <c r="P188" s="945">
        <v>9.7999999999999997E-4</v>
      </c>
      <c r="Q188" s="945">
        <v>5.9000000000000003E-4</v>
      </c>
      <c r="R188" s="548">
        <f t="shared" si="85"/>
        <v>56.311707972589126</v>
      </c>
      <c r="S188" s="946">
        <f>C188*D188*H188*$C$71*Fuel_Specs!$C$13/1000000</f>
        <v>180.65750572800002</v>
      </c>
      <c r="T188" s="947">
        <f>S188*Upstream!$C$99/1000000</f>
        <v>3.0734962792236677</v>
      </c>
      <c r="U188" s="947">
        <f>S188*Upstream!$D$99/1000000</f>
        <v>3.1816212778055734E-2</v>
      </c>
      <c r="V188" s="948">
        <f>S188*Upstream!$E$99/1000000</f>
        <v>4.4087102125277358E-5</v>
      </c>
      <c r="W188" s="945">
        <f t="shared" si="86"/>
        <v>3.8820395551083937</v>
      </c>
      <c r="X188" s="949">
        <f t="shared" si="87"/>
        <v>60.193747527697518</v>
      </c>
    </row>
    <row r="189" spans="2:24">
      <c r="B189" s="502" t="s">
        <v>755</v>
      </c>
      <c r="C189" s="938">
        <v>2</v>
      </c>
      <c r="D189" s="938">
        <v>7</v>
      </c>
      <c r="E189" s="938">
        <v>150</v>
      </c>
      <c r="F189" s="939">
        <v>0.85</v>
      </c>
      <c r="G189" s="939">
        <v>0.43</v>
      </c>
      <c r="H189" s="955">
        <v>1.0580000000000001</v>
      </c>
      <c r="I189" s="940">
        <v>2.0779999999999998</v>
      </c>
      <c r="J189" s="940">
        <v>0.41699999999999998</v>
      </c>
      <c r="K189" s="942">
        <v>589</v>
      </c>
      <c r="L189" s="943">
        <f t="shared" si="83"/>
        <v>593.56323788879672</v>
      </c>
      <c r="M189" s="940">
        <v>0.74</v>
      </c>
      <c r="N189" s="940">
        <v>0.45</v>
      </c>
      <c r="O189" s="511">
        <f t="shared" si="84"/>
        <v>93.596299328343207</v>
      </c>
      <c r="P189" s="945">
        <v>2.0999999999999999E-3</v>
      </c>
      <c r="Q189" s="945">
        <v>1.2999999999999999E-3</v>
      </c>
      <c r="R189" s="548">
        <f t="shared" si="85"/>
        <v>94.036199328343201</v>
      </c>
      <c r="S189" s="946">
        <f>C189*D189*H189*$C$71*Fuel_Specs!$C$13/1000000</f>
        <v>390.87043161600002</v>
      </c>
      <c r="T189" s="947">
        <f>S189*Upstream!$C$99/1000000</f>
        <v>6.6498140356209419</v>
      </c>
      <c r="U189" s="947">
        <f>S189*Upstream!$D$99/1000000</f>
        <v>6.8837531941069452E-2</v>
      </c>
      <c r="V189" s="948">
        <f>S189*Upstream!$E$99/1000000</f>
        <v>9.5386818095180857E-5</v>
      </c>
      <c r="W189" s="945">
        <f t="shared" si="86"/>
        <v>8.3991776059400411</v>
      </c>
      <c r="X189" s="949">
        <f t="shared" si="87"/>
        <v>102.43537693428324</v>
      </c>
    </row>
    <row r="190" spans="2:24">
      <c r="B190" s="502" t="s">
        <v>754</v>
      </c>
      <c r="C190" s="938">
        <v>1</v>
      </c>
      <c r="D190" s="938">
        <v>7</v>
      </c>
      <c r="E190" s="938">
        <v>290</v>
      </c>
      <c r="F190" s="939">
        <v>0.5</v>
      </c>
      <c r="G190" s="939">
        <v>0.43</v>
      </c>
      <c r="H190" s="955">
        <v>0.17399999999999999</v>
      </c>
      <c r="I190" s="940">
        <v>0.317</v>
      </c>
      <c r="J190" s="940">
        <v>0.159</v>
      </c>
      <c r="K190" s="942">
        <v>531</v>
      </c>
      <c r="L190" s="943">
        <f t="shared" si="83"/>
        <v>531.99313843897482</v>
      </c>
      <c r="M190" s="940">
        <v>0.74</v>
      </c>
      <c r="N190" s="940">
        <v>0.45</v>
      </c>
      <c r="O190" s="511">
        <f t="shared" si="84"/>
        <v>47.700785979016104</v>
      </c>
      <c r="P190" s="945">
        <v>1E-4</v>
      </c>
      <c r="Q190" s="945">
        <v>6.2000000000000003E-5</v>
      </c>
      <c r="R190" s="548">
        <f t="shared" si="85"/>
        <v>47.721761979016101</v>
      </c>
      <c r="S190" s="946">
        <f>C190*D190*H190*$C$71*Fuel_Specs!$C$13/1000000</f>
        <v>32.141519424000002</v>
      </c>
      <c r="T190" s="947">
        <f>S190*Upstream!$C$99/1000000</f>
        <v>0.54681835642629673</v>
      </c>
      <c r="U190" s="947">
        <f>S190*Upstream!$D$99/1000000</f>
        <v>5.6605531936418175E-3</v>
      </c>
      <c r="V190" s="948">
        <f>S190*Upstream!$E$99/1000000</f>
        <v>7.8437175560309401E-6</v>
      </c>
      <c r="W190" s="945">
        <f t="shared" si="86"/>
        <v>0.69066961409903938</v>
      </c>
      <c r="X190" s="949">
        <f t="shared" si="87"/>
        <v>48.412431593115137</v>
      </c>
    </row>
    <row r="191" spans="2:24">
      <c r="B191" s="502" t="s">
        <v>753</v>
      </c>
      <c r="C191" s="938">
        <v>4</v>
      </c>
      <c r="D191" s="938">
        <v>7</v>
      </c>
      <c r="E191" s="938">
        <v>250</v>
      </c>
      <c r="F191" s="939">
        <v>0.85</v>
      </c>
      <c r="G191" s="939">
        <v>0.59</v>
      </c>
      <c r="H191" s="955">
        <v>7.3999999999999996E-2</v>
      </c>
      <c r="I191" s="940">
        <v>0.13900000000000001</v>
      </c>
      <c r="J191" s="940">
        <v>0.13300000000000001</v>
      </c>
      <c r="K191" s="942">
        <v>536</v>
      </c>
      <c r="L191" s="943">
        <f t="shared" si="83"/>
        <v>536.63252060937316</v>
      </c>
      <c r="M191" s="940">
        <v>0.74</v>
      </c>
      <c r="N191" s="940">
        <v>0.45</v>
      </c>
      <c r="O191" s="511">
        <f t="shared" si="84"/>
        <v>387.01782836182059</v>
      </c>
      <c r="P191" s="945">
        <v>2.9E-4</v>
      </c>
      <c r="Q191" s="945">
        <v>1.8000000000000001E-4</v>
      </c>
      <c r="R191" s="548">
        <f t="shared" si="85"/>
        <v>387.07871836182056</v>
      </c>
      <c r="S191" s="946">
        <f>C191*D191*H191*$C$71*Fuel_Specs!$C$13/1000000</f>
        <v>54.677527295999994</v>
      </c>
      <c r="T191" s="947">
        <f>S191*Upstream!$C$99/1000000</f>
        <v>0.93021973277117143</v>
      </c>
      <c r="U191" s="947">
        <f>S191*Upstream!$D$99/1000000</f>
        <v>9.6294468121722859E-3</v>
      </c>
      <c r="V191" s="948">
        <f>S191*Upstream!$E$99/1000000</f>
        <v>1.3343335612558378E-5</v>
      </c>
      <c r="W191" s="945">
        <f t="shared" si="86"/>
        <v>1.174932217088021</v>
      </c>
      <c r="X191" s="949">
        <f t="shared" si="87"/>
        <v>388.2536505789086</v>
      </c>
    </row>
    <row r="192" spans="2:24">
      <c r="B192" s="502" t="s">
        <v>752</v>
      </c>
      <c r="C192" s="938">
        <v>2</v>
      </c>
      <c r="D192" s="938">
        <v>7</v>
      </c>
      <c r="E192" s="938">
        <v>200</v>
      </c>
      <c r="F192" s="939">
        <v>0.85</v>
      </c>
      <c r="G192" s="939">
        <v>0.59</v>
      </c>
      <c r="H192" s="955">
        <v>0.112</v>
      </c>
      <c r="I192" s="940">
        <v>0.192</v>
      </c>
      <c r="J192" s="940">
        <v>0.13400000000000001</v>
      </c>
      <c r="K192" s="942">
        <v>536</v>
      </c>
      <c r="L192" s="943">
        <f t="shared" si="83"/>
        <v>536.71890368371521</v>
      </c>
      <c r="M192" s="940">
        <v>0.74</v>
      </c>
      <c r="N192" s="940">
        <v>0.45</v>
      </c>
      <c r="O192" s="511">
        <f t="shared" si="84"/>
        <v>154.83205103450115</v>
      </c>
      <c r="P192" s="945">
        <v>2.2000000000000001E-4</v>
      </c>
      <c r="Q192" s="945">
        <v>1.3999999999999999E-4</v>
      </c>
      <c r="R192" s="548">
        <f t="shared" si="85"/>
        <v>154.87927103450116</v>
      </c>
      <c r="S192" s="946">
        <f>C192*D192*H192*$C$71*Fuel_Specs!$C$13/1000000</f>
        <v>41.377588224000007</v>
      </c>
      <c r="T192" s="947">
        <f>S192*Upstream!$C$99/1000000</f>
        <v>0.70395006804304872</v>
      </c>
      <c r="U192" s="947">
        <f>S192*Upstream!$D$99/1000000</f>
        <v>7.2871489389411907E-3</v>
      </c>
      <c r="V192" s="948">
        <f>S192*Upstream!$E$99/1000000</f>
        <v>1.0097659382476614E-5</v>
      </c>
      <c r="W192" s="945">
        <f t="shared" si="86"/>
        <v>0.88913789401255661</v>
      </c>
      <c r="X192" s="949">
        <f t="shared" si="87"/>
        <v>155.76840892851371</v>
      </c>
    </row>
    <row r="193" spans="2:24">
      <c r="B193" s="502" t="s">
        <v>751</v>
      </c>
      <c r="C193" s="938">
        <v>2</v>
      </c>
      <c r="D193" s="938">
        <v>7</v>
      </c>
      <c r="E193" s="938">
        <v>85</v>
      </c>
      <c r="F193" s="939">
        <v>0.25</v>
      </c>
      <c r="G193" s="939">
        <v>0.59</v>
      </c>
      <c r="H193" s="955">
        <v>0.65300000000000002</v>
      </c>
      <c r="I193" s="940">
        <v>1.762</v>
      </c>
      <c r="J193" s="940">
        <v>0.21099999999999999</v>
      </c>
      <c r="K193" s="942">
        <v>595</v>
      </c>
      <c r="L193" s="943">
        <f t="shared" si="83"/>
        <v>598.42532205691384</v>
      </c>
      <c r="M193" s="940">
        <v>0.74</v>
      </c>
      <c r="N193" s="940">
        <v>0.45</v>
      </c>
      <c r="O193" s="511">
        <f t="shared" si="84"/>
        <v>21.579130940125935</v>
      </c>
      <c r="P193" s="945">
        <v>3.8000000000000002E-4</v>
      </c>
      <c r="Q193" s="945">
        <v>2.3000000000000001E-4</v>
      </c>
      <c r="R193" s="548">
        <f t="shared" si="85"/>
        <v>21.657170940125933</v>
      </c>
      <c r="S193" s="946">
        <f>C193*D193*H193*$C$71*Fuel_Specs!$C$13/1000000</f>
        <v>241.24611705599997</v>
      </c>
      <c r="T193" s="947">
        <f>S193*Upstream!$C$99/1000000</f>
        <v>4.1042803074295602</v>
      </c>
      <c r="U193" s="947">
        <f>S193*Upstream!$D$99/1000000</f>
        <v>4.2486680867219614E-2</v>
      </c>
      <c r="V193" s="948">
        <f>S193*Upstream!$E$99/1000000</f>
        <v>5.8872960506760955E-5</v>
      </c>
      <c r="W193" s="945">
        <f t="shared" si="86"/>
        <v>5.1839914713410655</v>
      </c>
      <c r="X193" s="949">
        <f t="shared" si="87"/>
        <v>26.841162411467</v>
      </c>
    </row>
    <row r="194" spans="2:24">
      <c r="B194" s="502" t="s">
        <v>750</v>
      </c>
      <c r="C194" s="938">
        <v>2</v>
      </c>
      <c r="D194" s="938">
        <v>7</v>
      </c>
      <c r="E194" s="938">
        <v>200</v>
      </c>
      <c r="F194" s="939">
        <v>0.85</v>
      </c>
      <c r="G194" s="939">
        <v>0.59</v>
      </c>
      <c r="H194" s="955">
        <v>0.112</v>
      </c>
      <c r="I194" s="940">
        <v>0.192</v>
      </c>
      <c r="J194" s="940">
        <v>0.13400000000000001</v>
      </c>
      <c r="K194" s="942">
        <v>536</v>
      </c>
      <c r="L194" s="943">
        <f t="shared" si="83"/>
        <v>536.71890368371521</v>
      </c>
      <c r="M194" s="940">
        <v>0.74</v>
      </c>
      <c r="N194" s="940">
        <v>0.45</v>
      </c>
      <c r="O194" s="511">
        <f t="shared" si="84"/>
        <v>154.83205103450115</v>
      </c>
      <c r="P194" s="945">
        <v>2.2000000000000001E-4</v>
      </c>
      <c r="Q194" s="945">
        <v>1.3999999999999999E-4</v>
      </c>
      <c r="R194" s="548">
        <f t="shared" si="85"/>
        <v>154.87927103450116</v>
      </c>
      <c r="S194" s="946">
        <f>C194*D194*H194*$C$71*Fuel_Specs!$C$13/1000000</f>
        <v>41.377588224000007</v>
      </c>
      <c r="T194" s="947">
        <f>S194*Upstream!$C$99/1000000</f>
        <v>0.70395006804304872</v>
      </c>
      <c r="U194" s="947">
        <f>S194*Upstream!$D$99/1000000</f>
        <v>7.2871489389411907E-3</v>
      </c>
      <c r="V194" s="948">
        <f>S194*Upstream!$E$99/1000000</f>
        <v>1.0097659382476614E-5</v>
      </c>
      <c r="W194" s="945">
        <f t="shared" si="86"/>
        <v>0.88913789401255661</v>
      </c>
      <c r="X194" s="949">
        <f t="shared" si="87"/>
        <v>155.76840892851371</v>
      </c>
    </row>
    <row r="195" spans="2:24">
      <c r="B195" s="502" t="s">
        <v>749</v>
      </c>
      <c r="C195" s="938">
        <v>2</v>
      </c>
      <c r="D195" s="938">
        <v>7</v>
      </c>
      <c r="E195" s="938">
        <v>100</v>
      </c>
      <c r="F195" s="939">
        <v>0.85</v>
      </c>
      <c r="G195" s="939">
        <v>0.21</v>
      </c>
      <c r="H195" s="955">
        <v>0.64600000000000002</v>
      </c>
      <c r="I195" s="940">
        <v>4.5570000000000004</v>
      </c>
      <c r="J195" s="940">
        <v>0.69399999999999995</v>
      </c>
      <c r="K195" s="942">
        <v>694</v>
      </c>
      <c r="L195" s="943">
        <f t="shared" si="83"/>
        <v>703.32056252790721</v>
      </c>
      <c r="M195" s="940">
        <v>0.74</v>
      </c>
      <c r="N195" s="940">
        <v>0.45</v>
      </c>
      <c r="O195" s="511">
        <f t="shared" si="84"/>
        <v>36.108095073796733</v>
      </c>
      <c r="P195" s="945">
        <v>1.2999999999999999E-3</v>
      </c>
      <c r="Q195" s="945">
        <v>7.7999999999999999E-4</v>
      </c>
      <c r="R195" s="548">
        <f t="shared" si="85"/>
        <v>36.373035073796729</v>
      </c>
      <c r="S195" s="946">
        <f>C195*D195*H195*$C$71*Fuel_Specs!$C$13/1000000</f>
        <v>238.66001779199999</v>
      </c>
      <c r="T195" s="947">
        <f>S195*Upstream!$C$99/1000000</f>
        <v>4.06028342817687</v>
      </c>
      <c r="U195" s="947">
        <f>S195*Upstream!$D$99/1000000</f>
        <v>4.2031234058535788E-2</v>
      </c>
      <c r="V195" s="948">
        <f>S195*Upstream!$E$99/1000000</f>
        <v>5.8241856795356174E-5</v>
      </c>
      <c r="W195" s="945">
        <f t="shared" si="86"/>
        <v>5.1284203529652803</v>
      </c>
      <c r="X195" s="949">
        <f t="shared" si="87"/>
        <v>41.501455426762007</v>
      </c>
    </row>
    <row r="196" spans="2:24">
      <c r="B196" s="964" t="s">
        <v>748</v>
      </c>
      <c r="C196" s="1002">
        <v>4</v>
      </c>
      <c r="D196" s="1002">
        <v>7</v>
      </c>
      <c r="E196" s="1002">
        <v>50</v>
      </c>
      <c r="F196" s="1004">
        <v>0.85</v>
      </c>
      <c r="G196" s="1004">
        <v>0.21</v>
      </c>
      <c r="H196" s="1025">
        <v>3.661</v>
      </c>
      <c r="I196" s="1009">
        <v>5.0209999999999999</v>
      </c>
      <c r="J196" s="1009">
        <v>1.2729999999999999</v>
      </c>
      <c r="K196" s="1026">
        <v>692</v>
      </c>
      <c r="L196" s="1008">
        <f t="shared" si="83"/>
        <v>703.85245058214161</v>
      </c>
      <c r="M196" s="1009">
        <v>0.74</v>
      </c>
      <c r="N196" s="1009">
        <v>0.45</v>
      </c>
      <c r="O196" s="965">
        <f t="shared" si="84"/>
        <v>36.135401917154027</v>
      </c>
      <c r="P196" s="966">
        <v>1.4999999999999999E-2</v>
      </c>
      <c r="Q196" s="966">
        <v>8.8999999999999999E-3</v>
      </c>
      <c r="R196" s="1010">
        <f t="shared" si="85"/>
        <v>39.162601917154028</v>
      </c>
      <c r="S196" s="1011">
        <f>C196*D196*H196*$C$71*Fuel_Specs!$C$13/1000000</f>
        <v>2705.059830144</v>
      </c>
      <c r="T196" s="1012">
        <f>S196*Upstream!$C$99/1000000</f>
        <v>46.020735698314311</v>
      </c>
      <c r="U196" s="1012">
        <f>S196*Upstream!$D$99/1000000</f>
        <v>0.4763973618832803</v>
      </c>
      <c r="V196" s="1013">
        <f>S196*Upstream!$E$99/1000000</f>
        <v>6.6013448212940849E-4</v>
      </c>
      <c r="W196" s="966">
        <f t="shared" si="86"/>
        <v>58.127389821070878</v>
      </c>
      <c r="X196" s="1014">
        <f t="shared" si="87"/>
        <v>97.289991738224899</v>
      </c>
    </row>
    <row r="197" spans="2:24">
      <c r="B197" s="967"/>
      <c r="C197" s="967"/>
      <c r="D197" s="967"/>
      <c r="E197" s="967"/>
      <c r="F197" s="967"/>
      <c r="G197" s="967"/>
      <c r="H197" s="1015"/>
      <c r="I197" s="1027"/>
      <c r="J197" s="1027"/>
      <c r="K197" s="1027"/>
      <c r="L197" s="1027"/>
      <c r="M197" s="1027"/>
      <c r="N197" s="970" t="s">
        <v>728</v>
      </c>
      <c r="O197" s="971">
        <f>SUM(O182:O196)</f>
        <v>1544.6175213257973</v>
      </c>
      <c r="P197" s="1028">
        <f t="shared" ref="P197:W197" si="88">SUM(P182:P196)</f>
        <v>2.8029999999999999E-2</v>
      </c>
      <c r="Q197" s="1028">
        <f t="shared" si="88"/>
        <v>1.6812000000000001E-2</v>
      </c>
      <c r="R197" s="975">
        <f t="shared" si="88"/>
        <v>1550.3282473257977</v>
      </c>
      <c r="S197" s="975">
        <f t="shared" si="88"/>
        <v>5280.0758115839999</v>
      </c>
      <c r="T197" s="975">
        <f t="shared" si="88"/>
        <v>89.82905689706476</v>
      </c>
      <c r="U197" s="975">
        <f t="shared" si="88"/>
        <v>0.92989225567274536</v>
      </c>
      <c r="V197" s="975">
        <f t="shared" si="88"/>
        <v>1.288533463342462E-3</v>
      </c>
      <c r="W197" s="975">
        <f t="shared" si="88"/>
        <v>113.46034626095943</v>
      </c>
      <c r="X197" s="975">
        <f>SUM(X182:X196)</f>
        <v>1663.7885935867569</v>
      </c>
    </row>
    <row r="198" spans="2:24">
      <c r="C198" s="498"/>
      <c r="D198" s="498"/>
      <c r="E198" s="498"/>
      <c r="F198" s="498"/>
      <c r="G198" s="498"/>
      <c r="H198" s="983"/>
      <c r="I198" s="510"/>
      <c r="J198" s="510"/>
      <c r="K198" s="511"/>
      <c r="L198" s="511"/>
      <c r="M198" s="510"/>
      <c r="N198" s="510"/>
      <c r="O198" s="511"/>
      <c r="P198" s="510"/>
    </row>
    <row r="199" spans="2:24">
      <c r="B199" s="502" t="s">
        <v>584</v>
      </c>
      <c r="C199" s="498"/>
      <c r="D199" s="498"/>
      <c r="E199" s="498"/>
      <c r="F199" s="498"/>
      <c r="G199" s="498"/>
      <c r="H199" s="983"/>
      <c r="I199" s="510"/>
      <c r="J199" s="510"/>
      <c r="K199" s="511"/>
      <c r="L199" s="511"/>
      <c r="M199" s="510"/>
      <c r="N199" s="510"/>
      <c r="O199" s="511"/>
      <c r="P199" s="510"/>
    </row>
    <row r="200" spans="2:24">
      <c r="B200" s="512" t="s">
        <v>747</v>
      </c>
      <c r="C200" s="498"/>
      <c r="D200" s="498"/>
      <c r="E200" s="498"/>
      <c r="F200" s="498"/>
      <c r="G200" s="498"/>
      <c r="H200" s="983"/>
      <c r="I200" s="510"/>
      <c r="J200" s="510"/>
      <c r="K200" s="511"/>
      <c r="L200" s="511"/>
      <c r="M200" s="510"/>
      <c r="N200" s="510"/>
      <c r="O200" s="511"/>
      <c r="P200" s="510"/>
    </row>
    <row r="201" spans="2:24">
      <c r="B201" s="512" t="s">
        <v>828</v>
      </c>
      <c r="C201" s="498"/>
      <c r="D201" s="498"/>
      <c r="E201" s="498"/>
      <c r="F201" s="498"/>
      <c r="G201" s="498"/>
      <c r="H201" s="983"/>
      <c r="I201" s="510"/>
      <c r="J201" s="510"/>
      <c r="K201" s="511"/>
      <c r="L201" s="511"/>
      <c r="M201" s="510"/>
      <c r="N201" s="510"/>
      <c r="O201" s="511"/>
      <c r="P201" s="510"/>
    </row>
    <row r="202" spans="2:24">
      <c r="B202" s="512" t="s">
        <v>746</v>
      </c>
      <c r="C202" s="498"/>
      <c r="D202" s="498"/>
      <c r="E202" s="498"/>
      <c r="F202" s="498"/>
      <c r="G202" s="498"/>
      <c r="H202" s="983"/>
      <c r="I202" s="510"/>
      <c r="J202" s="510"/>
      <c r="K202" s="511"/>
      <c r="L202" s="511"/>
      <c r="M202" s="510"/>
      <c r="N202" s="510"/>
      <c r="O202" s="511"/>
      <c r="P202" s="510"/>
    </row>
    <row r="203" spans="2:24">
      <c r="B203" s="512" t="s">
        <v>745</v>
      </c>
      <c r="C203" s="498"/>
      <c r="D203" s="498"/>
      <c r="E203" s="498"/>
      <c r="F203" s="498"/>
      <c r="G203" s="498"/>
      <c r="H203" s="983"/>
      <c r="I203" s="510"/>
      <c r="J203" s="510"/>
      <c r="K203" s="511"/>
      <c r="L203" s="511"/>
      <c r="M203" s="510"/>
      <c r="N203" s="510"/>
      <c r="O203" s="511"/>
      <c r="P203" s="510"/>
    </row>
    <row r="204" spans="2:24">
      <c r="B204" s="512"/>
      <c r="C204" s="498"/>
      <c r="D204" s="498"/>
      <c r="E204" s="498"/>
      <c r="F204" s="498"/>
      <c r="G204" s="498"/>
      <c r="H204" s="983"/>
      <c r="I204" s="510"/>
      <c r="J204" s="510"/>
      <c r="K204" s="511"/>
      <c r="L204" s="511"/>
      <c r="M204" s="510"/>
      <c r="N204" s="510"/>
      <c r="O204" s="511"/>
      <c r="P204" s="510"/>
    </row>
    <row r="206" spans="2:24" ht="15.75">
      <c r="B206" s="513" t="s">
        <v>744</v>
      </c>
      <c r="C206" s="514"/>
      <c r="D206" s="514"/>
      <c r="E206" s="514"/>
      <c r="F206" s="514"/>
      <c r="G206" s="514"/>
      <c r="H206" s="984"/>
      <c r="I206" s="514"/>
      <c r="J206" s="514"/>
      <c r="K206" s="514"/>
      <c r="L206" s="514"/>
    </row>
    <row r="207" spans="2:24" ht="15">
      <c r="B207" s="515" t="s">
        <v>743</v>
      </c>
      <c r="C207" s="514"/>
      <c r="D207" s="514"/>
      <c r="E207" s="514"/>
      <c r="F207" s="514"/>
      <c r="G207" s="514"/>
      <c r="H207" s="984"/>
      <c r="I207" s="514"/>
      <c r="J207" s="514"/>
      <c r="K207" s="514"/>
      <c r="L207" s="514"/>
    </row>
    <row r="208" spans="2:24">
      <c r="B208" s="514"/>
      <c r="C208" s="514"/>
      <c r="D208" s="514"/>
      <c r="E208" s="514"/>
      <c r="F208" s="514"/>
      <c r="G208" s="514"/>
      <c r="H208" s="984"/>
      <c r="I208" s="514"/>
      <c r="J208" s="514"/>
      <c r="K208" s="514"/>
      <c r="L208" s="514"/>
    </row>
    <row r="209" spans="2:20">
      <c r="B209" s="516" t="s">
        <v>742</v>
      </c>
      <c r="C209" s="517"/>
      <c r="D209" s="517"/>
      <c r="E209" s="517"/>
      <c r="F209" s="517"/>
      <c r="G209" s="517"/>
      <c r="H209" s="985"/>
      <c r="I209" s="517"/>
      <c r="J209" s="517"/>
      <c r="K209" s="517"/>
      <c r="L209" s="517"/>
      <c r="M209" s="517"/>
      <c r="N209" s="556"/>
    </row>
    <row r="210" spans="2:20" ht="63.75">
      <c r="B210" s="480" t="s">
        <v>734</v>
      </c>
      <c r="C210" s="479" t="s">
        <v>733</v>
      </c>
      <c r="D210" s="477" t="s">
        <v>732</v>
      </c>
      <c r="E210" s="551" t="s">
        <v>1113</v>
      </c>
      <c r="F210" s="557" t="s">
        <v>1114</v>
      </c>
      <c r="G210" s="551" t="s">
        <v>1115</v>
      </c>
      <c r="H210" s="986" t="s">
        <v>847</v>
      </c>
      <c r="I210" s="551" t="s">
        <v>848</v>
      </c>
      <c r="J210" s="477" t="s">
        <v>1116</v>
      </c>
      <c r="K210" s="551" t="s">
        <v>1117</v>
      </c>
      <c r="L210" s="477" t="s">
        <v>1118</v>
      </c>
      <c r="M210" s="477" t="s">
        <v>1119</v>
      </c>
      <c r="N210" s="478" t="s">
        <v>1120</v>
      </c>
      <c r="O210" s="478" t="s">
        <v>849</v>
      </c>
      <c r="P210" s="545" t="s">
        <v>1121</v>
      </c>
      <c r="Q210" s="546" t="s">
        <v>1122</v>
      </c>
      <c r="R210" s="546" t="s">
        <v>1123</v>
      </c>
      <c r="S210" s="545" t="s">
        <v>1124</v>
      </c>
      <c r="T210" s="483" t="s">
        <v>1125</v>
      </c>
    </row>
    <row r="211" spans="2:20" ht="25.5">
      <c r="B211" s="519" t="s">
        <v>1133</v>
      </c>
      <c r="C211" s="519" t="s">
        <v>730</v>
      </c>
      <c r="D211" s="520">
        <f>H323</f>
        <v>0</v>
      </c>
      <c r="E211" s="558">
        <v>311</v>
      </c>
      <c r="F211" s="559">
        <v>4.0000000000000001E-3</v>
      </c>
      <c r="G211" s="559">
        <v>2E-3</v>
      </c>
      <c r="H211" s="987">
        <v>2.8260000000000001</v>
      </c>
      <c r="I211" s="559">
        <v>3.5999999999999997E-2</v>
      </c>
      <c r="J211" s="500">
        <f>E211+I211*VOC_C_Ratio/CO2_C_Ratio+H211*CO_C_Ratio/CO2_C_Ratio</f>
        <v>315.55207738532806</v>
      </c>
      <c r="K211" s="552">
        <f>$D211*J211/1000000</f>
        <v>0</v>
      </c>
      <c r="L211" s="521">
        <f>$D211*F211/1000000</f>
        <v>0</v>
      </c>
      <c r="M211" s="521">
        <f>$D211*G211/1000000</f>
        <v>0</v>
      </c>
      <c r="N211" s="493">
        <f>K211+L211*CH4_GWP+M211*N2O_GWP</f>
        <v>0</v>
      </c>
      <c r="O211" s="521">
        <f>N211*1000000/Fuel_Specs!$J$8</f>
        <v>0</v>
      </c>
      <c r="P211" s="563">
        <f>$O211*Upstream!C$108/1000000</f>
        <v>0</v>
      </c>
      <c r="Q211" s="563">
        <f>$O211*Upstream!D$108/1000000</f>
        <v>0</v>
      </c>
      <c r="R211" s="563">
        <f>$O211*Upstream!E$108/1000000</f>
        <v>0</v>
      </c>
      <c r="S211" s="563">
        <f>P211+Q211*CH4_GWP+R211*N2O_GWP</f>
        <v>0</v>
      </c>
      <c r="T211" s="564">
        <f>N211+S211</f>
        <v>0</v>
      </c>
    </row>
    <row r="212" spans="2:20">
      <c r="B212" s="480" t="s">
        <v>729</v>
      </c>
      <c r="C212" s="479"/>
      <c r="D212" s="520">
        <f>I323</f>
        <v>38</v>
      </c>
      <c r="E212" s="558">
        <v>1942</v>
      </c>
      <c r="F212" s="559">
        <v>2.8000000000000001E-2</v>
      </c>
      <c r="G212" s="559">
        <v>2E-3</v>
      </c>
      <c r="H212" s="987">
        <v>3.11</v>
      </c>
      <c r="I212" s="559">
        <v>0.52400000000000002</v>
      </c>
      <c r="J212" s="500">
        <f>E212+I212*VOC_C_Ratio/CO2_C_Ratio+H212*CO_C_Ratio/CO2_C_Ratio</f>
        <v>1948.5178084957543</v>
      </c>
      <c r="K212" s="521">
        <f>$D212*J212/1000000</f>
        <v>7.4043676722838667E-2</v>
      </c>
      <c r="L212" s="521">
        <f>$D212*F212/1000000</f>
        <v>1.0640000000000001E-6</v>
      </c>
      <c r="M212" s="521">
        <f>$D212*G212/1000000</f>
        <v>7.5999999999999992E-8</v>
      </c>
      <c r="N212" s="493">
        <f>K212+L212*CH4_GWP+M212*N2O_GWP</f>
        <v>7.4092924722838668E-2</v>
      </c>
      <c r="O212" s="521">
        <f>N212*1000000/Fuel_Specs!$J$14</f>
        <v>0.94860878069567889</v>
      </c>
      <c r="P212" s="563">
        <f>$O212*Upstream!C$108/1000000</f>
        <v>2.0114543961004105E-2</v>
      </c>
      <c r="Q212" s="563">
        <f>$O212*Upstream!D$108/1000000</f>
        <v>1.1445725649278798E-4</v>
      </c>
      <c r="R212" s="563">
        <f>$O212*Upstream!E$108/1000000</f>
        <v>9.4860878069567887E-8</v>
      </c>
      <c r="S212" s="563">
        <f>P212+Q212*CH4_GWP+R212*N2O_GWP</f>
        <v>2.3004243914988537E-2</v>
      </c>
      <c r="T212" s="564">
        <f>N212+S212</f>
        <v>9.7097168637827205E-2</v>
      </c>
    </row>
    <row r="213" spans="2:20">
      <c r="B213" s="482"/>
      <c r="C213" s="474"/>
      <c r="D213" s="522"/>
      <c r="E213" s="560"/>
      <c r="F213" s="560"/>
      <c r="G213" s="560"/>
      <c r="H213" s="988"/>
      <c r="I213" s="560"/>
      <c r="J213" s="477" t="s">
        <v>200</v>
      </c>
      <c r="K213" s="521">
        <f>SUM(K211:K212)</f>
        <v>7.4043676722838667E-2</v>
      </c>
      <c r="L213" s="521">
        <f t="shared" ref="L213" si="89">SUM(L211:L212)</f>
        <v>1.0640000000000001E-6</v>
      </c>
      <c r="M213" s="521">
        <f>SUM(M211:M212)</f>
        <v>7.5999999999999992E-8</v>
      </c>
      <c r="N213" s="521">
        <f>SUM(N211:N212)</f>
        <v>7.4092924722838668E-2</v>
      </c>
      <c r="O213" s="521">
        <f>SUM(O211:O212)</f>
        <v>0.94860878069567889</v>
      </c>
      <c r="P213" s="521">
        <f t="shared" ref="P213:T213" si="90">SUM(P211:P212)</f>
        <v>2.0114543961004105E-2</v>
      </c>
      <c r="Q213" s="521">
        <f t="shared" si="90"/>
        <v>1.1445725649278798E-4</v>
      </c>
      <c r="R213" s="521">
        <f t="shared" si="90"/>
        <v>9.4860878069567887E-8</v>
      </c>
      <c r="S213" s="521">
        <f t="shared" si="90"/>
        <v>2.3004243914988537E-2</v>
      </c>
      <c r="T213" s="521">
        <f t="shared" si="90"/>
        <v>9.7097168637827205E-2</v>
      </c>
    </row>
    <row r="214" spans="2:20">
      <c r="B214" s="481"/>
      <c r="C214" s="471"/>
      <c r="D214" s="523"/>
      <c r="E214" s="553"/>
      <c r="F214" s="553"/>
      <c r="G214" s="553"/>
      <c r="H214" s="989"/>
      <c r="I214" s="553"/>
      <c r="K214" s="553"/>
      <c r="L214" s="523"/>
      <c r="M214" s="523"/>
      <c r="N214" s="523"/>
      <c r="O214" s="523"/>
      <c r="P214" s="523"/>
      <c r="Q214" s="523"/>
      <c r="R214" s="523"/>
      <c r="S214" s="523"/>
      <c r="T214" s="523"/>
    </row>
    <row r="215" spans="2:20">
      <c r="B215" s="525" t="s">
        <v>741</v>
      </c>
      <c r="C215" s="526"/>
      <c r="D215" s="527"/>
      <c r="E215" s="554"/>
      <c r="F215" s="554"/>
      <c r="G215" s="554"/>
      <c r="H215" s="990"/>
      <c r="I215" s="554"/>
      <c r="J215" s="527"/>
      <c r="K215" s="527"/>
      <c r="L215" s="527"/>
      <c r="M215" s="527"/>
      <c r="N215" s="527"/>
      <c r="O215" s="527"/>
      <c r="P215" s="527"/>
      <c r="Q215" s="527"/>
      <c r="R215" s="527"/>
      <c r="S215" s="527"/>
      <c r="T215" s="527"/>
    </row>
    <row r="216" spans="2:20" ht="63.75">
      <c r="B216" s="480" t="s">
        <v>734</v>
      </c>
      <c r="C216" s="479" t="s">
        <v>733</v>
      </c>
      <c r="D216" s="477" t="s">
        <v>732</v>
      </c>
      <c r="E216" s="551" t="s">
        <v>1113</v>
      </c>
      <c r="F216" s="557" t="s">
        <v>1114</v>
      </c>
      <c r="G216" s="551" t="s">
        <v>1115</v>
      </c>
      <c r="H216" s="986" t="s">
        <v>847</v>
      </c>
      <c r="I216" s="551" t="s">
        <v>848</v>
      </c>
      <c r="J216" s="477" t="s">
        <v>1116</v>
      </c>
      <c r="K216" s="551" t="s">
        <v>1117</v>
      </c>
      <c r="L216" s="477" t="s">
        <v>1118</v>
      </c>
      <c r="M216" s="477" t="s">
        <v>1119</v>
      </c>
      <c r="N216" s="478" t="s">
        <v>1120</v>
      </c>
      <c r="O216" s="478" t="s">
        <v>849</v>
      </c>
      <c r="P216" s="545" t="s">
        <v>1121</v>
      </c>
      <c r="Q216" s="546" t="s">
        <v>1122</v>
      </c>
      <c r="R216" s="546" t="s">
        <v>1123</v>
      </c>
      <c r="S216" s="545" t="s">
        <v>1124</v>
      </c>
      <c r="T216" s="483" t="s">
        <v>1125</v>
      </c>
    </row>
    <row r="217" spans="2:20" ht="25.5">
      <c r="B217" s="519" t="s">
        <v>1133</v>
      </c>
      <c r="C217" s="519" t="s">
        <v>730</v>
      </c>
      <c r="D217" s="520">
        <f>H324</f>
        <v>0</v>
      </c>
      <c r="E217" s="558">
        <v>325.20600000000002</v>
      </c>
      <c r="F217" s="559">
        <v>4.0000000000000001E-3</v>
      </c>
      <c r="G217" s="559">
        <v>2E-3</v>
      </c>
      <c r="H217" s="987">
        <v>1.827</v>
      </c>
      <c r="I217" s="559">
        <v>3.5999999999999997E-2</v>
      </c>
      <c r="J217" s="500">
        <f>E217+I217*VOC_C_Ratio/CO2_C_Ratio+H217*CO_C_Ratio/CO2_C_Ratio</f>
        <v>328.18853008433928</v>
      </c>
      <c r="K217" s="552">
        <f>$D217*J217/1000000</f>
        <v>0</v>
      </c>
      <c r="L217" s="521">
        <f>$D217*F217/1000000</f>
        <v>0</v>
      </c>
      <c r="M217" s="521">
        <f>$D217*G217/1000000</f>
        <v>0</v>
      </c>
      <c r="N217" s="493">
        <f>K217+L217*CH4_GWP+M217*N2O_GWP</f>
        <v>0</v>
      </c>
      <c r="O217" s="521">
        <f>N217*1000000/Fuel_Specs!$J$8</f>
        <v>0</v>
      </c>
      <c r="P217" s="563">
        <f>$O217*Upstream!C$108/1000000</f>
        <v>0</v>
      </c>
      <c r="Q217" s="563">
        <f>$O217*Upstream!D$108/1000000</f>
        <v>0</v>
      </c>
      <c r="R217" s="563">
        <f>$O217*Upstream!E$108/1000000</f>
        <v>0</v>
      </c>
      <c r="S217" s="563">
        <f>P217+Q217*CH4_GWP+R217*N2O_GWP</f>
        <v>0</v>
      </c>
      <c r="T217" s="564">
        <f>N217+S217</f>
        <v>0</v>
      </c>
    </row>
    <row r="218" spans="2:20">
      <c r="B218" s="480" t="s">
        <v>729</v>
      </c>
      <c r="C218" s="479"/>
      <c r="D218" s="520">
        <f>I324</f>
        <v>1225</v>
      </c>
      <c r="E218" s="558">
        <v>2017</v>
      </c>
      <c r="F218" s="559">
        <v>2.8000000000000001E-2</v>
      </c>
      <c r="G218" s="559">
        <v>2E-3</v>
      </c>
      <c r="H218" s="987">
        <v>3.11</v>
      </c>
      <c r="I218" s="559">
        <v>0.52400000000000002</v>
      </c>
      <c r="J218" s="500">
        <f>E218+I218*VOC_C_Ratio/CO2_C_Ratio+H218*CO_C_Ratio/CO2_C_Ratio</f>
        <v>2023.5178084957543</v>
      </c>
      <c r="K218" s="552">
        <f>$D218*J218/1000000</f>
        <v>2.478809315407299</v>
      </c>
      <c r="L218" s="521">
        <f>$D218*F218/1000000</f>
        <v>3.4300000000000007E-5</v>
      </c>
      <c r="M218" s="521">
        <f>$D218*G218/1000000</f>
        <v>2.4500000000000003E-6</v>
      </c>
      <c r="N218" s="493">
        <f>K218+L218*CH4_GWP+M218*N2O_GWP</f>
        <v>2.4803969154072991</v>
      </c>
      <c r="O218" s="521">
        <f>N218*1000000/Fuel_Specs!$J$14</f>
        <v>31.756423469143563</v>
      </c>
      <c r="P218" s="563">
        <f>$O218*Upstream!C$108/1000000</f>
        <v>0.67337135066987297</v>
      </c>
      <c r="Q218" s="563">
        <f>$O218*Upstream!D$108/1000000</f>
        <v>3.8316671532765559E-3</v>
      </c>
      <c r="R218" s="563">
        <f>$O218*Upstream!E$108/1000000</f>
        <v>3.1756423469143566E-6</v>
      </c>
      <c r="S218" s="563">
        <f>P218+Q218*CH4_GWP+R218*N2O_GWP</f>
        <v>0.77010937092116727</v>
      </c>
      <c r="T218" s="564">
        <f>N218+S218</f>
        <v>3.2505062863284664</v>
      </c>
    </row>
    <row r="219" spans="2:20">
      <c r="B219" s="482"/>
      <c r="C219" s="474"/>
      <c r="D219" s="474"/>
      <c r="E219" s="561"/>
      <c r="F219" s="561"/>
      <c r="G219" s="561"/>
      <c r="H219" s="991"/>
      <c r="I219" s="561"/>
      <c r="J219" s="477" t="s">
        <v>200</v>
      </c>
      <c r="K219" s="552">
        <f>SUM(K217:K218)</f>
        <v>2.478809315407299</v>
      </c>
      <c r="L219" s="521">
        <f t="shared" ref="L219" si="91">SUM(L217:L218)</f>
        <v>3.4300000000000007E-5</v>
      </c>
      <c r="M219" s="521">
        <f t="shared" ref="M219" si="92">SUM(M217:M218)</f>
        <v>2.4500000000000003E-6</v>
      </c>
      <c r="N219" s="493">
        <f>K219+L219*CH4_GWP+M219*N2O_GWP</f>
        <v>2.4803969154072991</v>
      </c>
      <c r="O219" s="521">
        <f>SUM(O217:O218)</f>
        <v>31.756423469143563</v>
      </c>
      <c r="P219" s="521">
        <f t="shared" ref="P219" si="93">SUM(P217:P218)</f>
        <v>0.67337135066987297</v>
      </c>
      <c r="Q219" s="521">
        <f t="shared" ref="Q219" si="94">SUM(Q217:Q218)</f>
        <v>3.8316671532765559E-3</v>
      </c>
      <c r="R219" s="521">
        <f t="shared" ref="R219" si="95">SUM(R217:R218)</f>
        <v>3.1756423469143566E-6</v>
      </c>
      <c r="S219" s="521">
        <f t="shared" ref="S219" si="96">SUM(S217:S218)</f>
        <v>0.77010937092116727</v>
      </c>
      <c r="T219" s="521">
        <f t="shared" ref="T219" si="97">SUM(T217:T218)</f>
        <v>3.2505062863284664</v>
      </c>
    </row>
    <row r="220" spans="2:20" ht="25.5">
      <c r="B220" s="481"/>
      <c r="C220" s="471"/>
      <c r="D220" s="471"/>
      <c r="E220" s="562"/>
      <c r="F220" s="562"/>
      <c r="G220" s="562"/>
      <c r="H220" s="992"/>
      <c r="I220" s="562"/>
      <c r="J220" s="529" t="s">
        <v>728</v>
      </c>
      <c r="K220" s="530">
        <f>K213+K219</f>
        <v>2.5528529921301377</v>
      </c>
      <c r="L220" s="530">
        <f>L213+L219</f>
        <v>3.5364000000000009E-5</v>
      </c>
      <c r="M220" s="530">
        <f>M213+M219</f>
        <v>2.526E-6</v>
      </c>
      <c r="N220" s="530">
        <f>N213+N219</f>
        <v>2.5544898401301377</v>
      </c>
      <c r="O220" s="530">
        <f>O213+O219</f>
        <v>32.705032249839242</v>
      </c>
      <c r="P220" s="530">
        <f t="shared" ref="P220:S220" si="98">P213+P219</f>
        <v>0.69348589463087706</v>
      </c>
      <c r="Q220" s="530">
        <f t="shared" si="98"/>
        <v>3.946124409769344E-3</v>
      </c>
      <c r="R220" s="530">
        <f t="shared" si="98"/>
        <v>3.2705032249839246E-6</v>
      </c>
      <c r="S220" s="530">
        <f t="shared" si="98"/>
        <v>0.79311361483615583</v>
      </c>
      <c r="T220" s="530">
        <f>T213+T219</f>
        <v>3.3476034549662934</v>
      </c>
    </row>
    <row r="221" spans="2:20">
      <c r="B221" s="514"/>
      <c r="C221" s="514"/>
      <c r="D221" s="514"/>
      <c r="E221" s="549"/>
      <c r="F221" s="549"/>
      <c r="G221" s="549"/>
      <c r="I221" s="547"/>
      <c r="K221" s="549"/>
      <c r="L221" s="514"/>
      <c r="M221" s="514"/>
      <c r="N221" s="514"/>
      <c r="O221" s="514"/>
      <c r="P221" s="514"/>
      <c r="Q221" s="514"/>
      <c r="R221" s="514"/>
      <c r="S221" s="514"/>
      <c r="T221" s="514"/>
    </row>
    <row r="222" spans="2:20">
      <c r="B222" s="514"/>
      <c r="C222" s="514"/>
      <c r="D222" s="514"/>
      <c r="E222" s="549"/>
      <c r="F222" s="549"/>
      <c r="G222" s="549"/>
      <c r="I222" s="547"/>
      <c r="K222" s="549"/>
      <c r="L222" s="514"/>
      <c r="M222" s="514"/>
      <c r="N222" s="514"/>
      <c r="O222" s="514"/>
      <c r="P222" s="514"/>
      <c r="Q222" s="514"/>
      <c r="R222" s="514"/>
      <c r="S222" s="514"/>
      <c r="T222" s="514"/>
    </row>
    <row r="223" spans="2:20">
      <c r="B223" s="516" t="s">
        <v>740</v>
      </c>
      <c r="C223" s="517"/>
      <c r="D223" s="517"/>
      <c r="E223" s="550"/>
      <c r="F223" s="550"/>
      <c r="G223" s="550"/>
      <c r="H223" s="985"/>
      <c r="I223" s="550"/>
      <c r="J223" s="517"/>
      <c r="K223" s="517"/>
      <c r="L223" s="517"/>
      <c r="M223" s="517"/>
      <c r="N223" s="517"/>
      <c r="O223" s="517"/>
      <c r="P223" s="517"/>
      <c r="Q223" s="517"/>
      <c r="R223" s="517"/>
      <c r="S223" s="517"/>
      <c r="T223" s="517"/>
    </row>
    <row r="224" spans="2:20" ht="63.75">
      <c r="B224" s="480" t="s">
        <v>734</v>
      </c>
      <c r="C224" s="479" t="s">
        <v>733</v>
      </c>
      <c r="D224" s="477" t="s">
        <v>732</v>
      </c>
      <c r="E224" s="551" t="s">
        <v>1113</v>
      </c>
      <c r="F224" s="557" t="s">
        <v>1114</v>
      </c>
      <c r="G224" s="551" t="s">
        <v>1115</v>
      </c>
      <c r="H224" s="986" t="s">
        <v>847</v>
      </c>
      <c r="I224" s="551" t="s">
        <v>848</v>
      </c>
      <c r="J224" s="477" t="s">
        <v>1116</v>
      </c>
      <c r="K224" s="551" t="s">
        <v>1117</v>
      </c>
      <c r="L224" s="477" t="s">
        <v>1118</v>
      </c>
      <c r="M224" s="477" t="s">
        <v>1119</v>
      </c>
      <c r="N224" s="478" t="s">
        <v>1120</v>
      </c>
      <c r="O224" s="478" t="s">
        <v>849</v>
      </c>
      <c r="P224" s="545" t="s">
        <v>1121</v>
      </c>
      <c r="Q224" s="546" t="s">
        <v>1122</v>
      </c>
      <c r="R224" s="546" t="s">
        <v>1123</v>
      </c>
      <c r="S224" s="545" t="s">
        <v>1124</v>
      </c>
      <c r="T224" s="483" t="s">
        <v>1125</v>
      </c>
    </row>
    <row r="225" spans="2:20" ht="25.5">
      <c r="B225" s="518" t="s">
        <v>731</v>
      </c>
      <c r="C225" s="519" t="s">
        <v>730</v>
      </c>
      <c r="D225" s="520">
        <f>H325</f>
        <v>309120</v>
      </c>
      <c r="E225" s="558">
        <v>306</v>
      </c>
      <c r="F225" s="559">
        <v>3.0000000000000001E-3</v>
      </c>
      <c r="G225" s="559">
        <v>1E-3</v>
      </c>
      <c r="H225" s="987">
        <v>2.6760000000000002</v>
      </c>
      <c r="I225" s="559">
        <v>0.03</v>
      </c>
      <c r="J225" s="500">
        <f>E225+I225*VOC_C_Ratio/CO2_C_Ratio+H225*CO_C_Ratio/CO2_C_Ratio</f>
        <v>310.29772683373676</v>
      </c>
      <c r="K225" s="552">
        <f>$D225*J225/1000000</f>
        <v>95.919233318844704</v>
      </c>
      <c r="L225" s="521">
        <f>$D225*F225/1000000</f>
        <v>9.2736000000000001E-4</v>
      </c>
      <c r="M225" s="521">
        <f>$D225*G225/1000000</f>
        <v>3.0912000000000002E-4</v>
      </c>
      <c r="N225" s="493">
        <f>K225+L225*CH4_GWP+M225*N2O_GWP</f>
        <v>96.034535078844698</v>
      </c>
      <c r="O225" s="521">
        <f>N225*1000000/Fuel_Specs!$J$8</f>
        <v>1250.9641167806369</v>
      </c>
      <c r="P225" s="563">
        <f>$O225*Upstream!C$108/1000000</f>
        <v>26.525764079655026</v>
      </c>
      <c r="Q225" s="563">
        <f>$O225*Upstream!D$108/1000000</f>
        <v>0.15093885244518859</v>
      </c>
      <c r="R225" s="563">
        <f>$O225*Upstream!E$108/1000000</f>
        <v>1.2509641167806371E-4</v>
      </c>
      <c r="S225" s="563">
        <f>P225+Q225*CH4_GWP+R225*N2O_GWP</f>
        <v>30.336514121464806</v>
      </c>
      <c r="T225" s="564">
        <f>N225+S225</f>
        <v>126.3710492003095</v>
      </c>
    </row>
    <row r="226" spans="2:20">
      <c r="B226" s="480" t="s">
        <v>729</v>
      </c>
      <c r="C226" s="479"/>
      <c r="D226" s="520">
        <f>I325</f>
        <v>9999</v>
      </c>
      <c r="E226" s="558">
        <v>1942</v>
      </c>
      <c r="F226" s="559">
        <v>0.03</v>
      </c>
      <c r="G226" s="559">
        <v>2E-3</v>
      </c>
      <c r="H226" s="987">
        <v>2.86</v>
      </c>
      <c r="I226" s="559">
        <v>0.48</v>
      </c>
      <c r="J226" s="500">
        <f>E226+I226*VOC_C_Ratio/CO2_C_Ratio+H226*CO_C_Ratio/CO2_C_Ratio</f>
        <v>1947.9880217739149</v>
      </c>
      <c r="K226" s="552">
        <f>$D226*J226/1000000</f>
        <v>19.477932229717375</v>
      </c>
      <c r="L226" s="521">
        <f>$D226*F226/1000000</f>
        <v>2.9996999999999999E-4</v>
      </c>
      <c r="M226" s="521">
        <f>$D226*G226/1000000</f>
        <v>1.9998000000000001E-5</v>
      </c>
      <c r="N226" s="493">
        <f>K226+L226*CH4_GWP+M226*N2O_GWP</f>
        <v>19.491390883717372</v>
      </c>
      <c r="O226" s="521">
        <f>N226*1000000/Fuel_Specs!$J$14</f>
        <v>249.54750550650994</v>
      </c>
      <c r="P226" s="563">
        <f>$O226*Upstream!C$108/1000000</f>
        <v>5.2914693306849259</v>
      </c>
      <c r="Q226" s="563">
        <f>$O226*Upstream!D$108/1000000</f>
        <v>3.0109907715536011E-2</v>
      </c>
      <c r="R226" s="563">
        <f>$O226*Upstream!E$108/1000000</f>
        <v>2.4954750550650996E-5</v>
      </c>
      <c r="S226" s="563">
        <f>P226+Q226*CH4_GWP+R226*N2O_GWP</f>
        <v>6.05165353923742</v>
      </c>
      <c r="T226" s="564">
        <f>N226+S226</f>
        <v>25.543044422954793</v>
      </c>
    </row>
    <row r="227" spans="2:20">
      <c r="B227" s="482"/>
      <c r="C227" s="474"/>
      <c r="D227" s="522"/>
      <c r="E227" s="560"/>
      <c r="F227" s="560"/>
      <c r="G227" s="560"/>
      <c r="H227" s="988"/>
      <c r="I227" s="560"/>
      <c r="J227" s="477" t="s">
        <v>200</v>
      </c>
      <c r="K227" s="552">
        <f>SUM(K225:K226)</f>
        <v>115.39716554856207</v>
      </c>
      <c r="L227" s="521">
        <f t="shared" ref="L227:M227" si="99">SUM(L225:L226)</f>
        <v>1.22733E-3</v>
      </c>
      <c r="M227" s="521">
        <f t="shared" si="99"/>
        <v>3.2911800000000004E-4</v>
      </c>
      <c r="N227" s="493">
        <f>K227+L227*CH4_GWP+M227*N2O_GWP</f>
        <v>115.52592596256207</v>
      </c>
      <c r="O227" s="521">
        <f>SUM(O225:O226)</f>
        <v>1500.5116222871468</v>
      </c>
      <c r="P227" s="521">
        <f t="shared" ref="P227" si="100">SUM(P225:P226)</f>
        <v>31.817233410339952</v>
      </c>
      <c r="Q227" s="521">
        <f t="shared" ref="Q227" si="101">SUM(Q225:Q226)</f>
        <v>0.1810487601607246</v>
      </c>
      <c r="R227" s="521">
        <f t="shared" ref="R227" si="102">SUM(R225:R226)</f>
        <v>1.5005116222871471E-4</v>
      </c>
      <c r="S227" s="521">
        <f t="shared" ref="S227" si="103">SUM(S225:S226)</f>
        <v>36.388167660702223</v>
      </c>
      <c r="T227" s="521">
        <f t="shared" ref="T227" si="104">SUM(T225:T226)</f>
        <v>151.91409362326431</v>
      </c>
    </row>
    <row r="228" spans="2:20">
      <c r="B228" s="481"/>
      <c r="C228" s="471"/>
      <c r="D228" s="523"/>
      <c r="E228" s="553"/>
      <c r="F228" s="553"/>
      <c r="G228" s="553"/>
      <c r="H228" s="989"/>
      <c r="I228" s="553"/>
      <c r="K228" s="553"/>
      <c r="L228" s="523"/>
      <c r="M228" s="523"/>
      <c r="N228" s="524"/>
    </row>
    <row r="229" spans="2:20">
      <c r="B229" s="525" t="s">
        <v>739</v>
      </c>
      <c r="C229" s="526"/>
      <c r="D229" s="527"/>
      <c r="E229" s="554"/>
      <c r="F229" s="554"/>
      <c r="G229" s="554"/>
      <c r="H229" s="990"/>
      <c r="I229" s="554"/>
      <c r="J229" s="527"/>
      <c r="K229" s="527"/>
      <c r="L229" s="527"/>
      <c r="M229" s="527"/>
      <c r="N229" s="528"/>
    </row>
    <row r="230" spans="2:20" ht="63.75">
      <c r="B230" s="480" t="s">
        <v>734</v>
      </c>
      <c r="C230" s="479" t="s">
        <v>733</v>
      </c>
      <c r="D230" s="477" t="s">
        <v>732</v>
      </c>
      <c r="E230" s="551" t="s">
        <v>1113</v>
      </c>
      <c r="F230" s="557" t="s">
        <v>1114</v>
      </c>
      <c r="G230" s="551" t="s">
        <v>1115</v>
      </c>
      <c r="H230" s="986" t="s">
        <v>847</v>
      </c>
      <c r="I230" s="551" t="s">
        <v>848</v>
      </c>
      <c r="J230" s="477" t="s">
        <v>1116</v>
      </c>
      <c r="K230" s="551" t="s">
        <v>1117</v>
      </c>
      <c r="L230" s="477" t="s">
        <v>1118</v>
      </c>
      <c r="M230" s="477" t="s">
        <v>1119</v>
      </c>
      <c r="N230" s="478" t="s">
        <v>1120</v>
      </c>
      <c r="O230" s="478" t="s">
        <v>849</v>
      </c>
      <c r="P230" s="545" t="s">
        <v>1121</v>
      </c>
      <c r="Q230" s="546" t="s">
        <v>1122</v>
      </c>
      <c r="R230" s="546" t="s">
        <v>1123</v>
      </c>
      <c r="S230" s="545" t="s">
        <v>1124</v>
      </c>
      <c r="T230" s="483" t="s">
        <v>1125</v>
      </c>
    </row>
    <row r="231" spans="2:20" ht="25.5">
      <c r="B231" s="519" t="s">
        <v>1133</v>
      </c>
      <c r="C231" s="519" t="s">
        <v>730</v>
      </c>
      <c r="D231" s="520">
        <f>H326</f>
        <v>309120</v>
      </c>
      <c r="E231" s="559">
        <v>319.32299999999998</v>
      </c>
      <c r="F231" s="559">
        <v>3.0000000000000001E-3</v>
      </c>
      <c r="G231" s="559">
        <v>1E-3</v>
      </c>
      <c r="H231" s="987">
        <v>1.6950000000000001</v>
      </c>
      <c r="I231" s="559">
        <v>0.03</v>
      </c>
      <c r="J231" s="500">
        <f>E231+I231*VOC_C_Ratio/CO2_C_Ratio+H231*CO_C_Ratio/CO2_C_Ratio</f>
        <v>322.0794596642973</v>
      </c>
      <c r="K231" s="552">
        <f>$D231*J231/1000000</f>
        <v>99.561202571427586</v>
      </c>
      <c r="L231" s="521">
        <f>$D231*F231/1000000</f>
        <v>9.2736000000000001E-4</v>
      </c>
      <c r="M231" s="521">
        <f>$D231*G231/1000000</f>
        <v>3.0912000000000002E-4</v>
      </c>
      <c r="N231" s="493">
        <f>K231+L231*CH4_GWP+M231*N2O_GWP</f>
        <v>99.67650433142758</v>
      </c>
      <c r="O231" s="521">
        <f>N231*1000000/Fuel_Specs!$J$8</f>
        <v>1298.4051008564081</v>
      </c>
      <c r="P231" s="563">
        <f>$O231*Upstream!C$108/1000000</f>
        <v>27.531714877459759</v>
      </c>
      <c r="Q231" s="563">
        <f>$O231*Upstream!D$108/1000000</f>
        <v>0.1566629876135861</v>
      </c>
      <c r="R231" s="563">
        <f>$O231*Upstream!E$108/1000000</f>
        <v>1.2984051008564082E-4</v>
      </c>
      <c r="S231" s="563">
        <f>P231+Q231*CH4_GWP+R231*N2O_GWP</f>
        <v>31.486982039804936</v>
      </c>
      <c r="T231" s="564">
        <f>N231+S231</f>
        <v>131.16348637123252</v>
      </c>
    </row>
    <row r="232" spans="2:20">
      <c r="B232" s="480" t="s">
        <v>729</v>
      </c>
      <c r="C232" s="479"/>
      <c r="D232" s="520">
        <f>I326</f>
        <v>5789</v>
      </c>
      <c r="E232" s="559">
        <v>2018</v>
      </c>
      <c r="F232" s="559">
        <v>0.03</v>
      </c>
      <c r="G232" s="559">
        <v>2E-3</v>
      </c>
      <c r="H232" s="987">
        <v>2.86</v>
      </c>
      <c r="I232" s="559">
        <v>0.48</v>
      </c>
      <c r="J232" s="500">
        <f>E232+I232*VOC_C_Ratio/CO2_C_Ratio+H232*CO_C_Ratio/CO2_C_Ratio</f>
        <v>2023.9880217739149</v>
      </c>
      <c r="K232" s="552">
        <f>$D232*J232/1000000</f>
        <v>11.716866658049192</v>
      </c>
      <c r="L232" s="521">
        <f>$D232*F232/1000000</f>
        <v>1.7366999999999998E-4</v>
      </c>
      <c r="M232" s="521">
        <f>$D232*G232/1000000</f>
        <v>1.1578E-5</v>
      </c>
      <c r="N232" s="493">
        <f>K232+L232*CH4_GWP+M232*N2O_GWP</f>
        <v>11.724658652049191</v>
      </c>
      <c r="O232" s="521">
        <f>N232*1000000/Fuel_Specs!$J$14</f>
        <v>150.11034035433488</v>
      </c>
      <c r="P232" s="563">
        <f>$O232*Upstream!C$108/1000000</f>
        <v>3.1829781691923897</v>
      </c>
      <c r="Q232" s="563">
        <f>$O232*Upstream!D$108/1000000</f>
        <v>1.8112016331490906E-2</v>
      </c>
      <c r="R232" s="563">
        <f>$O232*Upstream!E$108/1000000</f>
        <v>1.5011034035433489E-5</v>
      </c>
      <c r="S232" s="563">
        <f>P232+Q232*CH4_GWP+R232*N2O_GWP</f>
        <v>3.6402518656222216</v>
      </c>
      <c r="T232" s="564">
        <f>N232+S232</f>
        <v>15.364910517671413</v>
      </c>
    </row>
    <row r="233" spans="2:20">
      <c r="B233" s="482"/>
      <c r="C233" s="474"/>
      <c r="D233" s="474"/>
      <c r="E233" s="561"/>
      <c r="F233" s="561"/>
      <c r="G233" s="561"/>
      <c r="H233" s="991"/>
      <c r="I233" s="561"/>
      <c r="J233" s="477" t="s">
        <v>200</v>
      </c>
      <c r="K233" s="552">
        <f>SUM(K231:K232)</f>
        <v>111.27806922947678</v>
      </c>
      <c r="L233" s="521">
        <f t="shared" ref="L233:M233" si="105">SUM(L231:L232)</f>
        <v>1.10103E-3</v>
      </c>
      <c r="M233" s="521">
        <f t="shared" si="105"/>
        <v>3.2069800000000001E-4</v>
      </c>
      <c r="N233" s="493">
        <f>K233+L233*CH4_GWP+M233*N2O_GWP</f>
        <v>111.40116298347678</v>
      </c>
      <c r="O233" s="521">
        <f>SUM(O231:O232)</f>
        <v>1448.5154412107431</v>
      </c>
      <c r="P233" s="521">
        <f t="shared" ref="P233" si="106">SUM(P231:P232)</f>
        <v>30.714693046652148</v>
      </c>
      <c r="Q233" s="521">
        <f t="shared" ref="Q233" si="107">SUM(Q231:Q232)</f>
        <v>0.174775003945077</v>
      </c>
      <c r="R233" s="521">
        <f t="shared" ref="R233" si="108">SUM(R231:R232)</f>
        <v>1.448515441210743E-4</v>
      </c>
      <c r="S233" s="521">
        <f t="shared" ref="S233" si="109">SUM(S231:S232)</f>
        <v>35.127233905427154</v>
      </c>
      <c r="T233" s="521">
        <f t="shared" ref="T233" si="110">SUM(T231:T232)</f>
        <v>146.52839688890393</v>
      </c>
    </row>
    <row r="234" spans="2:20" ht="25.5">
      <c r="B234" s="481"/>
      <c r="C234" s="471"/>
      <c r="D234" s="471"/>
      <c r="E234" s="562"/>
      <c r="F234" s="562"/>
      <c r="G234" s="562"/>
      <c r="H234" s="992"/>
      <c r="I234" s="562"/>
      <c r="J234" s="529" t="s">
        <v>728</v>
      </c>
      <c r="K234" s="530">
        <f>K227+K233</f>
        <v>226.67523477803886</v>
      </c>
      <c r="L234" s="530">
        <f>L227+L233</f>
        <v>2.3283599999999998E-3</v>
      </c>
      <c r="M234" s="530">
        <f>M227+M233</f>
        <v>6.4981600000000011E-4</v>
      </c>
      <c r="N234" s="530">
        <f>N227+N233</f>
        <v>226.92708894603885</v>
      </c>
      <c r="O234" s="530">
        <f>O227+O233</f>
        <v>2949.0270634978897</v>
      </c>
      <c r="P234" s="530">
        <f t="shared" ref="P234" si="111">P227+P233</f>
        <v>62.531926456992096</v>
      </c>
      <c r="Q234" s="530">
        <f t="shared" ref="Q234" si="112">Q227+Q233</f>
        <v>0.35582376410580163</v>
      </c>
      <c r="R234" s="530">
        <f t="shared" ref="R234" si="113">R227+R233</f>
        <v>2.9490270634978898E-4</v>
      </c>
      <c r="S234" s="530">
        <f t="shared" ref="S234" si="114">S227+S233</f>
        <v>71.515401566129384</v>
      </c>
      <c r="T234" s="530">
        <f>T227+T233</f>
        <v>298.44249051216821</v>
      </c>
    </row>
    <row r="235" spans="2:20">
      <c r="B235" s="514"/>
      <c r="C235" s="514"/>
      <c r="D235" s="514"/>
      <c r="E235" s="549"/>
      <c r="F235" s="549"/>
      <c r="G235" s="549"/>
      <c r="I235" s="547"/>
      <c r="K235" s="549"/>
      <c r="L235" s="514"/>
      <c r="M235" s="514"/>
      <c r="N235" s="514"/>
      <c r="O235" s="514"/>
      <c r="P235" s="514"/>
      <c r="Q235" s="514"/>
      <c r="R235" s="514"/>
      <c r="S235" s="514"/>
      <c r="T235" s="514"/>
    </row>
    <row r="236" spans="2:20">
      <c r="B236" s="514"/>
      <c r="C236" s="514"/>
      <c r="D236" s="514"/>
      <c r="E236" s="549"/>
      <c r="F236" s="549"/>
      <c r="G236" s="549"/>
      <c r="I236" s="547"/>
      <c r="K236" s="549"/>
      <c r="L236" s="514"/>
      <c r="M236" s="514"/>
      <c r="N236" s="514"/>
      <c r="O236" s="514"/>
      <c r="P236" s="514"/>
      <c r="Q236" s="514"/>
      <c r="R236" s="514"/>
      <c r="S236" s="514"/>
      <c r="T236" s="514"/>
    </row>
    <row r="237" spans="2:20">
      <c r="B237" s="516" t="s">
        <v>738</v>
      </c>
      <c r="C237" s="517"/>
      <c r="D237" s="517"/>
      <c r="E237" s="550"/>
      <c r="F237" s="550"/>
      <c r="G237" s="550"/>
      <c r="H237" s="985"/>
      <c r="I237" s="550"/>
      <c r="J237" s="517"/>
      <c r="K237" s="517"/>
      <c r="L237" s="517"/>
      <c r="M237" s="517"/>
      <c r="N237" s="517"/>
      <c r="O237" s="517"/>
      <c r="P237" s="517"/>
      <c r="Q237" s="517"/>
      <c r="R237" s="517"/>
      <c r="S237" s="517"/>
      <c r="T237" s="517"/>
    </row>
    <row r="238" spans="2:20" ht="63.75">
      <c r="B238" s="480" t="s">
        <v>734</v>
      </c>
      <c r="C238" s="479" t="s">
        <v>733</v>
      </c>
      <c r="D238" s="477" t="s">
        <v>732</v>
      </c>
      <c r="E238" s="551" t="s">
        <v>1113</v>
      </c>
      <c r="F238" s="557" t="s">
        <v>1114</v>
      </c>
      <c r="G238" s="551" t="s">
        <v>1115</v>
      </c>
      <c r="H238" s="986" t="s">
        <v>847</v>
      </c>
      <c r="I238" s="551" t="s">
        <v>848</v>
      </c>
      <c r="J238" s="477" t="s">
        <v>1116</v>
      </c>
      <c r="K238" s="551" t="s">
        <v>1117</v>
      </c>
      <c r="L238" s="477" t="s">
        <v>1118</v>
      </c>
      <c r="M238" s="477" t="s">
        <v>1119</v>
      </c>
      <c r="N238" s="478" t="s">
        <v>1120</v>
      </c>
      <c r="O238" s="478" t="s">
        <v>849</v>
      </c>
      <c r="P238" s="545" t="s">
        <v>1121</v>
      </c>
      <c r="Q238" s="546" t="s">
        <v>1122</v>
      </c>
      <c r="R238" s="546" t="s">
        <v>1123</v>
      </c>
      <c r="S238" s="545" t="s">
        <v>1124</v>
      </c>
      <c r="T238" s="483" t="s">
        <v>1125</v>
      </c>
    </row>
    <row r="239" spans="2:20" ht="25.5">
      <c r="B239" s="519" t="s">
        <v>1133</v>
      </c>
      <c r="C239" s="519" t="s">
        <v>730</v>
      </c>
      <c r="D239" s="520">
        <f>H327</f>
        <v>302400</v>
      </c>
      <c r="E239" s="558">
        <v>300</v>
      </c>
      <c r="F239" s="559">
        <v>3.0000000000000001E-3</v>
      </c>
      <c r="G239" s="559">
        <v>1E-3</v>
      </c>
      <c r="H239" s="987">
        <v>2.5590000000000002</v>
      </c>
      <c r="I239" s="559">
        <v>2.5000000000000001E-2</v>
      </c>
      <c r="J239" s="500">
        <f>E239+I239*VOC_C_Ratio/CO2_C_Ratio+H239*CO_C_Ratio/CO2_C_Ratio</f>
        <v>304.09833698809928</v>
      </c>
      <c r="K239" s="552">
        <f>$D239*J239/1000000</f>
        <v>91.959337105201215</v>
      </c>
      <c r="L239" s="521">
        <f>$D239*F239/1000000</f>
        <v>9.0720000000000004E-4</v>
      </c>
      <c r="M239" s="521">
        <f>$D239*G239/1000000</f>
        <v>3.0240000000000003E-4</v>
      </c>
      <c r="N239" s="493">
        <f>K239+L239*CH4_GWP+M239*N2O_GWP</f>
        <v>92.072132305201208</v>
      </c>
      <c r="O239" s="521">
        <f>N239*1000000/Fuel_Specs!$J$8</f>
        <v>1199.3491047228338</v>
      </c>
      <c r="P239" s="563">
        <f>$O239*Upstream!C$108/1000000</f>
        <v>25.431306121630385</v>
      </c>
      <c r="Q239" s="563">
        <f>$O239*Upstream!D$108/1000000</f>
        <v>0.14471108732831311</v>
      </c>
      <c r="R239" s="563">
        <f>$O239*Upstream!E$108/1000000</f>
        <v>1.1993491047228338E-4</v>
      </c>
      <c r="S239" s="563">
        <f>P239+Q239*CH4_GWP+R239*N2O_GWP</f>
        <v>29.084823908158953</v>
      </c>
      <c r="T239" s="564">
        <f>N239+S239</f>
        <v>121.15695621336016</v>
      </c>
    </row>
    <row r="240" spans="2:20">
      <c r="B240" s="480" t="s">
        <v>729</v>
      </c>
      <c r="C240" s="479"/>
      <c r="D240" s="520">
        <f>I327</f>
        <v>6356</v>
      </c>
      <c r="E240" s="558">
        <v>1942</v>
      </c>
      <c r="F240" s="559">
        <v>3.2000000000000001E-2</v>
      </c>
      <c r="G240" s="559">
        <v>2E-3</v>
      </c>
      <c r="H240" s="987">
        <v>2.62</v>
      </c>
      <c r="I240" s="559">
        <v>0.439</v>
      </c>
      <c r="J240" s="500">
        <f>E240+I240*VOC_C_Ratio/CO2_C_Ratio+H240*CO_C_Ratio/CO2_C_Ratio</f>
        <v>1947.4832876306095</v>
      </c>
      <c r="K240" s="552">
        <f>$D240*J240/1000000</f>
        <v>12.378203776180154</v>
      </c>
      <c r="L240" s="521">
        <f>$D240*F240/1000000</f>
        <v>2.0339199999999999E-4</v>
      </c>
      <c r="M240" s="521">
        <f>$D240*G240/1000000</f>
        <v>1.2712E-5</v>
      </c>
      <c r="N240" s="493">
        <f>K240+L240*CH4_GWP+M240*N2O_GWP</f>
        <v>12.387076752180155</v>
      </c>
      <c r="O240" s="521">
        <f>N240*1000000/Fuel_Specs!$J$14</f>
        <v>158.5912530545227</v>
      </c>
      <c r="P240" s="563">
        <f>$O240*Upstream!C$108/1000000</f>
        <v>3.3628096179507083</v>
      </c>
      <c r="Q240" s="563">
        <f>$O240*Upstream!D$108/1000000</f>
        <v>1.9135306459067476E-2</v>
      </c>
      <c r="R240" s="563">
        <f>$O240*Upstream!E$108/1000000</f>
        <v>1.5859125305452272E-5</v>
      </c>
      <c r="S240" s="563">
        <f>P240+Q240*CH4_GWP+R240*N2O_GWP</f>
        <v>3.84591829876842</v>
      </c>
      <c r="T240" s="564">
        <f>N240+S240</f>
        <v>16.232995050948574</v>
      </c>
    </row>
    <row r="241" spans="2:20">
      <c r="B241" s="482"/>
      <c r="C241" s="474"/>
      <c r="D241" s="522"/>
      <c r="E241" s="560"/>
      <c r="F241" s="560"/>
      <c r="G241" s="560"/>
      <c r="H241" s="988"/>
      <c r="I241" s="560"/>
      <c r="J241" s="477" t="s">
        <v>200</v>
      </c>
      <c r="K241" s="552">
        <f>SUM(K239:K240)</f>
        <v>104.33754088138137</v>
      </c>
      <c r="L241" s="521">
        <f t="shared" ref="L241:M241" si="115">SUM(L239:L240)</f>
        <v>1.1105920000000001E-3</v>
      </c>
      <c r="M241" s="521">
        <f t="shared" si="115"/>
        <v>3.1511200000000004E-4</v>
      </c>
      <c r="N241" s="493">
        <f>K241+L241*CH4_GWP+M241*N2O_GWP</f>
        <v>104.45920905738137</v>
      </c>
      <c r="O241" s="521">
        <f>SUM(O239:O240)</f>
        <v>1357.9403577773564</v>
      </c>
      <c r="P241" s="521">
        <f t="shared" ref="P241" si="116">SUM(P239:P240)</f>
        <v>28.794115739581095</v>
      </c>
      <c r="Q241" s="521">
        <f t="shared" ref="Q241" si="117">SUM(Q239:Q240)</f>
        <v>0.16384639378738058</v>
      </c>
      <c r="R241" s="521">
        <f t="shared" ref="R241" si="118">SUM(R239:R240)</f>
        <v>1.3579403577773565E-4</v>
      </c>
      <c r="S241" s="521">
        <f t="shared" ref="S241" si="119">SUM(S239:S240)</f>
        <v>32.93074220692737</v>
      </c>
      <c r="T241" s="521">
        <f t="shared" ref="T241" si="120">SUM(T239:T240)</f>
        <v>137.38995126430873</v>
      </c>
    </row>
    <row r="242" spans="2:20">
      <c r="B242" s="481"/>
      <c r="C242" s="471"/>
      <c r="D242" s="523"/>
      <c r="E242" s="553"/>
      <c r="F242" s="553"/>
      <c r="G242" s="553"/>
      <c r="H242" s="989"/>
      <c r="I242" s="553"/>
    </row>
    <row r="243" spans="2:20">
      <c r="B243" s="525" t="s">
        <v>737</v>
      </c>
      <c r="C243" s="526"/>
      <c r="D243" s="527"/>
      <c r="E243" s="554"/>
      <c r="F243" s="554"/>
      <c r="G243" s="554"/>
      <c r="H243" s="990"/>
      <c r="I243" s="554"/>
      <c r="J243" s="527"/>
      <c r="K243" s="527"/>
      <c r="L243" s="527"/>
      <c r="M243" s="527"/>
      <c r="N243" s="527"/>
      <c r="O243" s="527"/>
      <c r="P243" s="527"/>
      <c r="Q243" s="527"/>
      <c r="R243" s="527"/>
      <c r="S243" s="527"/>
      <c r="T243" s="527"/>
    </row>
    <row r="244" spans="2:20" ht="63.75">
      <c r="B244" s="480" t="s">
        <v>734</v>
      </c>
      <c r="C244" s="479" t="s">
        <v>733</v>
      </c>
      <c r="D244" s="477" t="s">
        <v>732</v>
      </c>
      <c r="E244" s="551" t="s">
        <v>1113</v>
      </c>
      <c r="F244" s="557" t="s">
        <v>1114</v>
      </c>
      <c r="G244" s="551" t="s">
        <v>1115</v>
      </c>
      <c r="H244" s="986" t="s">
        <v>847</v>
      </c>
      <c r="I244" s="551" t="s">
        <v>848</v>
      </c>
      <c r="J244" s="477" t="s">
        <v>1116</v>
      </c>
      <c r="K244" s="551" t="s">
        <v>1117</v>
      </c>
      <c r="L244" s="477" t="s">
        <v>1118</v>
      </c>
      <c r="M244" s="477" t="s">
        <v>1119</v>
      </c>
      <c r="N244" s="478" t="s">
        <v>1120</v>
      </c>
      <c r="O244" s="478" t="s">
        <v>849</v>
      </c>
      <c r="P244" s="545" t="s">
        <v>1121</v>
      </c>
      <c r="Q244" s="546" t="s">
        <v>1122</v>
      </c>
      <c r="R244" s="546" t="s">
        <v>1123</v>
      </c>
      <c r="S244" s="545" t="s">
        <v>1124</v>
      </c>
      <c r="T244" s="483" t="s">
        <v>1125</v>
      </c>
    </row>
    <row r="245" spans="2:20" ht="25.5">
      <c r="B245" s="519" t="s">
        <v>1133</v>
      </c>
      <c r="C245" s="519" t="s">
        <v>730</v>
      </c>
      <c r="D245" s="520">
        <f>H328</f>
        <v>614880</v>
      </c>
      <c r="E245" s="559">
        <v>313.79000000000002</v>
      </c>
      <c r="F245" s="559">
        <v>3.0000000000000001E-3</v>
      </c>
      <c r="G245" s="559">
        <v>1E-3</v>
      </c>
      <c r="H245" s="987">
        <v>1.593</v>
      </c>
      <c r="I245" s="559">
        <v>2.5000000000000001E-2</v>
      </c>
      <c r="J245" s="500">
        <f>E245+I245*VOC_C_Ratio/CO2_C_Ratio+H245*CO_C_Ratio/CO2_C_Ratio</f>
        <v>316.37063659495095</v>
      </c>
      <c r="K245" s="552">
        <f>$D245*J245/1000000</f>
        <v>194.52997702950344</v>
      </c>
      <c r="L245" s="521">
        <f>$D245*F245/1000000</f>
        <v>1.84464E-3</v>
      </c>
      <c r="M245" s="521">
        <f>$D245*G245/1000000</f>
        <v>6.1488000000000005E-4</v>
      </c>
      <c r="N245" s="493">
        <f>K245+L245*CH4_GWP+M245*N2O_GWP</f>
        <v>194.75932726950344</v>
      </c>
      <c r="O245" s="521">
        <f>N245*1000000/Fuel_Specs!$J$8</f>
        <v>2536.9720343047279</v>
      </c>
      <c r="P245" s="563">
        <f>$O245*Upstream!C$108/1000000</f>
        <v>53.794605901114146</v>
      </c>
      <c r="Q245" s="563">
        <f>$O245*Upstream!D$108/1000000</f>
        <v>0.3061060204739986</v>
      </c>
      <c r="R245" s="563">
        <f>$O245*Upstream!E$108/1000000</f>
        <v>2.5369720343047282E-4</v>
      </c>
      <c r="S245" s="563">
        <f>P245+Q245*CH4_GWP+R245*N2O_GWP</f>
        <v>61.522858179586386</v>
      </c>
      <c r="T245" s="564">
        <f>N245+S245</f>
        <v>256.28218544908981</v>
      </c>
    </row>
    <row r="246" spans="2:20">
      <c r="B246" s="480" t="s">
        <v>729</v>
      </c>
      <c r="C246" s="479"/>
      <c r="D246" s="520">
        <f>I328</f>
        <v>4160</v>
      </c>
      <c r="E246" s="559">
        <v>2018</v>
      </c>
      <c r="F246" s="559">
        <v>3.2000000000000001E-2</v>
      </c>
      <c r="G246" s="559">
        <v>2E-3</v>
      </c>
      <c r="H246" s="987">
        <v>2.62</v>
      </c>
      <c r="I246" s="559">
        <v>0.439</v>
      </c>
      <c r="J246" s="500">
        <f>E246+I246*VOC_C_Ratio/CO2_C_Ratio+H246*CO_C_Ratio/CO2_C_Ratio</f>
        <v>2023.4832876306095</v>
      </c>
      <c r="K246" s="552">
        <f>$D246*J246/1000000</f>
        <v>8.4176904765433349</v>
      </c>
      <c r="L246" s="521">
        <f>$D246*F246/1000000</f>
        <v>1.3312E-4</v>
      </c>
      <c r="M246" s="521">
        <f>$D246*G246/1000000</f>
        <v>8.32E-6</v>
      </c>
      <c r="N246" s="493">
        <f>K246+L246*CH4_GWP+M246*N2O_GWP</f>
        <v>8.4234978365433353</v>
      </c>
      <c r="O246" s="521">
        <f>N246*1000000/Fuel_Specs!$J$14</f>
        <v>107.84570917947595</v>
      </c>
      <c r="P246" s="563">
        <f>$O246*Upstream!C$108/1000000</f>
        <v>2.2867880863440484</v>
      </c>
      <c r="Q246" s="563">
        <f>$O246*Upstream!D$108/1000000</f>
        <v>1.3012449650897614E-2</v>
      </c>
      <c r="R246" s="563">
        <f>$O246*Upstream!E$108/1000000</f>
        <v>1.0784570917947596E-5</v>
      </c>
      <c r="S246" s="563">
        <f>P246+Q246*CH4_GWP+R246*N2O_GWP</f>
        <v>2.6153131297500374</v>
      </c>
      <c r="T246" s="564">
        <f>N246+S246</f>
        <v>11.038810966293372</v>
      </c>
    </row>
    <row r="247" spans="2:20">
      <c r="B247" s="482"/>
      <c r="C247" s="474"/>
      <c r="D247" s="474"/>
      <c r="E247" s="474"/>
      <c r="F247" s="474"/>
      <c r="G247" s="474"/>
      <c r="H247" s="991"/>
      <c r="I247" s="474"/>
      <c r="J247" s="477" t="s">
        <v>200</v>
      </c>
      <c r="K247" s="552">
        <f>SUM(K245:K246)</f>
        <v>202.94766750604677</v>
      </c>
      <c r="L247" s="521">
        <f t="shared" ref="L247:M247" si="121">SUM(L245:L246)</f>
        <v>1.9777599999999998E-3</v>
      </c>
      <c r="M247" s="521">
        <f t="shared" si="121"/>
        <v>6.2320000000000008E-4</v>
      </c>
      <c r="N247" s="493">
        <f>K247+L247*CH4_GWP+M247*N2O_GWP</f>
        <v>203.18282510604678</v>
      </c>
      <c r="O247" s="521">
        <f>SUM(O245:O246)</f>
        <v>2644.8177434842037</v>
      </c>
      <c r="P247" s="521">
        <f t="shared" ref="P247" si="122">SUM(P245:P246)</f>
        <v>56.081393987458192</v>
      </c>
      <c r="Q247" s="521">
        <f t="shared" ref="Q247" si="123">SUM(Q245:Q246)</f>
        <v>0.31911847012489619</v>
      </c>
      <c r="R247" s="521">
        <f t="shared" ref="R247" si="124">SUM(R245:R246)</f>
        <v>2.644817743484204E-4</v>
      </c>
      <c r="S247" s="521">
        <f t="shared" ref="S247" si="125">SUM(S245:S246)</f>
        <v>64.138171309336428</v>
      </c>
      <c r="T247" s="521">
        <f t="shared" ref="T247" si="126">SUM(T245:T246)</f>
        <v>267.32099641538321</v>
      </c>
    </row>
    <row r="248" spans="2:20" ht="25.5">
      <c r="B248" s="481"/>
      <c r="C248" s="471"/>
      <c r="D248" s="471"/>
      <c r="E248" s="471"/>
      <c r="F248" s="471"/>
      <c r="G248" s="471"/>
      <c r="H248" s="992"/>
      <c r="I248" s="471"/>
      <c r="J248" s="529" t="s">
        <v>728</v>
      </c>
      <c r="K248" s="530">
        <f>K241+K247</f>
        <v>307.28520838742816</v>
      </c>
      <c r="L248" s="530">
        <f>L241+L247</f>
        <v>3.0883519999999999E-3</v>
      </c>
      <c r="M248" s="530">
        <f>M241+M247</f>
        <v>9.3831200000000017E-4</v>
      </c>
      <c r="N248" s="530">
        <f>N241+N247</f>
        <v>307.64203416342815</v>
      </c>
      <c r="O248" s="530">
        <f>O241+O247</f>
        <v>4002.7581012615601</v>
      </c>
      <c r="P248" s="530">
        <f t="shared" ref="P248" si="127">P241+P247</f>
        <v>84.875509727039287</v>
      </c>
      <c r="Q248" s="530">
        <f t="shared" ref="Q248" si="128">Q241+Q247</f>
        <v>0.48296486391227678</v>
      </c>
      <c r="R248" s="530">
        <f t="shared" ref="R248" si="129">R241+R247</f>
        <v>4.0027581012615606E-4</v>
      </c>
      <c r="S248" s="530">
        <f t="shared" ref="S248" si="130">S241+S247</f>
        <v>97.068913516263791</v>
      </c>
      <c r="T248" s="530">
        <f>T241+T247</f>
        <v>404.71094767969191</v>
      </c>
    </row>
    <row r="249" spans="2:20">
      <c r="B249" s="514"/>
      <c r="C249" s="514"/>
      <c r="D249" s="514"/>
      <c r="E249" s="514"/>
      <c r="F249" s="514"/>
      <c r="G249" s="514"/>
      <c r="K249" s="549"/>
      <c r="L249" s="514"/>
      <c r="M249" s="514"/>
      <c r="N249" s="514"/>
    </row>
    <row r="250" spans="2:20">
      <c r="B250" s="514"/>
      <c r="C250" s="514"/>
      <c r="D250" s="514"/>
      <c r="E250" s="514"/>
      <c r="F250" s="514"/>
      <c r="G250" s="514"/>
      <c r="K250" s="549"/>
      <c r="L250" s="514"/>
      <c r="M250" s="514"/>
      <c r="N250" s="514"/>
    </row>
    <row r="251" spans="2:20">
      <c r="B251" s="516" t="s">
        <v>736</v>
      </c>
      <c r="C251" s="517"/>
      <c r="D251" s="517"/>
      <c r="E251" s="517"/>
      <c r="F251" s="517"/>
      <c r="G251" s="517"/>
      <c r="H251" s="985"/>
      <c r="I251" s="517"/>
      <c r="J251" s="517"/>
      <c r="K251" s="517"/>
      <c r="L251" s="517"/>
      <c r="M251" s="517"/>
      <c r="N251" s="517"/>
      <c r="O251" s="517"/>
      <c r="P251" s="517"/>
      <c r="Q251" s="517"/>
      <c r="R251" s="517"/>
      <c r="S251" s="517"/>
      <c r="T251" s="517"/>
    </row>
    <row r="252" spans="2:20" ht="63.75">
      <c r="B252" s="480" t="s">
        <v>734</v>
      </c>
      <c r="C252" s="479" t="s">
        <v>733</v>
      </c>
      <c r="D252" s="477" t="s">
        <v>732</v>
      </c>
      <c r="E252" s="551" t="s">
        <v>1113</v>
      </c>
      <c r="F252" s="557" t="s">
        <v>1114</v>
      </c>
      <c r="G252" s="551" t="s">
        <v>1115</v>
      </c>
      <c r="H252" s="986" t="s">
        <v>847</v>
      </c>
      <c r="I252" s="551" t="s">
        <v>848</v>
      </c>
      <c r="J252" s="477" t="s">
        <v>1116</v>
      </c>
      <c r="K252" s="551" t="s">
        <v>1117</v>
      </c>
      <c r="L252" s="477" t="s">
        <v>1118</v>
      </c>
      <c r="M252" s="477" t="s">
        <v>1119</v>
      </c>
      <c r="N252" s="478" t="s">
        <v>1120</v>
      </c>
      <c r="O252" s="478" t="s">
        <v>849</v>
      </c>
      <c r="P252" s="545" t="s">
        <v>1121</v>
      </c>
      <c r="Q252" s="546" t="s">
        <v>1122</v>
      </c>
      <c r="R252" s="546" t="s">
        <v>1123</v>
      </c>
      <c r="S252" s="545" t="s">
        <v>1124</v>
      </c>
      <c r="T252" s="483" t="s">
        <v>1125</v>
      </c>
    </row>
    <row r="253" spans="2:20" ht="25.5">
      <c r="B253" s="519" t="s">
        <v>1133</v>
      </c>
      <c r="C253" s="519" t="s">
        <v>730</v>
      </c>
      <c r="D253" s="520">
        <f>H329</f>
        <v>0</v>
      </c>
      <c r="E253" s="558">
        <v>295</v>
      </c>
      <c r="F253" s="559">
        <v>3.0000000000000001E-3</v>
      </c>
      <c r="G253" s="559">
        <v>1E-3</v>
      </c>
      <c r="H253" s="987">
        <v>2.464</v>
      </c>
      <c r="I253" s="559">
        <v>2.1000000000000001E-2</v>
      </c>
      <c r="J253" s="500">
        <f>E253+I253*VOC_C_Ratio/CO2_C_Ratio+H253*CO_C_Ratio/CO2_C_Ratio</f>
        <v>298.93662554580209</v>
      </c>
      <c r="K253" s="552">
        <f>$D253*J253/1000000</f>
        <v>0</v>
      </c>
      <c r="L253" s="521">
        <f>$D253*F253/1000000</f>
        <v>0</v>
      </c>
      <c r="M253" s="521">
        <f>$D253*G253/1000000</f>
        <v>0</v>
      </c>
      <c r="N253" s="493">
        <f>K253+L253*CH4_GWP+M253*N2O_GWP</f>
        <v>0</v>
      </c>
      <c r="O253" s="521">
        <f>N253*1000000/Fuel_Specs!$J$8</f>
        <v>0</v>
      </c>
      <c r="P253" s="563">
        <f>$O253*Upstream!C$108/1000000</f>
        <v>0</v>
      </c>
      <c r="Q253" s="563">
        <f>$O253*Upstream!D$108/1000000</f>
        <v>0</v>
      </c>
      <c r="R253" s="563">
        <f>$O253*Upstream!E$108/1000000</f>
        <v>0</v>
      </c>
      <c r="S253" s="563">
        <f>P253+Q253*CH4_GWP+R253*N2O_GWP</f>
        <v>0</v>
      </c>
      <c r="T253" s="564">
        <f>N253+S253</f>
        <v>0</v>
      </c>
    </row>
    <row r="254" spans="2:20">
      <c r="B254" s="480" t="s">
        <v>729</v>
      </c>
      <c r="C254" s="479"/>
      <c r="D254" s="520">
        <f>I329</f>
        <v>457</v>
      </c>
      <c r="E254" s="558">
        <v>1942</v>
      </c>
      <c r="F254" s="559">
        <v>3.4000000000000002E-2</v>
      </c>
      <c r="G254" s="559">
        <v>2E-3</v>
      </c>
      <c r="H254" s="987">
        <v>2.38</v>
      </c>
      <c r="I254" s="559">
        <v>0.39700000000000002</v>
      </c>
      <c r="J254" s="500">
        <f>E254+I254*VOC_C_Ratio/CO2_C_Ratio+H254*CO_C_Ratio/CO2_C_Ratio</f>
        <v>1946.975439689191</v>
      </c>
      <c r="K254" s="552">
        <f>$D254*J254/1000000</f>
        <v>0.8897677759379603</v>
      </c>
      <c r="L254" s="521">
        <f>$D254*F254/1000000</f>
        <v>1.5537999999999999E-5</v>
      </c>
      <c r="M254" s="521">
        <f>$D254*G254/1000000</f>
        <v>9.1400000000000006E-7</v>
      </c>
      <c r="N254" s="493">
        <f>K254+L254*CH4_GWP+M254*N2O_GWP</f>
        <v>0.89042859793796025</v>
      </c>
      <c r="O254" s="521">
        <f>N254*1000000/Fuel_Specs!$J$14</f>
        <v>11.400122073007166</v>
      </c>
      <c r="P254" s="563">
        <f>$O254*Upstream!C$108/1000000</f>
        <v>0.24173111325213398</v>
      </c>
      <c r="Q254" s="563">
        <f>$O254*Upstream!D$108/1000000</f>
        <v>1.3755161481874092E-3</v>
      </c>
      <c r="R254" s="563">
        <f>$O254*Upstream!E$108/1000000</f>
        <v>1.1400122073007166E-6</v>
      </c>
      <c r="S254" s="563">
        <f>P254+Q254*CH4_GWP+R254*N2O_GWP</f>
        <v>0.27645874059459485</v>
      </c>
      <c r="T254" s="564">
        <f>N254+S254</f>
        <v>1.1668873385325551</v>
      </c>
    </row>
    <row r="255" spans="2:20">
      <c r="B255" s="482"/>
      <c r="C255" s="474"/>
      <c r="D255" s="522"/>
      <c r="E255" s="522"/>
      <c r="F255" s="522"/>
      <c r="G255" s="522"/>
      <c r="H255" s="988"/>
      <c r="I255" s="522"/>
      <c r="J255" s="477" t="s">
        <v>200</v>
      </c>
      <c r="K255" s="552">
        <f>SUM(K253:K254)</f>
        <v>0.8897677759379603</v>
      </c>
      <c r="L255" s="521">
        <f t="shared" ref="L255:M255" si="131">SUM(L253:L254)</f>
        <v>1.5537999999999999E-5</v>
      </c>
      <c r="M255" s="521">
        <f t="shared" si="131"/>
        <v>9.1400000000000006E-7</v>
      </c>
      <c r="N255" s="493">
        <f>K255+L255*CH4_GWP+M255*N2O_GWP</f>
        <v>0.89042859793796025</v>
      </c>
      <c r="O255" s="521">
        <f>SUM(O253:O254)</f>
        <v>11.400122073007166</v>
      </c>
      <c r="P255" s="521">
        <f t="shared" ref="P255" si="132">SUM(P253:P254)</f>
        <v>0.24173111325213398</v>
      </c>
      <c r="Q255" s="521">
        <f t="shared" ref="Q255" si="133">SUM(Q253:Q254)</f>
        <v>1.3755161481874092E-3</v>
      </c>
      <c r="R255" s="521">
        <f t="shared" ref="R255" si="134">SUM(R253:R254)</f>
        <v>1.1400122073007166E-6</v>
      </c>
      <c r="S255" s="521">
        <f t="shared" ref="S255" si="135">SUM(S253:S254)</f>
        <v>0.27645874059459485</v>
      </c>
      <c r="T255" s="521">
        <f t="shared" ref="T255" si="136">SUM(T253:T254)</f>
        <v>1.1668873385325551</v>
      </c>
    </row>
    <row r="256" spans="2:20">
      <c r="B256" s="481"/>
      <c r="C256" s="471"/>
      <c r="D256" s="523"/>
      <c r="E256" s="523"/>
      <c r="F256" s="523"/>
      <c r="G256" s="523"/>
      <c r="H256" s="989"/>
      <c r="I256" s="523"/>
      <c r="K256" s="553"/>
      <c r="L256" s="523"/>
      <c r="M256" s="523"/>
      <c r="N256" s="523"/>
      <c r="O256" s="523"/>
      <c r="P256" s="523"/>
      <c r="Q256" s="523"/>
      <c r="R256" s="523"/>
      <c r="S256" s="523"/>
      <c r="T256" s="523"/>
    </row>
    <row r="257" spans="2:20">
      <c r="B257" s="525" t="s">
        <v>735</v>
      </c>
      <c r="C257" s="526"/>
      <c r="D257" s="527"/>
      <c r="E257" s="527"/>
      <c r="F257" s="527"/>
      <c r="G257" s="527"/>
      <c r="H257" s="990"/>
      <c r="I257" s="527"/>
      <c r="J257" s="527"/>
      <c r="K257" s="527"/>
      <c r="L257" s="527"/>
      <c r="M257" s="527"/>
      <c r="N257" s="527"/>
      <c r="O257" s="527"/>
      <c r="P257" s="527"/>
      <c r="Q257" s="527"/>
      <c r="R257" s="527"/>
      <c r="S257" s="527"/>
      <c r="T257" s="527"/>
    </row>
    <row r="258" spans="2:20" ht="63.75">
      <c r="B258" s="480" t="s">
        <v>734</v>
      </c>
      <c r="C258" s="479" t="s">
        <v>733</v>
      </c>
      <c r="D258" s="477" t="s">
        <v>732</v>
      </c>
      <c r="E258" s="551" t="s">
        <v>1113</v>
      </c>
      <c r="F258" s="557" t="s">
        <v>1114</v>
      </c>
      <c r="G258" s="551" t="s">
        <v>1115</v>
      </c>
      <c r="H258" s="986" t="s">
        <v>847</v>
      </c>
      <c r="I258" s="551" t="s">
        <v>848</v>
      </c>
      <c r="J258" s="477" t="s">
        <v>1116</v>
      </c>
      <c r="K258" s="551" t="s">
        <v>1117</v>
      </c>
      <c r="L258" s="477" t="s">
        <v>1118</v>
      </c>
      <c r="M258" s="477" t="s">
        <v>1119</v>
      </c>
      <c r="N258" s="478" t="s">
        <v>1120</v>
      </c>
      <c r="O258" s="478" t="s">
        <v>849</v>
      </c>
      <c r="P258" s="545" t="s">
        <v>1121</v>
      </c>
      <c r="Q258" s="546" t="s">
        <v>1122</v>
      </c>
      <c r="R258" s="546" t="s">
        <v>1123</v>
      </c>
      <c r="S258" s="545" t="s">
        <v>1124</v>
      </c>
      <c r="T258" s="483" t="s">
        <v>1125</v>
      </c>
    </row>
    <row r="259" spans="2:20" ht="25.5">
      <c r="B259" s="519" t="s">
        <v>1133</v>
      </c>
      <c r="C259" s="519" t="s">
        <v>730</v>
      </c>
      <c r="D259" s="520">
        <f>H330</f>
        <v>0</v>
      </c>
      <c r="E259" s="559">
        <v>308.45999999999998</v>
      </c>
      <c r="F259" s="559">
        <v>3.0000000000000001E-3</v>
      </c>
      <c r="G259" s="559">
        <v>1E-3</v>
      </c>
      <c r="H259" s="987">
        <v>1.512</v>
      </c>
      <c r="I259" s="559">
        <v>2.1000000000000001E-2</v>
      </c>
      <c r="J259" s="500">
        <f>E259+I259*VOC_C_Ratio/CO2_C_Ratio+H259*CO_C_Ratio/CO2_C_Ratio</f>
        <v>310.90092081052546</v>
      </c>
      <c r="K259" s="552">
        <f>$D259*J259/1000000</f>
        <v>0</v>
      </c>
      <c r="L259" s="521">
        <f>$D259*F259/1000000</f>
        <v>0</v>
      </c>
      <c r="M259" s="521">
        <f>$D259*G259/1000000</f>
        <v>0</v>
      </c>
      <c r="N259" s="493">
        <f>K259+L259*CH4_GWP+M259*N2O_GWP</f>
        <v>0</v>
      </c>
      <c r="O259" s="521">
        <f>N259*1000000/Fuel_Specs!$J$8</f>
        <v>0</v>
      </c>
      <c r="P259" s="563">
        <f>$O259*Upstream!C$108/1000000</f>
        <v>0</v>
      </c>
      <c r="Q259" s="563">
        <f>$O259*Upstream!D$108/1000000</f>
        <v>0</v>
      </c>
      <c r="R259" s="563">
        <f>$O259*Upstream!E$108/1000000</f>
        <v>0</v>
      </c>
      <c r="S259" s="563">
        <f>P259+Q259*CH4_GWP+R259*N2O_GWP</f>
        <v>0</v>
      </c>
      <c r="T259" s="564">
        <f>N259+S259</f>
        <v>0</v>
      </c>
    </row>
    <row r="260" spans="2:20">
      <c r="B260" s="480" t="s">
        <v>729</v>
      </c>
      <c r="C260" s="479"/>
      <c r="D260" s="520">
        <f>I330</f>
        <v>306</v>
      </c>
      <c r="E260" s="559">
        <v>2019</v>
      </c>
      <c r="F260" s="559">
        <v>3.4000000000000002E-2</v>
      </c>
      <c r="G260" s="559">
        <v>2E-3</v>
      </c>
      <c r="H260" s="987">
        <v>2.38</v>
      </c>
      <c r="I260" s="559">
        <v>0.39700000000000002</v>
      </c>
      <c r="J260" s="500">
        <f>E260+I260*VOC_C_Ratio/CO2_C_Ratio+H260*CO_C_Ratio/CO2_C_Ratio</f>
        <v>2023.975439689191</v>
      </c>
      <c r="K260" s="552">
        <f>$D260*J260/1000000</f>
        <v>0.61933648454489243</v>
      </c>
      <c r="L260" s="521">
        <f>$D260*F260/1000000</f>
        <v>1.0404000000000001E-5</v>
      </c>
      <c r="M260" s="521">
        <f>$D260*G260/1000000</f>
        <v>6.1200000000000003E-7</v>
      </c>
      <c r="N260" s="493">
        <f>K260+L260*CH4_GWP+M260*N2O_GWP</f>
        <v>0.61977896054489245</v>
      </c>
      <c r="O260" s="521">
        <f>N260*1000000/Fuel_Specs!$J$14</f>
        <v>7.935005484836811</v>
      </c>
      <c r="P260" s="563">
        <f>$O260*Upstream!C$108/1000000</f>
        <v>0.16825589210602357</v>
      </c>
      <c r="Q260" s="563">
        <f>$O260*Upstream!D$108/1000000</f>
        <v>9.5742204429479134E-4</v>
      </c>
      <c r="R260" s="563">
        <f>$O260*Upstream!E$108/1000000</f>
        <v>7.935005484836811E-7</v>
      </c>
      <c r="S260" s="563">
        <f>P260+Q260*CH4_GWP+R260*N2O_GWP</f>
        <v>0.19242790637684148</v>
      </c>
      <c r="T260" s="564">
        <f>N260+S260</f>
        <v>0.81220686692173394</v>
      </c>
    </row>
    <row r="261" spans="2:20">
      <c r="B261" s="476"/>
      <c r="C261" s="475"/>
      <c r="D261" s="474"/>
      <c r="E261" s="474"/>
      <c r="F261" s="474"/>
      <c r="G261" s="474"/>
      <c r="H261" s="991"/>
      <c r="I261" s="474"/>
      <c r="J261" s="477" t="s">
        <v>200</v>
      </c>
      <c r="K261" s="552">
        <f>SUM(K259:K260)</f>
        <v>0.61933648454489243</v>
      </c>
      <c r="L261" s="521">
        <f t="shared" ref="L261:M261" si="137">SUM(L259:L260)</f>
        <v>1.0404000000000001E-5</v>
      </c>
      <c r="M261" s="521">
        <f t="shared" si="137"/>
        <v>6.1200000000000003E-7</v>
      </c>
      <c r="N261" s="493">
        <f>K261+L261*CH4_GWP+M261*N2O_GWP</f>
        <v>0.61977896054489245</v>
      </c>
      <c r="O261" s="521">
        <f>SUM(O259:O260)</f>
        <v>7.935005484836811</v>
      </c>
      <c r="P261" s="521">
        <f t="shared" ref="P261" si="138">SUM(P259:P260)</f>
        <v>0.16825589210602357</v>
      </c>
      <c r="Q261" s="521">
        <f t="shared" ref="Q261" si="139">SUM(Q259:Q260)</f>
        <v>9.5742204429479134E-4</v>
      </c>
      <c r="R261" s="521">
        <f t="shared" ref="R261" si="140">SUM(R259:R260)</f>
        <v>7.935005484836811E-7</v>
      </c>
      <c r="S261" s="521">
        <f t="shared" ref="S261" si="141">SUM(S259:S260)</f>
        <v>0.19242790637684148</v>
      </c>
      <c r="T261" s="521">
        <f t="shared" ref="T261" si="142">SUM(T259:T260)</f>
        <v>0.81220686692173394</v>
      </c>
    </row>
    <row r="262" spans="2:20" ht="25.5">
      <c r="B262" s="473"/>
      <c r="C262" s="472"/>
      <c r="D262" s="471"/>
      <c r="E262" s="471"/>
      <c r="F262" s="471"/>
      <c r="G262" s="471"/>
      <c r="H262" s="992"/>
      <c r="I262" s="471"/>
      <c r="J262" s="529" t="s">
        <v>728</v>
      </c>
      <c r="K262" s="530">
        <f>K255+K261</f>
        <v>1.5091042604828528</v>
      </c>
      <c r="L262" s="530">
        <f>L255+L261</f>
        <v>2.5942E-5</v>
      </c>
      <c r="M262" s="530">
        <f>M255+M261</f>
        <v>1.5260000000000001E-6</v>
      </c>
      <c r="N262" s="530">
        <f>N255+N261</f>
        <v>1.5102075584828527</v>
      </c>
      <c r="O262" s="530">
        <f>O255+O261</f>
        <v>19.335127557843975</v>
      </c>
      <c r="P262" s="530">
        <f t="shared" ref="P262" si="143">P255+P261</f>
        <v>0.40998700535815757</v>
      </c>
      <c r="Q262" s="530">
        <f t="shared" ref="Q262" si="144">Q255+Q261</f>
        <v>2.3329381924822004E-3</v>
      </c>
      <c r="R262" s="530">
        <f t="shared" ref="R262" si="145">R255+R261</f>
        <v>1.9335127557843978E-6</v>
      </c>
      <c r="S262" s="530">
        <f t="shared" ref="S262" si="146">S255+S261</f>
        <v>0.46888664697143634</v>
      </c>
      <c r="T262" s="530">
        <f>T255+T261</f>
        <v>1.979094205454289</v>
      </c>
    </row>
    <row r="263" spans="2:20">
      <c r="B263" s="514" t="s">
        <v>584</v>
      </c>
      <c r="C263" s="514"/>
      <c r="D263" s="514"/>
      <c r="E263" s="514"/>
      <c r="F263" s="514"/>
      <c r="G263" s="514"/>
      <c r="H263" s="984"/>
      <c r="I263" s="514"/>
      <c r="J263" s="514"/>
      <c r="K263" s="514"/>
      <c r="L263" s="514"/>
    </row>
    <row r="264" spans="2:20">
      <c r="B264" s="531" t="s">
        <v>727</v>
      </c>
      <c r="C264" s="514"/>
      <c r="D264" s="514"/>
      <c r="E264" s="514"/>
      <c r="F264" s="514"/>
      <c r="G264" s="514"/>
      <c r="H264" s="984"/>
      <c r="I264" s="514"/>
      <c r="J264" s="514"/>
      <c r="K264" s="514"/>
      <c r="L264" s="514"/>
    </row>
    <row r="265" spans="2:20">
      <c r="B265" s="531" t="s">
        <v>726</v>
      </c>
      <c r="C265" s="514"/>
      <c r="D265" s="514"/>
      <c r="E265" s="514"/>
      <c r="F265" s="514"/>
      <c r="G265" s="514"/>
      <c r="H265" s="984"/>
      <c r="I265" s="514"/>
      <c r="J265" s="514"/>
      <c r="K265" s="514"/>
      <c r="L265" s="514"/>
    </row>
    <row r="266" spans="2:20">
      <c r="B266" s="531" t="s">
        <v>725</v>
      </c>
      <c r="C266" s="514"/>
      <c r="D266" s="514"/>
      <c r="E266" s="514"/>
      <c r="F266" s="514"/>
      <c r="G266" s="514"/>
      <c r="H266" s="984"/>
      <c r="I266" s="514"/>
      <c r="J266" s="514"/>
      <c r="K266" s="514"/>
      <c r="L266" s="514"/>
    </row>
    <row r="267" spans="2:20">
      <c r="B267" s="514"/>
      <c r="C267" s="514"/>
      <c r="D267" s="514"/>
      <c r="E267" s="514"/>
      <c r="F267" s="514"/>
      <c r="G267" s="514"/>
      <c r="H267" s="984"/>
      <c r="I267" s="514"/>
      <c r="J267" s="514"/>
      <c r="K267" s="514"/>
      <c r="L267" s="514"/>
    </row>
    <row r="268" spans="2:20">
      <c r="B268" s="514"/>
      <c r="C268" s="514"/>
      <c r="D268" s="514"/>
      <c r="E268" s="514"/>
      <c r="F268" s="514"/>
      <c r="G268" s="514"/>
      <c r="H268" s="984"/>
      <c r="I268" s="514"/>
      <c r="J268" s="514"/>
      <c r="K268" s="514"/>
      <c r="L268" s="514"/>
    </row>
    <row r="269" spans="2:20">
      <c r="B269" s="514"/>
      <c r="C269" s="514"/>
      <c r="D269" s="514"/>
      <c r="E269" s="514"/>
      <c r="F269" s="514"/>
      <c r="G269" s="514"/>
      <c r="H269" s="984"/>
      <c r="I269" s="514"/>
      <c r="J269" s="514"/>
      <c r="K269" s="514"/>
      <c r="L269" s="514"/>
    </row>
    <row r="270" spans="2:20">
      <c r="B270" s="514"/>
      <c r="C270" s="514"/>
      <c r="D270" s="514"/>
      <c r="E270" s="514"/>
      <c r="F270" s="514"/>
      <c r="G270" s="514"/>
      <c r="H270" s="984"/>
      <c r="I270" s="514"/>
      <c r="J270" s="514"/>
      <c r="K270" s="514"/>
      <c r="L270" s="514"/>
    </row>
    <row r="271" spans="2:20" ht="51.75" thickBot="1">
      <c r="B271" s="532" t="s">
        <v>724</v>
      </c>
      <c r="C271" s="533" t="s">
        <v>723</v>
      </c>
      <c r="D271" s="470" t="s">
        <v>814</v>
      </c>
      <c r="E271" s="470" t="s">
        <v>722</v>
      </c>
      <c r="F271" s="470" t="s">
        <v>812</v>
      </c>
      <c r="G271" s="470" t="s">
        <v>813</v>
      </c>
      <c r="H271" s="993" t="s">
        <v>810</v>
      </c>
      <c r="I271" s="470" t="s">
        <v>809</v>
      </c>
      <c r="J271" s="470" t="s">
        <v>811</v>
      </c>
      <c r="K271" s="514"/>
      <c r="L271" s="514"/>
    </row>
    <row r="272" spans="2:20" ht="13.5" thickTop="1">
      <c r="B272" s="534" t="s">
        <v>721</v>
      </c>
      <c r="C272" s="1944" t="s">
        <v>710</v>
      </c>
      <c r="D272" s="485">
        <v>26.6</v>
      </c>
      <c r="E272" s="486">
        <v>0</v>
      </c>
      <c r="F272" s="486">
        <v>0</v>
      </c>
      <c r="G272" s="486">
        <v>0</v>
      </c>
      <c r="H272" s="994">
        <v>0</v>
      </c>
      <c r="I272" s="486">
        <v>0</v>
      </c>
      <c r="J272" s="486">
        <v>0</v>
      </c>
      <c r="K272" s="514"/>
      <c r="L272" s="514"/>
    </row>
    <row r="273" spans="2:12">
      <c r="B273" s="468" t="s">
        <v>720</v>
      </c>
      <c r="C273" s="1945"/>
      <c r="D273" s="487">
        <v>24</v>
      </c>
      <c r="E273" s="488">
        <v>0</v>
      </c>
      <c r="F273" s="488">
        <v>0</v>
      </c>
      <c r="G273" s="488">
        <v>0</v>
      </c>
      <c r="H273" s="995">
        <v>0</v>
      </c>
      <c r="I273" s="488">
        <v>0</v>
      </c>
      <c r="J273" s="488">
        <v>0</v>
      </c>
      <c r="K273" s="514"/>
      <c r="L273" s="514"/>
    </row>
    <row r="274" spans="2:12">
      <c r="B274" s="535" t="s">
        <v>719</v>
      </c>
      <c r="C274" s="1946"/>
      <c r="D274" s="536">
        <v>26.6</v>
      </c>
      <c r="E274" s="537">
        <v>0</v>
      </c>
      <c r="F274" s="537">
        <v>0</v>
      </c>
      <c r="G274" s="537">
        <v>0</v>
      </c>
      <c r="H274" s="996">
        <v>0</v>
      </c>
      <c r="I274" s="537">
        <v>0</v>
      </c>
      <c r="J274" s="537">
        <v>0</v>
      </c>
      <c r="K274" s="514"/>
      <c r="L274" s="514"/>
    </row>
    <row r="275" spans="2:12" ht="12.75" customHeight="1">
      <c r="B275" s="538" t="s">
        <v>718</v>
      </c>
      <c r="C275" s="1940" t="s">
        <v>717</v>
      </c>
      <c r="D275" s="489">
        <v>25.7</v>
      </c>
      <c r="E275" s="490">
        <v>0</v>
      </c>
      <c r="F275" s="490">
        <v>0</v>
      </c>
      <c r="G275" s="490">
        <v>0</v>
      </c>
      <c r="H275" s="997">
        <v>0</v>
      </c>
      <c r="I275" s="490">
        <v>0</v>
      </c>
      <c r="J275" s="490">
        <v>0</v>
      </c>
      <c r="K275" s="514"/>
      <c r="L275" s="514"/>
    </row>
    <row r="276" spans="2:12">
      <c r="B276" s="468" t="s">
        <v>716</v>
      </c>
      <c r="C276" s="1941"/>
      <c r="D276" s="487">
        <v>26.6</v>
      </c>
      <c r="E276" s="488">
        <v>0</v>
      </c>
      <c r="F276" s="488">
        <v>0</v>
      </c>
      <c r="G276" s="488">
        <v>0</v>
      </c>
      <c r="H276" s="995">
        <v>0</v>
      </c>
      <c r="I276" s="488">
        <v>0</v>
      </c>
      <c r="J276" s="488">
        <v>0</v>
      </c>
      <c r="K276" s="514"/>
      <c r="L276" s="514"/>
    </row>
    <row r="277" spans="2:12">
      <c r="B277" s="539" t="s">
        <v>715</v>
      </c>
      <c r="C277" s="1941"/>
      <c r="D277" s="487">
        <v>25.7</v>
      </c>
      <c r="E277" s="488">
        <v>0</v>
      </c>
      <c r="F277" s="488">
        <v>0</v>
      </c>
      <c r="G277" s="488">
        <v>0</v>
      </c>
      <c r="H277" s="995">
        <v>85</v>
      </c>
      <c r="I277" s="488">
        <v>331</v>
      </c>
      <c r="J277" s="488">
        <v>331</v>
      </c>
      <c r="K277" s="514"/>
      <c r="L277" s="514"/>
    </row>
    <row r="278" spans="2:12">
      <c r="B278" s="469" t="s">
        <v>714</v>
      </c>
      <c r="C278" s="1941"/>
      <c r="D278" s="487">
        <v>26.6</v>
      </c>
      <c r="E278" s="488">
        <v>0</v>
      </c>
      <c r="F278" s="488">
        <v>0</v>
      </c>
      <c r="G278" s="488">
        <v>0</v>
      </c>
      <c r="H278" s="995">
        <v>85</v>
      </c>
      <c r="I278" s="488">
        <v>320</v>
      </c>
      <c r="J278" s="488">
        <v>320</v>
      </c>
      <c r="K278" s="514"/>
      <c r="L278" s="514"/>
    </row>
    <row r="279" spans="2:12">
      <c r="B279" s="540" t="s">
        <v>713</v>
      </c>
      <c r="C279" s="1941"/>
      <c r="D279" s="487">
        <v>26.6</v>
      </c>
      <c r="E279" s="488">
        <v>0</v>
      </c>
      <c r="F279" s="488">
        <v>0</v>
      </c>
      <c r="G279" s="488">
        <v>0</v>
      </c>
      <c r="H279" s="995">
        <v>75</v>
      </c>
      <c r="I279" s="488">
        <v>282</v>
      </c>
      <c r="J279" s="488">
        <v>282</v>
      </c>
      <c r="K279" s="514"/>
      <c r="L279" s="514"/>
    </row>
    <row r="280" spans="2:12">
      <c r="B280" s="541" t="s">
        <v>712</v>
      </c>
      <c r="C280" s="1942"/>
      <c r="D280" s="536">
        <v>25.7</v>
      </c>
      <c r="E280" s="537">
        <v>0</v>
      </c>
      <c r="F280" s="537">
        <v>0</v>
      </c>
      <c r="G280" s="537">
        <v>0</v>
      </c>
      <c r="H280" s="996">
        <v>75</v>
      </c>
      <c r="I280" s="537">
        <v>292</v>
      </c>
      <c r="J280" s="537">
        <v>292</v>
      </c>
      <c r="K280" s="514"/>
      <c r="L280" s="514"/>
    </row>
    <row r="281" spans="2:12">
      <c r="B281" s="484" t="s">
        <v>711</v>
      </c>
      <c r="C281" s="1940" t="s">
        <v>710</v>
      </c>
      <c r="D281" s="489">
        <v>26.6</v>
      </c>
      <c r="E281" s="490">
        <v>0</v>
      </c>
      <c r="F281" s="490">
        <v>0</v>
      </c>
      <c r="G281" s="490">
        <v>0</v>
      </c>
      <c r="H281" s="997">
        <v>5</v>
      </c>
      <c r="I281" s="490">
        <v>19</v>
      </c>
      <c r="J281" s="490">
        <v>19</v>
      </c>
      <c r="K281" s="514"/>
      <c r="L281" s="514"/>
    </row>
    <row r="282" spans="2:12">
      <c r="B282" s="468" t="s">
        <v>709</v>
      </c>
      <c r="C282" s="1941"/>
      <c r="D282" s="487">
        <v>25.7</v>
      </c>
      <c r="E282" s="488">
        <v>0</v>
      </c>
      <c r="F282" s="488">
        <v>0</v>
      </c>
      <c r="G282" s="488">
        <v>0</v>
      </c>
      <c r="H282" s="995">
        <v>5</v>
      </c>
      <c r="I282" s="488">
        <v>19</v>
      </c>
      <c r="J282" s="488">
        <v>19</v>
      </c>
      <c r="K282" s="514"/>
      <c r="L282" s="514"/>
    </row>
    <row r="283" spans="2:12">
      <c r="B283" s="542" t="s">
        <v>708</v>
      </c>
      <c r="C283" s="1942"/>
      <c r="D283" s="536">
        <v>26.6</v>
      </c>
      <c r="E283" s="537">
        <v>0</v>
      </c>
      <c r="F283" s="537">
        <v>0</v>
      </c>
      <c r="G283" s="537">
        <v>0</v>
      </c>
      <c r="H283" s="996">
        <v>0</v>
      </c>
      <c r="I283" s="537">
        <v>0</v>
      </c>
      <c r="J283" s="537">
        <v>0</v>
      </c>
      <c r="K283" s="514"/>
      <c r="L283" s="514"/>
    </row>
    <row r="284" spans="2:12">
      <c r="B284" s="543" t="s">
        <v>707</v>
      </c>
      <c r="C284" s="1940" t="s">
        <v>696</v>
      </c>
      <c r="D284" s="489">
        <v>26.6</v>
      </c>
      <c r="E284" s="490">
        <v>0</v>
      </c>
      <c r="F284" s="490">
        <v>0</v>
      </c>
      <c r="G284" s="490">
        <v>0</v>
      </c>
      <c r="H284" s="997">
        <v>0</v>
      </c>
      <c r="I284" s="490">
        <v>0</v>
      </c>
      <c r="J284" s="490">
        <v>0</v>
      </c>
      <c r="K284" s="514"/>
      <c r="L284" s="514"/>
    </row>
    <row r="285" spans="2:12">
      <c r="B285" s="540" t="s">
        <v>706</v>
      </c>
      <c r="C285" s="1941"/>
      <c r="D285" s="487">
        <v>24.9</v>
      </c>
      <c r="E285" s="488">
        <v>0</v>
      </c>
      <c r="F285" s="488">
        <v>0</v>
      </c>
      <c r="G285" s="488">
        <v>0</v>
      </c>
      <c r="H285" s="995">
        <v>0</v>
      </c>
      <c r="I285" s="488">
        <v>0</v>
      </c>
      <c r="J285" s="488">
        <v>0</v>
      </c>
      <c r="K285" s="514"/>
      <c r="L285" s="514"/>
    </row>
    <row r="286" spans="2:12">
      <c r="B286" s="542" t="s">
        <v>705</v>
      </c>
      <c r="C286" s="1942"/>
      <c r="D286" s="536">
        <v>26.6</v>
      </c>
      <c r="E286" s="537">
        <v>0</v>
      </c>
      <c r="F286" s="537">
        <v>0</v>
      </c>
      <c r="G286" s="537">
        <v>0</v>
      </c>
      <c r="H286" s="996">
        <v>0</v>
      </c>
      <c r="I286" s="537">
        <v>0</v>
      </c>
      <c r="J286" s="537">
        <v>0</v>
      </c>
      <c r="K286" s="514"/>
      <c r="L286" s="514"/>
    </row>
    <row r="287" spans="2:12">
      <c r="B287" s="543" t="s">
        <v>704</v>
      </c>
      <c r="C287" s="1940" t="s">
        <v>703</v>
      </c>
      <c r="D287" s="489">
        <v>25.7</v>
      </c>
      <c r="E287" s="490">
        <v>0</v>
      </c>
      <c r="F287" s="490">
        <v>0</v>
      </c>
      <c r="G287" s="490">
        <v>0</v>
      </c>
      <c r="H287" s="997">
        <v>0</v>
      </c>
      <c r="I287" s="490">
        <v>0</v>
      </c>
      <c r="J287" s="490">
        <v>0</v>
      </c>
      <c r="K287" s="514"/>
      <c r="L287" s="514"/>
    </row>
    <row r="288" spans="2:12">
      <c r="B288" s="540" t="s">
        <v>702</v>
      </c>
      <c r="C288" s="1941"/>
      <c r="D288" s="487">
        <v>26.6</v>
      </c>
      <c r="E288" s="488">
        <v>0</v>
      </c>
      <c r="F288" s="488">
        <v>0</v>
      </c>
      <c r="G288" s="488">
        <v>0</v>
      </c>
      <c r="H288" s="995">
        <v>0</v>
      </c>
      <c r="I288" s="488">
        <v>0</v>
      </c>
      <c r="J288" s="488">
        <v>0</v>
      </c>
      <c r="K288" s="514"/>
      <c r="L288" s="514"/>
    </row>
    <row r="289" spans="2:12">
      <c r="B289" s="540" t="s">
        <v>701</v>
      </c>
      <c r="C289" s="1941"/>
      <c r="D289" s="487">
        <v>25.7</v>
      </c>
      <c r="E289" s="488">
        <v>0</v>
      </c>
      <c r="F289" s="488">
        <v>0</v>
      </c>
      <c r="G289" s="488">
        <v>0</v>
      </c>
      <c r="H289" s="995">
        <v>174</v>
      </c>
      <c r="I289" s="488">
        <v>677</v>
      </c>
      <c r="J289" s="488">
        <v>677</v>
      </c>
      <c r="K289" s="514"/>
      <c r="L289" s="514"/>
    </row>
    <row r="290" spans="2:12">
      <c r="B290" s="540" t="s">
        <v>700</v>
      </c>
      <c r="C290" s="1941"/>
      <c r="D290" s="487">
        <v>26.6</v>
      </c>
      <c r="E290" s="488">
        <v>98</v>
      </c>
      <c r="F290" s="488">
        <v>2604</v>
      </c>
      <c r="G290" s="488">
        <v>104160</v>
      </c>
      <c r="H290" s="995">
        <v>244</v>
      </c>
      <c r="I290" s="488">
        <v>918</v>
      </c>
      <c r="J290" s="488">
        <v>105078</v>
      </c>
      <c r="K290" s="514"/>
      <c r="L290" s="514"/>
    </row>
    <row r="291" spans="2:12">
      <c r="B291" s="540" t="s">
        <v>699</v>
      </c>
      <c r="C291" s="1941"/>
      <c r="D291" s="487">
        <v>26.6</v>
      </c>
      <c r="E291" s="488">
        <v>98</v>
      </c>
      <c r="F291" s="488">
        <v>2604</v>
      </c>
      <c r="G291" s="488">
        <v>104160</v>
      </c>
      <c r="H291" s="995">
        <v>294</v>
      </c>
      <c r="I291" s="488">
        <v>1106</v>
      </c>
      <c r="J291" s="488">
        <v>105266</v>
      </c>
      <c r="K291" s="514"/>
      <c r="L291" s="514"/>
    </row>
    <row r="292" spans="2:12">
      <c r="B292" s="542" t="s">
        <v>698</v>
      </c>
      <c r="C292" s="1942"/>
      <c r="D292" s="536">
        <v>25.7</v>
      </c>
      <c r="E292" s="537">
        <v>98</v>
      </c>
      <c r="F292" s="537">
        <v>2520</v>
      </c>
      <c r="G292" s="537">
        <v>100800</v>
      </c>
      <c r="H292" s="996">
        <v>794</v>
      </c>
      <c r="I292" s="537">
        <v>3088</v>
      </c>
      <c r="J292" s="537">
        <v>103888</v>
      </c>
      <c r="K292" s="514"/>
      <c r="L292" s="514"/>
    </row>
    <row r="293" spans="2:12">
      <c r="B293" s="543" t="s">
        <v>697</v>
      </c>
      <c r="C293" s="1940" t="s">
        <v>696</v>
      </c>
      <c r="D293" s="489">
        <v>26.6</v>
      </c>
      <c r="E293" s="490">
        <v>98</v>
      </c>
      <c r="F293" s="490">
        <v>2604</v>
      </c>
      <c r="G293" s="490">
        <v>104160</v>
      </c>
      <c r="H293" s="997">
        <v>844</v>
      </c>
      <c r="I293" s="490">
        <v>3176</v>
      </c>
      <c r="J293" s="490">
        <v>107336</v>
      </c>
      <c r="K293" s="514"/>
      <c r="L293" s="514"/>
    </row>
    <row r="294" spans="2:12">
      <c r="B294" s="540" t="s">
        <v>695</v>
      </c>
      <c r="C294" s="1941"/>
      <c r="D294" s="487">
        <v>25.7</v>
      </c>
      <c r="E294" s="488">
        <v>98</v>
      </c>
      <c r="F294" s="488">
        <v>2520</v>
      </c>
      <c r="G294" s="488">
        <v>100800</v>
      </c>
      <c r="H294" s="995">
        <v>894</v>
      </c>
      <c r="I294" s="488">
        <v>3477</v>
      </c>
      <c r="J294" s="488">
        <v>104277</v>
      </c>
      <c r="K294" s="514"/>
      <c r="L294" s="514"/>
    </row>
    <row r="295" spans="2:12">
      <c r="B295" s="542" t="s">
        <v>694</v>
      </c>
      <c r="C295" s="1942"/>
      <c r="D295" s="536">
        <v>26.6</v>
      </c>
      <c r="E295" s="537">
        <v>98</v>
      </c>
      <c r="F295" s="537">
        <v>2604</v>
      </c>
      <c r="G295" s="537">
        <v>104160</v>
      </c>
      <c r="H295" s="996">
        <v>889</v>
      </c>
      <c r="I295" s="537">
        <v>3346</v>
      </c>
      <c r="J295" s="537">
        <v>107506</v>
      </c>
      <c r="K295" s="514"/>
      <c r="L295" s="514"/>
    </row>
    <row r="296" spans="2:12">
      <c r="B296" s="543" t="s">
        <v>693</v>
      </c>
      <c r="C296" s="1940" t="s">
        <v>682</v>
      </c>
      <c r="D296" s="489">
        <v>26.6</v>
      </c>
      <c r="E296" s="490">
        <v>98</v>
      </c>
      <c r="F296" s="490">
        <v>2604</v>
      </c>
      <c r="G296" s="490">
        <v>104160</v>
      </c>
      <c r="H296" s="997">
        <v>888</v>
      </c>
      <c r="I296" s="490">
        <v>3342</v>
      </c>
      <c r="J296" s="490">
        <v>107502</v>
      </c>
      <c r="K296" s="514"/>
      <c r="L296" s="514"/>
    </row>
    <row r="297" spans="2:12">
      <c r="B297" s="540" t="s">
        <v>692</v>
      </c>
      <c r="C297" s="1941"/>
      <c r="D297" s="487">
        <v>24</v>
      </c>
      <c r="E297" s="488">
        <v>98</v>
      </c>
      <c r="F297" s="488">
        <v>2352</v>
      </c>
      <c r="G297" s="488">
        <v>94080</v>
      </c>
      <c r="H297" s="995">
        <v>329</v>
      </c>
      <c r="I297" s="488">
        <v>1371</v>
      </c>
      <c r="J297" s="488">
        <v>95451</v>
      </c>
      <c r="K297" s="514"/>
      <c r="L297" s="514"/>
    </row>
    <row r="298" spans="2:12">
      <c r="B298" s="542" t="s">
        <v>691</v>
      </c>
      <c r="C298" s="1942"/>
      <c r="D298" s="536">
        <v>26.6</v>
      </c>
      <c r="E298" s="537">
        <v>98</v>
      </c>
      <c r="F298" s="537">
        <v>2604</v>
      </c>
      <c r="G298" s="537">
        <v>104160</v>
      </c>
      <c r="H298" s="996">
        <v>279</v>
      </c>
      <c r="I298" s="537">
        <v>1050</v>
      </c>
      <c r="J298" s="537">
        <v>105210</v>
      </c>
      <c r="K298" s="514"/>
      <c r="L298" s="514"/>
    </row>
    <row r="299" spans="2:12">
      <c r="B299" s="543" t="s">
        <v>690</v>
      </c>
      <c r="C299" s="1940" t="s">
        <v>689</v>
      </c>
      <c r="D299" s="489">
        <v>25.7</v>
      </c>
      <c r="E299" s="490">
        <v>98</v>
      </c>
      <c r="F299" s="490">
        <v>2520</v>
      </c>
      <c r="G299" s="490">
        <v>100800</v>
      </c>
      <c r="H299" s="997">
        <v>279</v>
      </c>
      <c r="I299" s="490">
        <v>1085</v>
      </c>
      <c r="J299" s="490">
        <v>101885</v>
      </c>
      <c r="K299" s="514"/>
      <c r="L299" s="514"/>
    </row>
    <row r="300" spans="2:12">
      <c r="B300" s="540" t="s">
        <v>688</v>
      </c>
      <c r="C300" s="1941"/>
      <c r="D300" s="487">
        <v>26.6</v>
      </c>
      <c r="E300" s="488">
        <v>98</v>
      </c>
      <c r="F300" s="488">
        <v>2604</v>
      </c>
      <c r="G300" s="488">
        <v>104160</v>
      </c>
      <c r="H300" s="995">
        <v>252</v>
      </c>
      <c r="I300" s="488">
        <v>948</v>
      </c>
      <c r="J300" s="488">
        <v>105108</v>
      </c>
      <c r="K300" s="514"/>
      <c r="L300" s="514"/>
    </row>
    <row r="301" spans="2:12">
      <c r="B301" s="540" t="s">
        <v>687</v>
      </c>
      <c r="C301" s="1941"/>
      <c r="D301" s="487">
        <v>25.7</v>
      </c>
      <c r="E301" s="488">
        <v>98</v>
      </c>
      <c r="F301" s="488">
        <v>2520</v>
      </c>
      <c r="G301" s="488">
        <v>100800</v>
      </c>
      <c r="H301" s="995">
        <v>189</v>
      </c>
      <c r="I301" s="488">
        <v>735</v>
      </c>
      <c r="J301" s="488">
        <v>101535</v>
      </c>
      <c r="K301" s="514"/>
      <c r="L301" s="514"/>
    </row>
    <row r="302" spans="2:12">
      <c r="B302" s="540" t="s">
        <v>686</v>
      </c>
      <c r="C302" s="1941"/>
      <c r="D302" s="487">
        <v>26.6</v>
      </c>
      <c r="E302" s="488">
        <v>98</v>
      </c>
      <c r="F302" s="488">
        <v>2604</v>
      </c>
      <c r="G302" s="488">
        <v>104160</v>
      </c>
      <c r="H302" s="995">
        <v>139</v>
      </c>
      <c r="I302" s="488">
        <v>523</v>
      </c>
      <c r="J302" s="488">
        <v>104683</v>
      </c>
      <c r="K302" s="514"/>
      <c r="L302" s="514"/>
    </row>
    <row r="303" spans="2:12">
      <c r="B303" s="540" t="s">
        <v>685</v>
      </c>
      <c r="C303" s="1941"/>
      <c r="D303" s="487">
        <v>26.6</v>
      </c>
      <c r="E303" s="488">
        <v>98</v>
      </c>
      <c r="F303" s="488">
        <v>2604</v>
      </c>
      <c r="G303" s="488">
        <v>104160</v>
      </c>
      <c r="H303" s="995">
        <v>139</v>
      </c>
      <c r="I303" s="488">
        <v>523</v>
      </c>
      <c r="J303" s="488">
        <v>104683</v>
      </c>
      <c r="K303" s="514"/>
      <c r="L303" s="514"/>
    </row>
    <row r="304" spans="2:12">
      <c r="B304" s="542" t="s">
        <v>684</v>
      </c>
      <c r="C304" s="1942"/>
      <c r="D304" s="536">
        <v>25.7</v>
      </c>
      <c r="E304" s="537">
        <v>98</v>
      </c>
      <c r="F304" s="537">
        <v>2520</v>
      </c>
      <c r="G304" s="537">
        <v>100800</v>
      </c>
      <c r="H304" s="996">
        <v>89</v>
      </c>
      <c r="I304" s="537">
        <v>346</v>
      </c>
      <c r="J304" s="537">
        <v>101146</v>
      </c>
      <c r="K304" s="514"/>
      <c r="L304" s="514"/>
    </row>
    <row r="305" spans="2:12">
      <c r="B305" s="543" t="s">
        <v>683</v>
      </c>
      <c r="C305" s="1940" t="s">
        <v>682</v>
      </c>
      <c r="D305" s="489">
        <v>26.6</v>
      </c>
      <c r="E305" s="490">
        <v>0</v>
      </c>
      <c r="F305" s="490">
        <v>0</v>
      </c>
      <c r="G305" s="490">
        <v>0</v>
      </c>
      <c r="H305" s="997">
        <v>78</v>
      </c>
      <c r="I305" s="490">
        <v>294</v>
      </c>
      <c r="J305" s="490">
        <v>294</v>
      </c>
      <c r="K305" s="514"/>
      <c r="L305" s="514"/>
    </row>
    <row r="306" spans="2:12">
      <c r="B306" s="540" t="s">
        <v>681</v>
      </c>
      <c r="C306" s="1941"/>
      <c r="D306" s="487">
        <v>25.7</v>
      </c>
      <c r="E306" s="488">
        <v>0</v>
      </c>
      <c r="F306" s="488">
        <v>0</v>
      </c>
      <c r="G306" s="488">
        <v>0</v>
      </c>
      <c r="H306" s="995">
        <v>39</v>
      </c>
      <c r="I306" s="488">
        <v>152</v>
      </c>
      <c r="J306" s="488">
        <v>152</v>
      </c>
      <c r="K306" s="514"/>
      <c r="L306" s="514"/>
    </row>
    <row r="307" spans="2:12">
      <c r="B307" s="542" t="s">
        <v>680</v>
      </c>
      <c r="C307" s="1942"/>
      <c r="D307" s="536">
        <v>26.6</v>
      </c>
      <c r="E307" s="537">
        <v>0</v>
      </c>
      <c r="F307" s="537">
        <v>0</v>
      </c>
      <c r="G307" s="537">
        <v>0</v>
      </c>
      <c r="H307" s="996">
        <v>39</v>
      </c>
      <c r="I307" s="537">
        <v>147</v>
      </c>
      <c r="J307" s="537">
        <v>147</v>
      </c>
      <c r="K307" s="514"/>
      <c r="L307" s="514"/>
    </row>
    <row r="308" spans="2:12">
      <c r="B308" s="543" t="s">
        <v>679</v>
      </c>
      <c r="C308" s="1940" t="s">
        <v>668</v>
      </c>
      <c r="D308" s="489">
        <v>26.6</v>
      </c>
      <c r="E308" s="490">
        <v>0</v>
      </c>
      <c r="F308" s="490">
        <v>0</v>
      </c>
      <c r="G308" s="490">
        <v>0</v>
      </c>
      <c r="H308" s="997">
        <v>39</v>
      </c>
      <c r="I308" s="490">
        <v>147</v>
      </c>
      <c r="J308" s="490">
        <v>147</v>
      </c>
      <c r="K308" s="514"/>
      <c r="L308" s="514"/>
    </row>
    <row r="309" spans="2:12">
      <c r="B309" s="540" t="s">
        <v>678</v>
      </c>
      <c r="C309" s="1941"/>
      <c r="D309" s="487">
        <v>24</v>
      </c>
      <c r="E309" s="488">
        <v>0</v>
      </c>
      <c r="F309" s="488">
        <v>0</v>
      </c>
      <c r="G309" s="488">
        <v>0</v>
      </c>
      <c r="H309" s="995">
        <v>39</v>
      </c>
      <c r="I309" s="488">
        <v>163</v>
      </c>
      <c r="J309" s="488">
        <v>163</v>
      </c>
      <c r="K309" s="514"/>
      <c r="L309" s="514"/>
    </row>
    <row r="310" spans="2:12">
      <c r="B310" s="542" t="s">
        <v>677</v>
      </c>
      <c r="C310" s="1942"/>
      <c r="D310" s="536">
        <v>26.6</v>
      </c>
      <c r="E310" s="537">
        <v>0</v>
      </c>
      <c r="F310" s="537">
        <v>0</v>
      </c>
      <c r="G310" s="537">
        <v>0</v>
      </c>
      <c r="H310" s="996">
        <v>39</v>
      </c>
      <c r="I310" s="537">
        <v>147</v>
      </c>
      <c r="J310" s="537">
        <v>147</v>
      </c>
      <c r="K310" s="514"/>
      <c r="L310" s="514"/>
    </row>
    <row r="311" spans="2:12">
      <c r="B311" s="543" t="s">
        <v>676</v>
      </c>
      <c r="C311" s="1940" t="s">
        <v>675</v>
      </c>
      <c r="D311" s="489">
        <v>25.7</v>
      </c>
      <c r="E311" s="490">
        <v>0</v>
      </c>
      <c r="F311" s="490">
        <v>0</v>
      </c>
      <c r="G311" s="490">
        <v>0</v>
      </c>
      <c r="H311" s="997">
        <v>41</v>
      </c>
      <c r="I311" s="490">
        <v>159</v>
      </c>
      <c r="J311" s="490">
        <v>159</v>
      </c>
      <c r="K311" s="514"/>
      <c r="L311" s="514"/>
    </row>
    <row r="312" spans="2:12">
      <c r="B312" s="540" t="s">
        <v>674</v>
      </c>
      <c r="C312" s="1941"/>
      <c r="D312" s="487">
        <v>26.6</v>
      </c>
      <c r="E312" s="488">
        <v>0</v>
      </c>
      <c r="F312" s="488">
        <v>0</v>
      </c>
      <c r="G312" s="488">
        <v>0</v>
      </c>
      <c r="H312" s="995">
        <v>39</v>
      </c>
      <c r="I312" s="488">
        <v>147</v>
      </c>
      <c r="J312" s="488">
        <v>147</v>
      </c>
      <c r="K312" s="514"/>
      <c r="L312" s="514"/>
    </row>
    <row r="313" spans="2:12">
      <c r="B313" s="540" t="s">
        <v>673</v>
      </c>
      <c r="C313" s="1941"/>
      <c r="D313" s="487">
        <v>25.7</v>
      </c>
      <c r="E313" s="488">
        <v>0</v>
      </c>
      <c r="F313" s="488">
        <v>0</v>
      </c>
      <c r="G313" s="488">
        <v>0</v>
      </c>
      <c r="H313" s="995">
        <v>0</v>
      </c>
      <c r="I313" s="488">
        <v>0</v>
      </c>
      <c r="J313" s="488">
        <v>0</v>
      </c>
      <c r="K313" s="514"/>
      <c r="L313" s="514"/>
    </row>
    <row r="314" spans="2:12">
      <c r="B314" s="540" t="s">
        <v>672</v>
      </c>
      <c r="C314" s="1941"/>
      <c r="D314" s="487">
        <v>26.6</v>
      </c>
      <c r="E314" s="488">
        <v>0</v>
      </c>
      <c r="F314" s="488">
        <v>0</v>
      </c>
      <c r="G314" s="488">
        <v>0</v>
      </c>
      <c r="H314" s="995">
        <v>0</v>
      </c>
      <c r="I314" s="488">
        <v>0</v>
      </c>
      <c r="J314" s="488">
        <v>0</v>
      </c>
      <c r="K314" s="514"/>
      <c r="L314" s="514"/>
    </row>
    <row r="315" spans="2:12">
      <c r="B315" s="540" t="s">
        <v>671</v>
      </c>
      <c r="C315" s="1941"/>
      <c r="D315" s="487">
        <v>26.6</v>
      </c>
      <c r="E315" s="488">
        <v>0</v>
      </c>
      <c r="F315" s="488">
        <v>0</v>
      </c>
      <c r="G315" s="488">
        <v>0</v>
      </c>
      <c r="H315" s="995">
        <v>0</v>
      </c>
      <c r="I315" s="488">
        <v>0</v>
      </c>
      <c r="J315" s="488">
        <v>0</v>
      </c>
      <c r="K315" s="514"/>
      <c r="L315" s="514"/>
    </row>
    <row r="316" spans="2:12">
      <c r="B316" s="542" t="s">
        <v>670</v>
      </c>
      <c r="C316" s="1942"/>
      <c r="D316" s="536">
        <v>25.7</v>
      </c>
      <c r="E316" s="537">
        <v>0</v>
      </c>
      <c r="F316" s="537">
        <v>0</v>
      </c>
      <c r="G316" s="537">
        <v>0</v>
      </c>
      <c r="H316" s="996">
        <v>0</v>
      </c>
      <c r="I316" s="537">
        <v>0</v>
      </c>
      <c r="J316" s="537">
        <v>0</v>
      </c>
      <c r="K316" s="514"/>
      <c r="L316" s="514"/>
    </row>
    <row r="317" spans="2:12">
      <c r="B317" s="543" t="s">
        <v>669</v>
      </c>
      <c r="C317" s="1940" t="s">
        <v>668</v>
      </c>
      <c r="D317" s="489">
        <v>26.6</v>
      </c>
      <c r="E317" s="490">
        <v>0</v>
      </c>
      <c r="F317" s="490">
        <v>0</v>
      </c>
      <c r="G317" s="490">
        <v>0</v>
      </c>
      <c r="H317" s="997">
        <v>0</v>
      </c>
      <c r="I317" s="490">
        <v>0</v>
      </c>
      <c r="J317" s="490">
        <v>0</v>
      </c>
      <c r="K317" s="514"/>
      <c r="L317" s="514"/>
    </row>
    <row r="318" spans="2:12">
      <c r="B318" s="540" t="s">
        <v>667</v>
      </c>
      <c r="C318" s="1941"/>
      <c r="D318" s="487">
        <v>25.7</v>
      </c>
      <c r="E318" s="488">
        <v>0</v>
      </c>
      <c r="F318" s="488">
        <v>0</v>
      </c>
      <c r="G318" s="488">
        <v>0</v>
      </c>
      <c r="H318" s="995">
        <v>0</v>
      </c>
      <c r="I318" s="488">
        <v>0</v>
      </c>
      <c r="J318" s="488">
        <v>0</v>
      </c>
      <c r="K318" s="514"/>
      <c r="L318" s="514"/>
    </row>
    <row r="319" spans="2:12">
      <c r="B319" s="542" t="s">
        <v>666</v>
      </c>
      <c r="C319" s="1942"/>
      <c r="D319" s="536">
        <v>26.6</v>
      </c>
      <c r="E319" s="537">
        <v>0</v>
      </c>
      <c r="F319" s="537">
        <v>0</v>
      </c>
      <c r="G319" s="537">
        <v>0</v>
      </c>
      <c r="H319" s="996">
        <v>0</v>
      </c>
      <c r="I319" s="537">
        <v>0</v>
      </c>
      <c r="J319" s="537">
        <v>0</v>
      </c>
      <c r="K319" s="514"/>
      <c r="L319" s="514"/>
    </row>
    <row r="320" spans="2:12">
      <c r="B320" s="540" t="s">
        <v>200</v>
      </c>
      <c r="C320" s="531"/>
      <c r="D320" s="531"/>
      <c r="E320" s="531"/>
      <c r="F320" s="531"/>
      <c r="G320" s="544">
        <f>SUM(G272:G319)</f>
        <v>1535520</v>
      </c>
      <c r="H320" s="998"/>
      <c r="I320" s="544">
        <f>SUM(I272:I319)</f>
        <v>28330</v>
      </c>
      <c r="J320" s="531"/>
      <c r="K320" s="514"/>
      <c r="L320" s="514"/>
    </row>
    <row r="321" spans="2:12">
      <c r="B321" s="540" t="s">
        <v>665</v>
      </c>
      <c r="C321" s="531"/>
      <c r="D321" s="531"/>
      <c r="E321" s="531"/>
      <c r="F321" s="531"/>
      <c r="G321" s="531"/>
      <c r="H321" s="998"/>
      <c r="I321" s="531"/>
      <c r="J321" s="531"/>
      <c r="K321" s="514"/>
      <c r="L321" s="514"/>
    </row>
    <row r="322" spans="2:12" ht="39" thickBot="1">
      <c r="C322" s="531"/>
      <c r="F322" s="470" t="s">
        <v>1128</v>
      </c>
      <c r="G322" s="470"/>
      <c r="H322" s="470" t="s">
        <v>1126</v>
      </c>
      <c r="I322" s="993" t="s">
        <v>1127</v>
      </c>
      <c r="J322" s="531"/>
      <c r="K322" s="514"/>
      <c r="L322" s="514"/>
    </row>
    <row r="323" spans="2:12" ht="13.5" thickTop="1">
      <c r="F323" s="1937" t="s">
        <v>817</v>
      </c>
      <c r="G323" s="531" t="s">
        <v>815</v>
      </c>
      <c r="H323" s="1038">
        <f>SUM(G272:G274,G281:G283)</f>
        <v>0</v>
      </c>
      <c r="I323" s="1039">
        <f>SUM(I272:I274,I281:I283)</f>
        <v>38</v>
      </c>
      <c r="J323" s="531"/>
      <c r="K323" s="514"/>
      <c r="L323" s="514"/>
    </row>
    <row r="324" spans="2:12">
      <c r="F324" s="1938"/>
      <c r="G324" s="514" t="s">
        <v>816</v>
      </c>
      <c r="H324" s="1040">
        <f>SUM(G275:G280)</f>
        <v>0</v>
      </c>
      <c r="I324" s="1041">
        <f>SUM(I275:I280)</f>
        <v>1225</v>
      </c>
      <c r="J324" s="514"/>
      <c r="K324" s="514"/>
      <c r="L324" s="514"/>
    </row>
    <row r="325" spans="2:12">
      <c r="F325" s="1938" t="s">
        <v>818</v>
      </c>
      <c r="G325" s="531" t="s">
        <v>815</v>
      </c>
      <c r="H325" s="1040">
        <f>SUM(G284:G286,G293:G295)</f>
        <v>309120</v>
      </c>
      <c r="I325" s="1041">
        <f>SUM(I284:I286,I293:I295)</f>
        <v>9999</v>
      </c>
      <c r="J325" s="514"/>
      <c r="K325" s="514"/>
      <c r="L325" s="514"/>
    </row>
    <row r="326" spans="2:12">
      <c r="B326" s="1031" t="s">
        <v>843</v>
      </c>
      <c r="C326" s="1032">
        <v>40</v>
      </c>
      <c r="D326" s="1033" t="s">
        <v>844</v>
      </c>
      <c r="F326" s="1938"/>
      <c r="G326" s="514" t="s">
        <v>816</v>
      </c>
      <c r="H326" s="1042">
        <f>SUM(G287:G292)</f>
        <v>309120</v>
      </c>
      <c r="I326" s="1043">
        <f>SUM(I287:I292)</f>
        <v>5789</v>
      </c>
    </row>
    <row r="327" spans="2:12">
      <c r="B327" s="1034" t="s">
        <v>845</v>
      </c>
      <c r="C327" s="1035">
        <v>100</v>
      </c>
      <c r="D327" s="1036" t="s">
        <v>844</v>
      </c>
      <c r="F327" s="1938" t="s">
        <v>819</v>
      </c>
      <c r="G327" s="531" t="s">
        <v>815</v>
      </c>
      <c r="H327" s="1042">
        <f>SUM(G296:G298,G305:G307)</f>
        <v>302400</v>
      </c>
      <c r="I327" s="1043">
        <f>SUM(I296:I298,I305:I307)</f>
        <v>6356</v>
      </c>
    </row>
    <row r="328" spans="2:12">
      <c r="F328" s="1938"/>
      <c r="G328" s="514" t="s">
        <v>816</v>
      </c>
      <c r="H328" s="1042">
        <f>SUM(G299:G304)</f>
        <v>614880</v>
      </c>
      <c r="I328" s="1043">
        <f>SUM(I299:I304)</f>
        <v>4160</v>
      </c>
    </row>
    <row r="329" spans="2:12">
      <c r="F329" s="1938" t="s">
        <v>820</v>
      </c>
      <c r="G329" s="531" t="s">
        <v>815</v>
      </c>
      <c r="H329" s="1042">
        <f>SUM(G308:G310,G317:G319)</f>
        <v>0</v>
      </c>
      <c r="I329" s="1043">
        <f>SUM(I308:I310,I317:I319)</f>
        <v>457</v>
      </c>
    </row>
    <row r="330" spans="2:12">
      <c r="F330" s="1939"/>
      <c r="G330" s="514" t="s">
        <v>816</v>
      </c>
      <c r="H330" s="1042">
        <f>SUM(G311:G316)</f>
        <v>0</v>
      </c>
      <c r="I330" s="1043">
        <f>SUM(I311:I316)</f>
        <v>306</v>
      </c>
    </row>
    <row r="331" spans="2:12">
      <c r="F331" s="1037" t="s">
        <v>200</v>
      </c>
      <c r="G331" s="1037"/>
      <c r="H331" s="1044">
        <f>SUM(H323:H330)</f>
        <v>1535520</v>
      </c>
      <c r="I331" s="1045">
        <f>SUM(I323:I330)</f>
        <v>28330</v>
      </c>
    </row>
  </sheetData>
  <mergeCells count="17">
    <mergeCell ref="C287:C292"/>
    <mergeCell ref="C293:C295"/>
    <mergeCell ref="C296:C298"/>
    <mergeCell ref="C299:C304"/>
    <mergeCell ref="C308:C310"/>
    <mergeCell ref="T76:W76"/>
    <mergeCell ref="C272:C274"/>
    <mergeCell ref="C275:C280"/>
    <mergeCell ref="C281:C283"/>
    <mergeCell ref="C284:C286"/>
    <mergeCell ref="F323:F324"/>
    <mergeCell ref="F325:F326"/>
    <mergeCell ref="F327:F328"/>
    <mergeCell ref="F329:F330"/>
    <mergeCell ref="C305:C307"/>
    <mergeCell ref="C311:C316"/>
    <mergeCell ref="C317:C319"/>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43"/>
  <sheetViews>
    <sheetView workbookViewId="0">
      <selection activeCell="G32" sqref="G32"/>
    </sheetView>
  </sheetViews>
  <sheetFormatPr defaultColWidth="9.140625" defaultRowHeight="15"/>
  <cols>
    <col min="2" max="2" width="20.7109375" customWidth="1"/>
    <col min="3" max="3" width="11" customWidth="1"/>
    <col min="4" max="4" width="10.5703125" customWidth="1"/>
    <col min="5" max="6" width="10.28515625" customWidth="1"/>
    <col min="7" max="7" width="18.28515625" customWidth="1"/>
    <col min="8" max="8" width="9.5703125" customWidth="1"/>
    <col min="10" max="10" width="14.5703125" customWidth="1"/>
    <col min="11" max="11" width="15.140625" customWidth="1"/>
  </cols>
  <sheetData>
    <row r="1" spans="2:11" s="348" customFormat="1" ht="18.75">
      <c r="B1" s="348" t="s">
        <v>1205</v>
      </c>
    </row>
    <row r="4" spans="2:11" ht="15.75" thickBot="1">
      <c r="B4" s="170" t="s">
        <v>192</v>
      </c>
      <c r="C4" s="154" t="s">
        <v>313</v>
      </c>
      <c r="D4" s="154" t="s">
        <v>20</v>
      </c>
    </row>
    <row r="5" spans="2:11" ht="15.75" thickTop="1">
      <c r="B5" s="149" t="s">
        <v>316</v>
      </c>
      <c r="C5" s="1205">
        <v>4745</v>
      </c>
      <c r="D5" s="1209" t="s">
        <v>1326</v>
      </c>
    </row>
    <row r="6" spans="2:11">
      <c r="B6" s="149" t="s">
        <v>315</v>
      </c>
      <c r="C6" s="1206">
        <v>1666</v>
      </c>
    </row>
    <row r="7" spans="2:11">
      <c r="B7" s="149" t="s">
        <v>308</v>
      </c>
      <c r="C7" s="1206">
        <v>290</v>
      </c>
    </row>
    <row r="8" spans="2:11">
      <c r="B8" s="149" t="s">
        <v>309</v>
      </c>
      <c r="C8" s="1207">
        <v>26</v>
      </c>
    </row>
    <row r="9" spans="2:11">
      <c r="B9" s="149" t="s">
        <v>312</v>
      </c>
      <c r="C9" s="1206">
        <v>7570</v>
      </c>
    </row>
    <row r="10" spans="2:11">
      <c r="B10" s="149" t="s">
        <v>314</v>
      </c>
      <c r="C10" s="1206">
        <v>5</v>
      </c>
    </row>
    <row r="11" spans="2:11">
      <c r="B11" s="149" t="s">
        <v>310</v>
      </c>
      <c r="C11" s="1206">
        <v>80110</v>
      </c>
    </row>
    <row r="12" spans="2:11">
      <c r="B12" s="149" t="s">
        <v>311</v>
      </c>
      <c r="C12" s="1206">
        <v>1716</v>
      </c>
      <c r="K12" s="150"/>
    </row>
    <row r="13" spans="2:11">
      <c r="B13" s="167"/>
      <c r="C13" s="165"/>
      <c r="D13" s="165"/>
      <c r="K13" s="150"/>
    </row>
    <row r="14" spans="2:11">
      <c r="K14" s="150"/>
    </row>
    <row r="15" spans="2:11">
      <c r="K15" s="150"/>
    </row>
    <row r="16" spans="2:11" ht="18.75" thickBot="1">
      <c r="B16" s="154" t="s">
        <v>305</v>
      </c>
      <c r="C16" s="154" t="s">
        <v>265</v>
      </c>
      <c r="D16" s="154" t="s">
        <v>266</v>
      </c>
      <c r="E16" s="154" t="s">
        <v>267</v>
      </c>
      <c r="F16" s="154" t="s">
        <v>264</v>
      </c>
      <c r="G16" s="154" t="s">
        <v>20</v>
      </c>
      <c r="K16" s="150"/>
    </row>
    <row r="17" spans="2:7" ht="15.75" thickTop="1">
      <c r="B17" s="1947" t="s">
        <v>317</v>
      </c>
      <c r="C17" s="1947"/>
      <c r="D17" s="1947"/>
      <c r="E17" s="1947"/>
      <c r="F17" s="1947"/>
    </row>
    <row r="18" spans="2:7">
      <c r="B18" s="149" t="s">
        <v>307</v>
      </c>
      <c r="C18" s="1131">
        <v>2686.5347074711176</v>
      </c>
      <c r="D18" s="1132">
        <v>4.3438958108185597</v>
      </c>
      <c r="E18" s="1132">
        <v>2.1507238844896481E-2</v>
      </c>
      <c r="F18" s="164">
        <f t="shared" ref="F18:F27" si="0">C18+D18*CH4_GWP+E18*N2O_GWP</f>
        <v>2801.5412599173605</v>
      </c>
      <c r="G18" t="s">
        <v>1402</v>
      </c>
    </row>
    <row r="19" spans="2:7">
      <c r="B19" s="149" t="s">
        <v>315</v>
      </c>
      <c r="C19" s="1131">
        <v>2020.414085028548</v>
      </c>
      <c r="D19" s="1132">
        <v>3.5338347074988792</v>
      </c>
      <c r="E19" s="1132">
        <v>2.2565465521633507E-2</v>
      </c>
      <c r="F19" s="164">
        <f t="shared" si="0"/>
        <v>2115.4844614414669</v>
      </c>
      <c r="G19" t="s">
        <v>1402</v>
      </c>
    </row>
    <row r="20" spans="2:7">
      <c r="B20" s="149" t="s">
        <v>308</v>
      </c>
      <c r="C20" s="1131">
        <v>5203.8326508116588</v>
      </c>
      <c r="D20" s="1132">
        <v>11.252629437045652</v>
      </c>
      <c r="E20" s="1132">
        <v>9.0114831671468054E-2</v>
      </c>
      <c r="F20" s="164">
        <f t="shared" si="0"/>
        <v>5512.0026065758975</v>
      </c>
      <c r="G20" t="s">
        <v>1402</v>
      </c>
    </row>
    <row r="21" spans="2:7">
      <c r="B21" s="149" t="s">
        <v>309</v>
      </c>
      <c r="C21" s="1131">
        <v>3083.2365409557851</v>
      </c>
      <c r="D21" s="1312">
        <v>6.3074319647980488</v>
      </c>
      <c r="E21" s="1132">
        <v>5.5471337178993906E-2</v>
      </c>
      <c r="F21" s="164">
        <f t="shared" si="0"/>
        <v>3257.4527985550767</v>
      </c>
      <c r="G21" t="s">
        <v>1402</v>
      </c>
    </row>
    <row r="22" spans="2:7">
      <c r="B22" s="149" t="s">
        <v>312</v>
      </c>
      <c r="C22" s="1131">
        <v>639.47359234120518</v>
      </c>
      <c r="D22" s="1312">
        <v>0.41830358974470566</v>
      </c>
      <c r="E22" s="1132">
        <v>3.0829401433980831E-3</v>
      </c>
      <c r="F22" s="164">
        <f t="shared" si="0"/>
        <v>650.84989824755542</v>
      </c>
      <c r="G22" t="s">
        <v>268</v>
      </c>
    </row>
    <row r="23" spans="2:7">
      <c r="B23" s="149" t="s">
        <v>310</v>
      </c>
      <c r="C23" s="1131">
        <v>300</v>
      </c>
      <c r="D23" s="1312">
        <v>0.2</v>
      </c>
      <c r="E23" s="1132">
        <v>0</v>
      </c>
      <c r="F23" s="164">
        <f t="shared" si="0"/>
        <v>305</v>
      </c>
      <c r="G23" t="s">
        <v>268</v>
      </c>
    </row>
    <row r="24" spans="2:7">
      <c r="B24" s="149" t="s">
        <v>311</v>
      </c>
      <c r="C24" s="1131">
        <v>2900</v>
      </c>
      <c r="D24" s="1312">
        <v>0.7</v>
      </c>
      <c r="E24" s="1132">
        <v>2E-3</v>
      </c>
      <c r="F24" s="164">
        <f>C24+D24*CH4_GWP+E24*N2O_GWP</f>
        <v>2918.096</v>
      </c>
      <c r="G24" t="s">
        <v>268</v>
      </c>
    </row>
    <row r="25" spans="2:7">
      <c r="B25" s="167"/>
      <c r="C25" s="165"/>
      <c r="D25" s="165"/>
      <c r="E25" s="165"/>
      <c r="F25" s="165"/>
      <c r="G25" s="163"/>
    </row>
    <row r="26" spans="2:7">
      <c r="B26" s="147" t="s">
        <v>306</v>
      </c>
      <c r="C26" s="150"/>
      <c r="E26" s="150"/>
      <c r="F26" s="164"/>
    </row>
    <row r="27" spans="2:7">
      <c r="B27" s="149" t="s">
        <v>307</v>
      </c>
      <c r="C27" s="164">
        <f t="shared" ref="C27:E31" si="1">$C5*C18/1000</f>
        <v>12747.607186950452</v>
      </c>
      <c r="D27" s="179">
        <f t="shared" si="1"/>
        <v>20.611785622334065</v>
      </c>
      <c r="E27" s="184">
        <f t="shared" si="1"/>
        <v>0.1020518483190338</v>
      </c>
      <c r="F27" s="164">
        <f t="shared" si="0"/>
        <v>13293.313278307876</v>
      </c>
    </row>
    <row r="28" spans="2:7">
      <c r="B28" s="149" t="s">
        <v>315</v>
      </c>
      <c r="C28" s="164">
        <f t="shared" si="1"/>
        <v>3366.009865657561</v>
      </c>
      <c r="D28" s="179">
        <f t="shared" si="1"/>
        <v>5.887368622693133</v>
      </c>
      <c r="E28" s="184">
        <f t="shared" si="1"/>
        <v>3.7594065559041427E-2</v>
      </c>
      <c r="F28" s="164">
        <f t="shared" ref="F28:F34" si="2">C28+D28*CH4_GWP+E28*N2O_GWP</f>
        <v>3524.3971127614836</v>
      </c>
    </row>
    <row r="29" spans="2:7">
      <c r="B29" s="149" t="s">
        <v>308</v>
      </c>
      <c r="C29" s="164">
        <f t="shared" si="1"/>
        <v>1509.1114687353811</v>
      </c>
      <c r="D29" s="179">
        <f t="shared" si="1"/>
        <v>3.2632625367432393</v>
      </c>
      <c r="E29" s="184">
        <f t="shared" si="1"/>
        <v>2.6133301184725736E-2</v>
      </c>
      <c r="F29" s="164">
        <f t="shared" si="2"/>
        <v>1598.4807559070105</v>
      </c>
    </row>
    <row r="30" spans="2:7">
      <c r="B30" s="149" t="s">
        <v>309</v>
      </c>
      <c r="C30" s="179">
        <f t="shared" si="1"/>
        <v>80.164150064850418</v>
      </c>
      <c r="D30" s="179">
        <f t="shared" si="1"/>
        <v>0.16399323108474925</v>
      </c>
      <c r="E30" s="184">
        <f t="shared" si="1"/>
        <v>1.4422547666538413E-3</v>
      </c>
      <c r="F30" s="179">
        <f t="shared" si="2"/>
        <v>84.69377276243199</v>
      </c>
    </row>
    <row r="31" spans="2:7">
      <c r="B31" s="149" t="s">
        <v>312</v>
      </c>
      <c r="C31" s="164">
        <f t="shared" si="1"/>
        <v>4840.8150940229234</v>
      </c>
      <c r="D31" s="179">
        <f t="shared" si="1"/>
        <v>3.166558174367422</v>
      </c>
      <c r="E31" s="184">
        <f t="shared" si="1"/>
        <v>2.3337856885523488E-2</v>
      </c>
      <c r="F31" s="164">
        <f t="shared" si="2"/>
        <v>4926.9337297339953</v>
      </c>
    </row>
    <row r="32" spans="2:7">
      <c r="B32" s="149" t="s">
        <v>310</v>
      </c>
      <c r="C32" s="164">
        <f t="shared" ref="C32:E33" si="3">$C11*C23/1000</f>
        <v>24033</v>
      </c>
      <c r="D32" s="179">
        <f t="shared" si="3"/>
        <v>16.021999999999998</v>
      </c>
      <c r="E32" s="184">
        <f t="shared" si="3"/>
        <v>0</v>
      </c>
      <c r="F32" s="164">
        <f t="shared" si="2"/>
        <v>24433.55</v>
      </c>
    </row>
    <row r="33" spans="2:6">
      <c r="B33" s="149" t="s">
        <v>311</v>
      </c>
      <c r="C33" s="164">
        <f t="shared" si="3"/>
        <v>4976.3999999999996</v>
      </c>
      <c r="D33" s="179">
        <f t="shared" si="3"/>
        <v>1.2011999999999998</v>
      </c>
      <c r="E33" s="184">
        <f t="shared" si="3"/>
        <v>3.4320000000000002E-3</v>
      </c>
      <c r="F33" s="164">
        <f t="shared" si="2"/>
        <v>5007.4527359999993</v>
      </c>
    </row>
    <row r="34" spans="2:6" ht="15.75" thickBot="1">
      <c r="B34" s="154" t="s">
        <v>200</v>
      </c>
      <c r="C34" s="1210">
        <f>SUM(C27:C33)</f>
        <v>51553.107765431174</v>
      </c>
      <c r="D34" s="1313">
        <f>SUM(D27:D33)</f>
        <v>50.316168187222608</v>
      </c>
      <c r="E34" s="1208">
        <f>SUM(E27:E33)</f>
        <v>0.19399132671497826</v>
      </c>
      <c r="F34" s="1210">
        <f t="shared" si="2"/>
        <v>52868.821385472802</v>
      </c>
    </row>
    <row r="35" spans="2:6" ht="15.75" thickTop="1"/>
    <row r="38" spans="2:6" ht="15.75">
      <c r="B38" s="1211" t="s">
        <v>1206</v>
      </c>
    </row>
    <row r="40" spans="2:6" ht="15.75" thickBot="1">
      <c r="B40" s="154" t="s">
        <v>526</v>
      </c>
      <c r="C40" s="1210">
        <v>10512000</v>
      </c>
      <c r="D40" s="1208" t="s">
        <v>1207</v>
      </c>
    </row>
    <row r="41" spans="2:6" ht="15.75" thickTop="1">
      <c r="B41" t="s">
        <v>1208</v>
      </c>
    </row>
    <row r="43" spans="2:6">
      <c r="B43" s="152" t="s">
        <v>1214</v>
      </c>
    </row>
  </sheetData>
  <mergeCells count="1">
    <mergeCell ref="B17:F1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C16" sqref="C16"/>
    </sheetView>
  </sheetViews>
  <sheetFormatPr defaultColWidth="11.42578125" defaultRowHeight="15"/>
  <cols>
    <col min="1" max="1" width="11.42578125" style="183"/>
    <col min="2" max="2" width="26" style="183" customWidth="1"/>
    <col min="3" max="3" width="21.28515625" style="183" customWidth="1"/>
    <col min="4" max="4" width="11.42578125" style="183"/>
    <col min="5" max="5" width="14.28515625" style="183" customWidth="1"/>
    <col min="6" max="6" width="14.85546875" style="183" customWidth="1"/>
    <col min="7" max="16384" width="11.42578125" style="183"/>
  </cols>
  <sheetData>
    <row r="2" spans="2:7" ht="18.75">
      <c r="B2" s="348" t="s">
        <v>356</v>
      </c>
    </row>
    <row r="3" spans="2:7" ht="15.75" thickBot="1">
      <c r="B3" s="346" t="s">
        <v>1338</v>
      </c>
      <c r="C3" s="346"/>
      <c r="D3" s="346"/>
      <c r="E3" s="346"/>
      <c r="F3" s="346"/>
    </row>
    <row r="4" spans="2:7" ht="15.75" thickTop="1">
      <c r="B4" s="183" t="s">
        <v>1337</v>
      </c>
      <c r="D4" s="261">
        <f>'Direct End use'!E24*1000000</f>
        <v>1775000</v>
      </c>
      <c r="E4" s="183" t="s">
        <v>279</v>
      </c>
    </row>
    <row r="5" spans="2:7">
      <c r="B5" s="183" t="s">
        <v>1252</v>
      </c>
      <c r="D5" s="261">
        <v>10000</v>
      </c>
      <c r="E5" s="183" t="s">
        <v>279</v>
      </c>
    </row>
    <row r="6" spans="2:7">
      <c r="B6" s="209" t="s">
        <v>1257</v>
      </c>
      <c r="C6" s="209"/>
      <c r="D6" s="209">
        <f>D4/D5</f>
        <v>177.5</v>
      </c>
      <c r="E6" s="209"/>
      <c r="F6" s="209"/>
    </row>
    <row r="8" spans="2:7" ht="15.75" thickBot="1">
      <c r="B8" s="346" t="s">
        <v>1339</v>
      </c>
      <c r="C8" s="346"/>
      <c r="D8" s="1220" t="s">
        <v>1101</v>
      </c>
      <c r="E8" s="1220" t="s">
        <v>1260</v>
      </c>
      <c r="F8" s="1220"/>
    </row>
    <row r="9" spans="2:7" ht="15.75" thickTop="1">
      <c r="B9" s="183" t="s">
        <v>1259</v>
      </c>
      <c r="D9" s="193">
        <f>Input!C234</f>
        <v>17</v>
      </c>
      <c r="E9" s="193">
        <f>Input!C235</f>
        <v>175</v>
      </c>
      <c r="F9" s="183" t="s">
        <v>1262</v>
      </c>
    </row>
    <row r="10" spans="2:7">
      <c r="B10" s="183" t="s">
        <v>1258</v>
      </c>
      <c r="D10" s="192">
        <f>D9*D6</f>
        <v>3017.5</v>
      </c>
      <c r="E10" s="192">
        <f>E9*D6</f>
        <v>31062.5</v>
      </c>
      <c r="F10" s="183" t="s">
        <v>1261</v>
      </c>
    </row>
    <row r="11" spans="2:7">
      <c r="B11" s="208" t="s">
        <v>1263</v>
      </c>
      <c r="C11" s="208"/>
      <c r="D11" s="411">
        <f>Input!C241</f>
        <v>17738</v>
      </c>
      <c r="E11" s="411">
        <f>D11</f>
        <v>17738</v>
      </c>
      <c r="F11" s="208" t="s">
        <v>1459</v>
      </c>
    </row>
    <row r="12" spans="2:7">
      <c r="B12" s="241" t="s">
        <v>1264</v>
      </c>
      <c r="C12" s="241"/>
      <c r="D12" s="1268">
        <f>D11*D10/1000000</f>
        <v>53.524414999999998</v>
      </c>
      <c r="E12" s="1268">
        <f>E11*E10/1000000</f>
        <v>550.986625</v>
      </c>
      <c r="F12" s="241" t="s">
        <v>429</v>
      </c>
    </row>
    <row r="14" spans="2:7">
      <c r="B14" s="668"/>
      <c r="C14" s="1109" t="s">
        <v>1340</v>
      </c>
      <c r="D14" s="1845" t="s">
        <v>1439</v>
      </c>
      <c r="E14" s="1845"/>
      <c r="F14" s="1845"/>
      <c r="G14" s="1845"/>
    </row>
    <row r="15" spans="2:7" ht="18.75" thickBot="1">
      <c r="B15" s="215" t="s">
        <v>263</v>
      </c>
      <c r="C15" s="1110" t="s">
        <v>429</v>
      </c>
      <c r="D15" s="216" t="s">
        <v>1129</v>
      </c>
      <c r="E15" s="216" t="s">
        <v>1130</v>
      </c>
      <c r="F15" s="216" t="s">
        <v>1274</v>
      </c>
      <c r="G15" s="216" t="s">
        <v>1275</v>
      </c>
    </row>
    <row r="16" spans="2:7" ht="15.75" thickTop="1">
      <c r="B16" s="183" t="s">
        <v>1101</v>
      </c>
      <c r="C16" s="1413">
        <f>D12</f>
        <v>53.524414999999998</v>
      </c>
      <c r="D16" s="1229">
        <f>Factors!D63*$C$16/1000000</f>
        <v>4.1849260391675385</v>
      </c>
      <c r="E16" s="1230">
        <f>Factors!E63*$C$16/1000000</f>
        <v>2.25926555715E-4</v>
      </c>
      <c r="F16" s="1230">
        <f>Factors!F63*$C$16/1000000</f>
        <v>3.2114649E-5</v>
      </c>
      <c r="G16" s="228">
        <f t="shared" ref="G16:G17" si="0">D16+E16*CH4_GWP+F16*N2O_GWP</f>
        <v>4.2001443684624133</v>
      </c>
    </row>
    <row r="17" spans="2:7">
      <c r="B17" s="209" t="s">
        <v>1260</v>
      </c>
      <c r="C17" s="1228">
        <f>E12</f>
        <v>550.986625</v>
      </c>
      <c r="D17" s="1228">
        <f>Factors!D64*$C$17/1000000</f>
        <v>43.079415721189754</v>
      </c>
      <c r="E17" s="1269">
        <f>Factors!E64*$C$17/1000000</f>
        <v>2.6171763504281589E-3</v>
      </c>
      <c r="F17" s="1269">
        <f>Factors!F64*$C$17/1000000</f>
        <v>9.6548358728488684E-5</v>
      </c>
      <c r="G17" s="233">
        <f t="shared" si="0"/>
        <v>43.173616540851548</v>
      </c>
    </row>
  </sheetData>
  <mergeCells count="1">
    <mergeCell ref="D14:G1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3"/>
  <sheetViews>
    <sheetView workbookViewId="0">
      <selection activeCell="M10" sqref="M10:M23"/>
    </sheetView>
  </sheetViews>
  <sheetFormatPr defaultColWidth="11.42578125" defaultRowHeight="15"/>
  <cols>
    <col min="1" max="1" width="11.42578125" style="183"/>
    <col min="2" max="2" width="31.28515625" style="183" customWidth="1"/>
    <col min="3" max="3" width="12.85546875" style="183" customWidth="1"/>
    <col min="4" max="16384" width="11.42578125" style="183"/>
  </cols>
  <sheetData>
    <row r="2" spans="2:10" ht="15" customHeight="1">
      <c r="B2" s="348" t="s">
        <v>1317</v>
      </c>
    </row>
    <row r="4" spans="2:10">
      <c r="B4" s="668" t="s">
        <v>1342</v>
      </c>
      <c r="C4" s="668"/>
      <c r="D4" s="1846" t="s">
        <v>526</v>
      </c>
      <c r="E4" s="1846"/>
    </row>
    <row r="5" spans="2:10" ht="15.75" thickBot="1">
      <c r="B5" s="1270"/>
      <c r="C5" s="1270" t="s">
        <v>1145</v>
      </c>
      <c r="D5" s="1270" t="s">
        <v>1267</v>
      </c>
      <c r="E5" s="1270" t="s">
        <v>546</v>
      </c>
    </row>
    <row r="6" spans="2:10" ht="15.75" thickTop="1">
      <c r="B6" s="193" t="s">
        <v>333</v>
      </c>
      <c r="C6" s="183" t="s">
        <v>1341</v>
      </c>
      <c r="D6" s="191">
        <f>'Direct End use'!E27</f>
        <v>3.55</v>
      </c>
      <c r="E6" s="192">
        <f>'Direct End use'!F27</f>
        <v>273.90229303548716</v>
      </c>
    </row>
    <row r="7" spans="2:10">
      <c r="B7" s="1261" t="s">
        <v>222</v>
      </c>
      <c r="C7" s="209" t="s">
        <v>1341</v>
      </c>
      <c r="D7" s="1227">
        <f>'Direct End use'!E28</f>
        <v>1.9339813064195988</v>
      </c>
      <c r="E7" s="232">
        <f>'Direct End use'!F28</f>
        <v>246.51206373193844</v>
      </c>
    </row>
    <row r="8" spans="2:10">
      <c r="J8" s="183" t="s">
        <v>1397</v>
      </c>
    </row>
    <row r="9" spans="2:10">
      <c r="J9" s="183" t="s">
        <v>1398</v>
      </c>
    </row>
    <row r="10" spans="2:10" ht="18.75">
      <c r="B10" s="1236"/>
      <c r="C10" s="1949" t="s">
        <v>1269</v>
      </c>
      <c r="D10" s="1949"/>
      <c r="E10" s="1949"/>
      <c r="F10" s="1949"/>
      <c r="G10" s="1949"/>
      <c r="H10" s="1949"/>
      <c r="I10" s="668"/>
      <c r="J10" s="668"/>
    </row>
    <row r="11" spans="2:10" ht="18.75" thickBot="1">
      <c r="B11" s="1234" t="s">
        <v>1268</v>
      </c>
      <c r="C11" s="1234" t="s">
        <v>116</v>
      </c>
      <c r="D11" s="1235" t="s">
        <v>119</v>
      </c>
      <c r="E11" s="1235" t="s">
        <v>1276</v>
      </c>
      <c r="F11" s="1235" t="s">
        <v>1277</v>
      </c>
      <c r="G11" s="1235" t="s">
        <v>1278</v>
      </c>
      <c r="H11" s="1235" t="s">
        <v>1279</v>
      </c>
      <c r="I11" s="1235" t="s">
        <v>1280</v>
      </c>
      <c r="J11" s="1235" t="s">
        <v>1280</v>
      </c>
    </row>
    <row r="12" spans="2:10" ht="15.75" hidden="1" thickTop="1">
      <c r="B12" s="1948" t="s">
        <v>1270</v>
      </c>
      <c r="C12" s="1448"/>
      <c r="D12" s="1448"/>
      <c r="E12" s="1448"/>
      <c r="F12" s="1448"/>
      <c r="G12" s="1448"/>
      <c r="H12" s="1448"/>
      <c r="I12" s="1448"/>
      <c r="J12" s="1448"/>
    </row>
    <row r="13" spans="2:10" hidden="1">
      <c r="B13" s="1948"/>
      <c r="C13" s="1449"/>
      <c r="D13" s="1449"/>
      <c r="E13" s="1449"/>
      <c r="F13" s="1449"/>
      <c r="G13" s="1449"/>
      <c r="H13" s="1449"/>
      <c r="I13" s="1450"/>
      <c r="J13" s="1450"/>
    </row>
    <row r="14" spans="2:10" ht="30.75" thickTop="1">
      <c r="B14" s="1451" t="s">
        <v>1272</v>
      </c>
      <c r="C14" s="1451">
        <v>21.07</v>
      </c>
      <c r="D14" s="1452">
        <v>1167</v>
      </c>
      <c r="E14" s="1451">
        <v>66.09</v>
      </c>
      <c r="F14" s="1453">
        <f>Factors!E75</f>
        <v>309.76673694124082</v>
      </c>
      <c r="G14" s="1453">
        <f>Factors!F75</f>
        <v>3.2506528037593428E-2</v>
      </c>
      <c r="H14" s="1452">
        <f>I14-C14*44/14-D14*44/28</f>
        <v>55559.264330554441</v>
      </c>
      <c r="I14" s="1454">
        <f>Factors!D75</f>
        <v>57459.341473411587</v>
      </c>
      <c r="J14" s="1452">
        <f>H14+C14*VOC_C_Ratio/CO2_C_Ratio+D14*CO_C_Ratio/CO2_C_Ratio</f>
        <v>57458.367252252043</v>
      </c>
    </row>
    <row r="15" spans="2:10" ht="15.75" thickBot="1">
      <c r="B15" s="145" t="s">
        <v>1343</v>
      </c>
      <c r="C15" s="1208">
        <f>C13+C14</f>
        <v>21.07</v>
      </c>
      <c r="D15" s="1210">
        <f t="shared" ref="D15:H15" si="0">D13+D14</f>
        <v>1167</v>
      </c>
      <c r="E15" s="1208">
        <f t="shared" si="0"/>
        <v>66.09</v>
      </c>
      <c r="F15" s="1313">
        <f t="shared" si="0"/>
        <v>309.76673694124082</v>
      </c>
      <c r="G15" s="1208">
        <f t="shared" si="0"/>
        <v>3.2506528037593428E-2</v>
      </c>
      <c r="H15" s="1210">
        <f t="shared" si="0"/>
        <v>55559.264330554441</v>
      </c>
      <c r="I15" s="1210">
        <f>I13+I14</f>
        <v>57459.341473411587</v>
      </c>
      <c r="J15" s="1210">
        <f>J13+J14</f>
        <v>57458.367252252043</v>
      </c>
    </row>
    <row r="16" spans="2:10" ht="30.75" thickTop="1">
      <c r="B16" s="1455" t="s">
        <v>1271</v>
      </c>
      <c r="C16" s="1455">
        <v>31.52</v>
      </c>
      <c r="D16" s="1455">
        <v>94.58</v>
      </c>
      <c r="E16" s="1455">
        <v>228.4</v>
      </c>
      <c r="F16" s="1456">
        <f>Factors!E64</f>
        <v>4.7499816359937208</v>
      </c>
      <c r="G16" s="1456">
        <f>Factors!F64</f>
        <v>0.17522813503592519</v>
      </c>
      <c r="H16" s="1452">
        <f>I16-C16*44/14-D16*44/28</f>
        <v>77938.266888360944</v>
      </c>
      <c r="I16" s="1457">
        <f>Factors!D64</f>
        <v>78185.955459789518</v>
      </c>
      <c r="J16" s="1457">
        <f>H16+C16*VOC_C_Ratio/CO2_C_Ratio+D16*CO_C_Ratio/CO2_C_Ratio</f>
        <v>78185.010185001331</v>
      </c>
    </row>
    <row r="17" spans="2:10">
      <c r="B17" s="1948" t="s">
        <v>1270</v>
      </c>
      <c r="C17" s="1448"/>
      <c r="D17" s="1448"/>
      <c r="E17" s="1448"/>
      <c r="F17" s="1448"/>
      <c r="G17" s="1448"/>
      <c r="H17" s="1448"/>
      <c r="I17" s="1448"/>
      <c r="J17" s="1448"/>
    </row>
    <row r="18" spans="2:10">
      <c r="B18" s="1948"/>
      <c r="C18" s="1449">
        <v>0.308</v>
      </c>
      <c r="D18" s="1449">
        <v>1.2889999999999999</v>
      </c>
      <c r="E18" s="1449">
        <v>7.2990000000000004</v>
      </c>
      <c r="F18" s="1449">
        <v>104.5</v>
      </c>
      <c r="G18" s="1449">
        <v>1.7000000000000001E-2</v>
      </c>
      <c r="H18" s="1449">
        <v>753</v>
      </c>
      <c r="I18" s="1450">
        <f>H18+C18*VOC_C_Ratio/CO2_C_Ratio+D18*CO_C_Ratio/CO2_C_Ratio</f>
        <v>755.98422146152859</v>
      </c>
      <c r="J18" s="1450">
        <f>H18+C18*VOC_C_Ratio/CO2_C_Ratio+D18*CO_C_Ratio/CO2_C_Ratio</f>
        <v>755.98422146152859</v>
      </c>
    </row>
    <row r="19" spans="2:10">
      <c r="B19"/>
      <c r="C19"/>
      <c r="D19"/>
      <c r="E19"/>
      <c r="F19"/>
      <c r="G19"/>
      <c r="H19"/>
      <c r="I19"/>
      <c r="J19"/>
    </row>
    <row r="20" spans="2:10" ht="18" customHeight="1">
      <c r="B20" s="1109"/>
      <c r="C20" s="1109" t="s">
        <v>526</v>
      </c>
      <c r="D20" s="1848" t="s">
        <v>1439</v>
      </c>
      <c r="E20" s="1848"/>
      <c r="F20" s="1848"/>
      <c r="G20" s="1848"/>
      <c r="H20" s="1233"/>
      <c r="I20" s="1233"/>
    </row>
    <row r="21" spans="2:10" ht="15" customHeight="1" thickBot="1">
      <c r="B21" s="215" t="s">
        <v>263</v>
      </c>
      <c r="C21" s="1110" t="s">
        <v>429</v>
      </c>
      <c r="D21" s="216" t="s">
        <v>1281</v>
      </c>
      <c r="E21" s="216" t="s">
        <v>1130</v>
      </c>
      <c r="F21" s="216" t="s">
        <v>1274</v>
      </c>
      <c r="G21" s="216" t="s">
        <v>1275</v>
      </c>
    </row>
    <row r="22" spans="2:10" ht="15.75" thickTop="1">
      <c r="B22" s="183" t="s">
        <v>1344</v>
      </c>
      <c r="C22" s="261">
        <f>E6*1000</f>
        <v>273902.29303548718</v>
      </c>
      <c r="D22" s="265">
        <f>I15*C22/1000000</f>
        <v>15738.245385876504</v>
      </c>
      <c r="E22" s="1229">
        <f>F15*C22/1000000</f>
        <v>84.845819554326411</v>
      </c>
      <c r="F22" s="1229">
        <f>G15*C22/1000000</f>
        <v>8.9036125681191958E-3</v>
      </c>
      <c r="G22" s="192">
        <f t="shared" ref="G22" si="1">D22+E22*CH4_GWP+F22*N2O_GWP</f>
        <v>17862.044151279966</v>
      </c>
    </row>
    <row r="23" spans="2:10">
      <c r="B23" s="209" t="s">
        <v>1273</v>
      </c>
      <c r="C23" s="345">
        <f>E7*1000</f>
        <v>246512.06373193843</v>
      </c>
      <c r="D23" s="1101">
        <f>I16*C23/1000000</f>
        <v>19273.781235246133</v>
      </c>
      <c r="E23" s="1237">
        <f>F16*C23/1000000</f>
        <v>1.1709277757776213</v>
      </c>
      <c r="F23" s="1237">
        <f>G16*C23/1000000</f>
        <v>4.3195849191604699E-2</v>
      </c>
      <c r="G23" s="232">
        <f>D23+E23*CH4_GWP+F23*N2O_GWP</f>
        <v>19315.926792699673</v>
      </c>
    </row>
  </sheetData>
  <mergeCells count="5">
    <mergeCell ref="B12:B13"/>
    <mergeCell ref="C10:H10"/>
    <mergeCell ref="D4:E4"/>
    <mergeCell ref="D20:G20"/>
    <mergeCell ref="B17:B1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91"/>
  <sheetViews>
    <sheetView topLeftCell="A55" zoomScale="90" zoomScaleNormal="90" zoomScalePageLayoutView="70" workbookViewId="0">
      <selection activeCell="P5" sqref="P5"/>
    </sheetView>
  </sheetViews>
  <sheetFormatPr defaultColWidth="9.140625" defaultRowHeight="15"/>
  <cols>
    <col min="1" max="1" width="1.28515625" style="568" customWidth="1"/>
    <col min="2" max="2" width="34.140625" style="568" customWidth="1"/>
    <col min="3" max="9" width="9" style="568" customWidth="1"/>
    <col min="10" max="10" width="10.5703125" style="568" customWidth="1"/>
    <col min="11" max="11" width="34.42578125" style="568" customWidth="1"/>
    <col min="12" max="12" width="11.7109375" style="568" customWidth="1"/>
    <col min="13" max="14" width="10.5703125" style="568" customWidth="1"/>
    <col min="15" max="16" width="11.28515625" style="568" customWidth="1"/>
    <col min="17" max="17" width="12.140625" style="568" bestFit="1" customWidth="1"/>
    <col min="18" max="19" width="14.42578125" style="568" bestFit="1" customWidth="1"/>
    <col min="20" max="20" width="12.140625" style="568" bestFit="1" customWidth="1"/>
    <col min="21" max="21" width="14.42578125" style="568" bestFit="1" customWidth="1"/>
    <col min="22" max="22" width="13.28515625" style="568" bestFit="1" customWidth="1"/>
    <col min="23" max="25" width="12.140625" style="568" bestFit="1" customWidth="1"/>
    <col min="26" max="26" width="16.7109375" style="568" bestFit="1" customWidth="1"/>
    <col min="27" max="27" width="12.140625" style="568" bestFit="1" customWidth="1"/>
    <col min="28" max="29" width="14.42578125" style="568" bestFit="1" customWidth="1"/>
    <col min="30" max="30" width="12.140625" style="568" bestFit="1" customWidth="1"/>
    <col min="31" max="31" width="14.42578125" style="568" bestFit="1" customWidth="1"/>
    <col min="32" max="32" width="13.28515625" style="568" bestFit="1" customWidth="1"/>
    <col min="33" max="35" width="12.140625" style="568" bestFit="1" customWidth="1"/>
    <col min="36" max="36" width="16.7109375" style="568" bestFit="1" customWidth="1"/>
    <col min="37" max="37" width="12.140625" style="568" bestFit="1" customWidth="1"/>
    <col min="38" max="38" width="14.42578125" style="568" bestFit="1" customWidth="1"/>
    <col min="39" max="16384" width="9.140625" style="568"/>
  </cols>
  <sheetData>
    <row r="1" spans="2:38" ht="23.25">
      <c r="B1" s="1954" t="s">
        <v>948</v>
      </c>
      <c r="C1" s="1954"/>
      <c r="D1" s="1954"/>
      <c r="E1" s="1954"/>
      <c r="F1" s="1954"/>
      <c r="G1" s="1954"/>
      <c r="H1" s="1954"/>
      <c r="I1" s="1954"/>
      <c r="J1" s="1954"/>
      <c r="K1" s="1954"/>
      <c r="L1" s="1954"/>
      <c r="M1" s="1954"/>
      <c r="N1" s="1954"/>
      <c r="O1" s="1954"/>
      <c r="P1" s="1954"/>
      <c r="Q1" s="1954"/>
      <c r="R1" s="1954"/>
      <c r="S1" s="1954"/>
      <c r="T1" s="1954"/>
      <c r="U1" s="1954"/>
      <c r="V1" s="1954"/>
      <c r="W1" s="1954"/>
      <c r="X1" s="1954"/>
      <c r="Y1" s="1954"/>
      <c r="Z1" s="1954"/>
      <c r="AA1" s="1954"/>
      <c r="AB1" s="1954"/>
      <c r="AC1" s="1954"/>
      <c r="AD1" s="1954"/>
      <c r="AE1" s="1954"/>
      <c r="AF1" s="1954"/>
      <c r="AG1" s="1954"/>
      <c r="AH1" s="1954"/>
      <c r="AI1" s="1954"/>
      <c r="AJ1" s="1954"/>
      <c r="AK1" s="1954"/>
      <c r="AL1" s="1954"/>
    </row>
    <row r="2" spans="2:38" ht="18.75">
      <c r="B2" s="1955"/>
      <c r="C2" s="1955"/>
      <c r="D2" s="1955"/>
      <c r="E2" s="1955"/>
      <c r="F2" s="1955"/>
      <c r="G2" s="1955"/>
      <c r="H2" s="1955"/>
      <c r="I2" s="1955"/>
      <c r="J2" s="1955"/>
      <c r="K2" s="1955"/>
      <c r="L2" s="1955"/>
      <c r="M2" s="1955"/>
      <c r="N2" s="1955"/>
      <c r="O2" s="1955"/>
      <c r="P2" s="1955"/>
      <c r="Q2" s="1955"/>
      <c r="R2" s="1955"/>
      <c r="S2" s="1955"/>
      <c r="T2" s="1955"/>
      <c r="U2" s="1955"/>
      <c r="V2" s="1955"/>
      <c r="W2" s="1955"/>
      <c r="X2" s="1955"/>
      <c r="Y2" s="1955"/>
      <c r="Z2" s="1955"/>
      <c r="AA2" s="1955"/>
      <c r="AB2" s="1955"/>
      <c r="AC2" s="1955"/>
      <c r="AD2" s="1955"/>
      <c r="AE2" s="1955"/>
      <c r="AF2" s="1955"/>
      <c r="AG2" s="1955"/>
      <c r="AH2" s="1955"/>
      <c r="AI2" s="1955"/>
      <c r="AJ2" s="1955"/>
      <c r="AK2" s="1955"/>
      <c r="AL2" s="1955"/>
    </row>
    <row r="3" spans="2:38" ht="18.75">
      <c r="B3" s="569" t="s">
        <v>949</v>
      </c>
      <c r="C3" s="569"/>
      <c r="D3" s="569"/>
      <c r="E3" s="569"/>
      <c r="F3" s="569"/>
      <c r="G3" s="569"/>
      <c r="H3" s="569"/>
      <c r="I3" s="569"/>
      <c r="J3" s="569"/>
      <c r="K3" s="569"/>
      <c r="L3" s="569"/>
      <c r="M3" s="569"/>
      <c r="O3" s="568" t="s">
        <v>1379</v>
      </c>
    </row>
    <row r="4" spans="2:38" ht="18.75">
      <c r="B4" s="1061"/>
      <c r="C4" s="1060"/>
      <c r="D4" s="1060"/>
      <c r="E4" s="1060"/>
      <c r="F4" s="1060"/>
      <c r="G4" s="1060"/>
      <c r="H4" s="1060"/>
      <c r="I4" s="1060"/>
      <c r="J4" s="1060"/>
      <c r="K4" s="1956" t="s">
        <v>950</v>
      </c>
      <c r="L4" s="1956"/>
      <c r="M4" s="1956"/>
    </row>
    <row r="5" spans="2:38" ht="60.75" thickBot="1">
      <c r="B5" s="1062" t="s">
        <v>951</v>
      </c>
      <c r="C5" s="1062" t="s">
        <v>952</v>
      </c>
      <c r="D5" s="1062" t="s">
        <v>953</v>
      </c>
      <c r="E5" s="1062" t="s">
        <v>954</v>
      </c>
      <c r="F5" s="1062" t="s">
        <v>955</v>
      </c>
      <c r="G5" s="1062" t="s">
        <v>956</v>
      </c>
      <c r="H5" s="1062" t="s">
        <v>957</v>
      </c>
      <c r="I5" s="1062" t="s">
        <v>958</v>
      </c>
      <c r="J5" s="1062" t="s">
        <v>959</v>
      </c>
      <c r="K5" s="1062" t="s">
        <v>960</v>
      </c>
      <c r="L5" s="1062" t="s">
        <v>1335</v>
      </c>
      <c r="M5" s="1062" t="s">
        <v>961</v>
      </c>
    </row>
    <row r="6" spans="2:38" ht="15.75" thickTop="1">
      <c r="B6" s="637" t="s">
        <v>901</v>
      </c>
      <c r="C6" s="637" t="s">
        <v>962</v>
      </c>
      <c r="D6" s="637" t="s">
        <v>963</v>
      </c>
      <c r="E6" s="637">
        <v>1450</v>
      </c>
      <c r="F6" s="637">
        <v>22</v>
      </c>
      <c r="G6" s="1064">
        <v>65.909090909090907</v>
      </c>
      <c r="H6" s="637">
        <v>2</v>
      </c>
      <c r="I6" s="637">
        <v>10</v>
      </c>
      <c r="J6" s="637">
        <v>10</v>
      </c>
      <c r="K6" s="636">
        <v>0.13793103448275862</v>
      </c>
      <c r="L6" s="636">
        <v>0.5</v>
      </c>
      <c r="M6" s="636">
        <v>0.5</v>
      </c>
    </row>
    <row r="8" spans="2:38" ht="15.75" thickBot="1">
      <c r="B8" s="346" t="s">
        <v>1098</v>
      </c>
      <c r="C8" s="346"/>
      <c r="D8" s="346"/>
      <c r="E8" s="927">
        <v>0.03</v>
      </c>
    </row>
    <row r="9" spans="2:38" ht="15.75" thickTop="1">
      <c r="B9" s="183"/>
      <c r="C9" s="183"/>
      <c r="D9" s="183"/>
      <c r="E9" s="1203"/>
    </row>
    <row r="10" spans="2:38" ht="18.75">
      <c r="B10" s="569" t="s">
        <v>964</v>
      </c>
    </row>
    <row r="11" spans="2:38" ht="60.75" thickBot="1">
      <c r="B11" s="631" t="s">
        <v>965</v>
      </c>
      <c r="C11" s="631" t="s">
        <v>966</v>
      </c>
      <c r="D11" s="631" t="s">
        <v>967</v>
      </c>
      <c r="E11" s="631" t="s">
        <v>968</v>
      </c>
      <c r="F11" s="631" t="s">
        <v>969</v>
      </c>
      <c r="G11" s="631" t="s">
        <v>970</v>
      </c>
      <c r="H11" s="631" t="s">
        <v>971</v>
      </c>
      <c r="I11" s="631" t="s">
        <v>972</v>
      </c>
    </row>
    <row r="12" spans="2:38" ht="60.75" thickTop="1">
      <c r="B12" s="637">
        <v>24</v>
      </c>
      <c r="C12" s="1064">
        <v>25.531914893617024</v>
      </c>
      <c r="D12" s="637">
        <v>52200</v>
      </c>
      <c r="E12" s="637">
        <v>400</v>
      </c>
      <c r="F12" s="637">
        <v>720</v>
      </c>
      <c r="G12" s="1066" t="s">
        <v>989</v>
      </c>
      <c r="H12" s="1066" t="s">
        <v>989</v>
      </c>
      <c r="I12" s="1066" t="s">
        <v>990</v>
      </c>
    </row>
    <row r="14" spans="2:38" ht="18.75">
      <c r="B14" s="1955" t="s">
        <v>975</v>
      </c>
      <c r="C14" s="1955"/>
      <c r="D14" s="1955"/>
      <c r="E14" s="1955"/>
      <c r="F14" s="1955"/>
      <c r="G14" s="1955"/>
      <c r="H14" s="1955"/>
      <c r="I14" s="1955"/>
      <c r="J14" s="1955"/>
      <c r="K14" s="1955"/>
      <c r="L14" s="1955"/>
      <c r="M14" s="1955"/>
      <c r="N14" s="1955"/>
      <c r="O14" s="1955"/>
      <c r="P14" s="1955"/>
      <c r="Q14" s="1955"/>
      <c r="R14" s="1955"/>
      <c r="S14" s="1955"/>
      <c r="T14" s="1955"/>
      <c r="U14" s="1955"/>
      <c r="V14" s="1955"/>
      <c r="W14" s="1955"/>
      <c r="X14" s="1955"/>
      <c r="Y14" s="1955"/>
      <c r="Z14" s="1955"/>
      <c r="AA14" s="1955"/>
      <c r="AB14" s="1955"/>
      <c r="AC14" s="1955"/>
      <c r="AD14" s="1955"/>
      <c r="AE14" s="1955"/>
      <c r="AF14" s="1955"/>
      <c r="AG14" s="1955"/>
      <c r="AH14" s="1955"/>
      <c r="AI14" s="1955"/>
      <c r="AJ14" s="1955"/>
      <c r="AK14" s="1955"/>
      <c r="AL14" s="1955"/>
    </row>
    <row r="16" spans="2:38" ht="18.75">
      <c r="B16" s="569" t="s">
        <v>1143</v>
      </c>
    </row>
    <row r="17" spans="2:40" ht="60.75" thickBot="1">
      <c r="B17" s="631" t="s">
        <v>977</v>
      </c>
      <c r="C17" s="631" t="s">
        <v>1039</v>
      </c>
      <c r="D17" s="631" t="s">
        <v>978</v>
      </c>
      <c r="E17" s="631" t="s">
        <v>979</v>
      </c>
      <c r="F17" s="631" t="s">
        <v>980</v>
      </c>
      <c r="G17" s="631" t="s">
        <v>981</v>
      </c>
      <c r="H17" s="631" t="s">
        <v>982</v>
      </c>
    </row>
    <row r="18" spans="2:40" ht="15.75" thickTop="1">
      <c r="B18" s="568" t="s">
        <v>960</v>
      </c>
      <c r="C18" s="1069">
        <f>G6</f>
        <v>65.909090909090907</v>
      </c>
      <c r="D18" s="1071">
        <f>(F6/C12)^3*D12</f>
        <v>33395.533141666652</v>
      </c>
      <c r="E18" s="609">
        <f>VLOOKUP(B6,'EF Marine Vessels spec. TOTE'!$B$69:$E$93,2,FALSE)</f>
        <v>132</v>
      </c>
      <c r="F18" s="609">
        <f>VLOOKUP(B6,'EF Marine Vessels spec. TOTE'!N69:Q93,2,FALSE)</f>
        <v>0</v>
      </c>
      <c r="G18" s="672" t="s">
        <v>333</v>
      </c>
      <c r="H18" s="672" t="s">
        <v>333</v>
      </c>
    </row>
    <row r="19" spans="2:40">
      <c r="B19" s="568" t="s">
        <v>1335</v>
      </c>
      <c r="C19" s="1069">
        <f>H6</f>
        <v>2</v>
      </c>
      <c r="D19" s="609">
        <f>AVERAGE('EF Marine Vessels spec. TOTE'!O35:P35)*D12</f>
        <v>1044</v>
      </c>
      <c r="E19" s="609">
        <f>VLOOKUP(B6,'EF Marine Vessels spec. TOTE'!$B$69:$E$93,3,FALSE)</f>
        <v>396</v>
      </c>
      <c r="F19" s="609">
        <f>VLOOKUP(B6,'EF Marine Vessels spec. TOTE'!N69:Q93,3,FALSE)</f>
        <v>148</v>
      </c>
      <c r="G19" s="672" t="s">
        <v>333</v>
      </c>
      <c r="H19" s="672" t="s">
        <v>333</v>
      </c>
    </row>
    <row r="20" spans="2:40">
      <c r="B20" s="1067" t="s">
        <v>961</v>
      </c>
      <c r="C20" s="1070">
        <f>I6+J6</f>
        <v>20</v>
      </c>
      <c r="D20" s="1072">
        <v>0</v>
      </c>
      <c r="E20" s="1072">
        <f>VLOOKUP(B6,'EF Marine Vessels spec. TOTE'!$B$69:$E$93,4,FALSE)</f>
        <v>229</v>
      </c>
      <c r="F20" s="1072">
        <f>VLOOKUP(B6,'EF Marine Vessels spec. TOTE'!N69:Q93,4,FALSE)</f>
        <v>259</v>
      </c>
      <c r="G20" s="1068" t="s">
        <v>333</v>
      </c>
      <c r="H20" s="1068" t="s">
        <v>333</v>
      </c>
    </row>
    <row r="21" spans="2:40">
      <c r="C21" s="1069"/>
      <c r="D21" s="609"/>
      <c r="E21" s="609"/>
      <c r="F21" s="609"/>
      <c r="G21" s="672"/>
      <c r="H21" s="672"/>
    </row>
    <row r="22" spans="2:40" ht="18.75">
      <c r="B22" s="569" t="s">
        <v>976</v>
      </c>
      <c r="K22" s="569" t="s">
        <v>976</v>
      </c>
    </row>
    <row r="23" spans="2:40" ht="15.75">
      <c r="B23" s="1060"/>
      <c r="C23" s="1957" t="s">
        <v>1047</v>
      </c>
      <c r="D23" s="1957"/>
      <c r="E23" s="1957"/>
      <c r="F23" s="1957"/>
      <c r="G23" s="1957"/>
      <c r="H23" s="1957"/>
      <c r="I23" s="1957"/>
      <c r="K23" s="1060"/>
      <c r="L23" s="1957" t="s">
        <v>1047</v>
      </c>
      <c r="M23" s="1957"/>
      <c r="N23" s="1957"/>
      <c r="O23" s="1957"/>
      <c r="P23" s="1957"/>
    </row>
    <row r="24" spans="2:40" ht="18.75" thickBot="1">
      <c r="B24" s="1073" t="s">
        <v>1172</v>
      </c>
      <c r="C24" s="1062" t="s">
        <v>1166</v>
      </c>
      <c r="D24" s="1062" t="s">
        <v>116</v>
      </c>
      <c r="E24" s="1062" t="s">
        <v>862</v>
      </c>
      <c r="F24" s="1062" t="s">
        <v>1167</v>
      </c>
      <c r="G24" s="1062" t="s">
        <v>864</v>
      </c>
      <c r="H24" s="1062" t="s">
        <v>865</v>
      </c>
      <c r="I24" s="1062" t="s">
        <v>866</v>
      </c>
      <c r="K24" s="1073" t="s">
        <v>1172</v>
      </c>
      <c r="L24" s="1074" t="s">
        <v>1161</v>
      </c>
      <c r="M24" s="1074" t="s">
        <v>1162</v>
      </c>
      <c r="N24" s="1074" t="s">
        <v>1163</v>
      </c>
      <c r="O24" s="1074" t="s">
        <v>1164</v>
      </c>
      <c r="P24" s="1074" t="s">
        <v>1165</v>
      </c>
    </row>
    <row r="25" spans="2:40" ht="15.75" customHeight="1" thickTop="1">
      <c r="B25" s="669"/>
      <c r="C25" s="669">
        <f t="shared" ref="C25:I25" si="0">$C18*$K$6*($D18*C66+$E18*C70+$F18*C74)/1000000</f>
        <v>0.579111936083333</v>
      </c>
      <c r="D25" s="669">
        <f t="shared" si="0"/>
        <v>1.1582238721666661E-4</v>
      </c>
      <c r="E25" s="669">
        <f t="shared" si="0"/>
        <v>0.579111936083333</v>
      </c>
      <c r="F25" s="669">
        <f t="shared" si="0"/>
        <v>1.0713570817541664E-3</v>
      </c>
      <c r="G25" s="669">
        <f t="shared" si="0"/>
        <v>6.0959151166666637E-3</v>
      </c>
      <c r="H25" s="669">
        <f t="shared" si="0"/>
        <v>6.0959151166666637E-3</v>
      </c>
      <c r="I25" s="669">
        <f t="shared" si="0"/>
        <v>0</v>
      </c>
      <c r="K25" s="669"/>
      <c r="L25" s="670">
        <f>$C18*$K$6*($D18*J66+$E18*J70+$F18*J74)/1000000</f>
        <v>143.97683758697167</v>
      </c>
      <c r="M25" s="669">
        <f>$C18*$K$6*($D18*K66+$E18*K70+$F18*K74)/1000000</f>
        <v>9.4462684308333281E-3</v>
      </c>
      <c r="N25" s="669">
        <f>$C18*$K$6*($D18*L66+$E18*L70+$F18*L74)/1000000</f>
        <v>1.6154175059166658</v>
      </c>
      <c r="O25" s="670">
        <f>L25+D25*VOC_C_Ratio/CO2_C_Ratio+E25*CO_C_Ratio/CO2_C_Ratio</f>
        <v>144.88705166418214</v>
      </c>
      <c r="P25" s="670">
        <f>O25+N25*CH4_GWP+M25*N2O_GWP</f>
        <v>188.08747730448712</v>
      </c>
    </row>
    <row r="26" spans="2:40" ht="15" customHeight="1">
      <c r="B26" s="669"/>
      <c r="C26" s="669">
        <f t="shared" ref="C26:I26" si="1">$C19*$L$6*($D19*C67+$E19*C71+$F19*C75)/1000000</f>
        <v>1.0232468E-2</v>
      </c>
      <c r="D26" s="669">
        <f t="shared" si="1"/>
        <v>2.3353009599999999E-5</v>
      </c>
      <c r="E26" s="669">
        <f t="shared" si="1"/>
        <v>1.9983247999999999E-2</v>
      </c>
      <c r="F26" s="669">
        <f t="shared" si="1"/>
        <v>5.0616E-6</v>
      </c>
      <c r="G26" s="669">
        <f t="shared" si="1"/>
        <v>1.838152E-4</v>
      </c>
      <c r="H26" s="669">
        <f t="shared" si="1"/>
        <v>1.8233519999999998E-4</v>
      </c>
      <c r="I26" s="669">
        <f t="shared" si="1"/>
        <v>0</v>
      </c>
      <c r="K26" s="669"/>
      <c r="L26" s="670">
        <f>$C19*$L$6*($D19*J67+$E19*J71+$F19*J75)/1000000</f>
        <v>0.78573747930269411</v>
      </c>
      <c r="M26" s="669">
        <f>$C19*$L$6*($D19*K67+$E19*K71+$F19*K75)/1000000</f>
        <v>5.4948000000000003E-5</v>
      </c>
      <c r="N26" s="669">
        <f>$C19*$L$6*($D19*L67+$E19*L71+$F19*L75)/1000000</f>
        <v>7.6322960000000002E-3</v>
      </c>
      <c r="O26" s="670">
        <f>L26+D26*VOC_C_Ratio/CO2_C_Ratio+E26*CO_C_Ratio/CO2_C_Ratio</f>
        <v>0.81720624487232907</v>
      </c>
      <c r="P26" s="670">
        <f>O26+N26*CH4_GWP+M26*N2O_GWP</f>
        <v>1.0243881488723292</v>
      </c>
    </row>
    <row r="27" spans="2:40" ht="15" customHeight="1">
      <c r="B27" s="669"/>
      <c r="C27" s="669">
        <f t="shared" ref="C27:I27" si="2">$C20*$M$6*($D20*C68+$E20*C72+$F20*C76)/1000000</f>
        <v>9.5309999999999995E-3</v>
      </c>
      <c r="D27" s="669">
        <f t="shared" si="2"/>
        <v>2.598702E-4</v>
      </c>
      <c r="E27" s="669">
        <f t="shared" si="2"/>
        <v>4.8690000000000001E-3</v>
      </c>
      <c r="F27" s="669">
        <f t="shared" si="2"/>
        <v>8.0493500000000011E-6</v>
      </c>
      <c r="G27" s="669">
        <f t="shared" si="2"/>
        <v>4.6019999999999991E-4</v>
      </c>
      <c r="H27" s="669">
        <f t="shared" si="2"/>
        <v>4.3429999999999999E-4</v>
      </c>
      <c r="I27" s="669">
        <f t="shared" si="2"/>
        <v>0</v>
      </c>
      <c r="K27" s="669"/>
      <c r="L27" s="670">
        <f>$C20*$M$6*($D20*J68+$E20*J72+$F20*J76)/1000000</f>
        <v>2.8087679571135231</v>
      </c>
      <c r="M27" s="669">
        <f>$C20*$M$6*($D20*K68+$E20*K72+$F20*K76)/1000000</f>
        <v>2.6066000000000001E-4</v>
      </c>
      <c r="N27" s="669">
        <f>$C20*$M$6*($D20*L68+$E20*L72+$F20*L76)/1000000</f>
        <v>1.2142180000000001E-2</v>
      </c>
      <c r="O27" s="670">
        <f>L27+D27*VOC_C_Ratio/CO2_C_Ratio+E27*CO_C_Ratio/CO2_C_Ratio</f>
        <v>2.8172269160360974</v>
      </c>
      <c r="P27" s="670">
        <f>O27+N27*CH4_GWP+M27*N2O_GWP</f>
        <v>3.1984580960360978</v>
      </c>
    </row>
    <row r="28" spans="2:40" ht="15.75" customHeight="1" thickBot="1">
      <c r="B28" s="1077" t="s">
        <v>1050</v>
      </c>
      <c r="C28" s="1077">
        <f t="shared" ref="C28:I28" si="3">SUM(C25:C27)</f>
        <v>0.59887540408333295</v>
      </c>
      <c r="D28" s="1077">
        <f t="shared" si="3"/>
        <v>3.9904559681666662E-4</v>
      </c>
      <c r="E28" s="1077">
        <f t="shared" si="3"/>
        <v>0.60396418408333297</v>
      </c>
      <c r="F28" s="1077">
        <f t="shared" si="3"/>
        <v>1.0844680317541665E-3</v>
      </c>
      <c r="G28" s="1077">
        <f t="shared" si="3"/>
        <v>6.7399303166666641E-3</v>
      </c>
      <c r="H28" s="1077">
        <f t="shared" si="3"/>
        <v>6.7125503166666637E-3</v>
      </c>
      <c r="I28" s="1077">
        <f t="shared" si="3"/>
        <v>0</v>
      </c>
      <c r="K28" s="1077" t="s">
        <v>1050</v>
      </c>
      <c r="L28" s="1078">
        <f>SUM(L25:L27)</f>
        <v>147.5713430233879</v>
      </c>
      <c r="M28" s="1077">
        <f>SUM(M25:M27)</f>
        <v>9.7618764308333283E-3</v>
      </c>
      <c r="N28" s="1077">
        <f>SUM(N25:N27)</f>
        <v>1.6351919819166656</v>
      </c>
      <c r="O28" s="1078">
        <f>L28+D28*VOC_C_Ratio/CO2_C_Ratio+E28*CO_C_Ratio/CO2_C_Ratio</f>
        <v>148.52148482509054</v>
      </c>
      <c r="P28" s="1078">
        <f>O28+N28*CH4_GWP+M28*N2O_GWP</f>
        <v>192.31032354939549</v>
      </c>
    </row>
    <row r="29" spans="2:40" ht="15" customHeight="1">
      <c r="B29" s="669" t="s">
        <v>1141</v>
      </c>
      <c r="C29" s="670">
        <f>C28*1000000/SUM($D$58:$F$58)</f>
        <v>9384.2404436222587</v>
      </c>
      <c r="D29" s="670">
        <f t="shared" ref="D29:I29" si="4">D28*1000000/SUM($D$58:$F$58)</f>
        <v>6.2529531234100695</v>
      </c>
      <c r="E29" s="670">
        <f t="shared" si="4"/>
        <v>9463.980460926512</v>
      </c>
      <c r="F29" s="670">
        <f t="shared" si="4"/>
        <v>16.993365721840146</v>
      </c>
      <c r="G29" s="670">
        <f t="shared" si="4"/>
        <v>105.61316466431141</v>
      </c>
      <c r="H29" s="670">
        <f t="shared" si="4"/>
        <v>105.18412633414378</v>
      </c>
      <c r="I29" s="670">
        <f t="shared" si="4"/>
        <v>0</v>
      </c>
      <c r="K29" s="669" t="s">
        <v>1141</v>
      </c>
      <c r="L29" s="670">
        <f>L28*1000000/SUM($D$58:$F$58)</f>
        <v>2312409.1523502111</v>
      </c>
      <c r="M29" s="670">
        <f>M28*1000000/SUM($D$58:$F$58)</f>
        <v>152.96636826835166</v>
      </c>
      <c r="N29" s="670">
        <f>N28*1000000/SUM($D$58:$F$58)</f>
        <v>25623.083908875913</v>
      </c>
      <c r="O29" s="670">
        <f>O28*1000000/SUM($D$60:$F$60)</f>
        <v>326683.27487320511</v>
      </c>
      <c r="P29" s="670">
        <f>P28*1000000/SUM($D$60:$F$60)</f>
        <v>422999.85327394796</v>
      </c>
    </row>
    <row r="30" spans="2:40" ht="15" customHeight="1">
      <c r="B30" s="1075" t="s">
        <v>1142</v>
      </c>
      <c r="C30" s="1076">
        <f>C29/(lbperkg*Fuel_Specs!$P$13)*1000</f>
        <v>231.37321514170253</v>
      </c>
      <c r="D30" s="1076">
        <f>D29/(lbperkg*Fuel_Specs!$P$13)*1000</f>
        <v>0.1541697356312938</v>
      </c>
      <c r="E30" s="1076">
        <f>E29/(lbperkg*Fuel_Specs!$P$13)*1000</f>
        <v>233.33924577465365</v>
      </c>
      <c r="F30" s="1076">
        <f>F29/(lbperkg*Fuel_Specs!$P$13)*1000</f>
        <v>0.41898006415778694</v>
      </c>
      <c r="G30" s="1076">
        <f>G29/(lbperkg*Fuel_Specs!$P$13)*1000</f>
        <v>2.603946224148495</v>
      </c>
      <c r="H30" s="1076">
        <f>H29/(lbperkg*Fuel_Specs!$P$13)*1000</f>
        <v>2.593368066175425</v>
      </c>
      <c r="I30" s="1076">
        <f>I29/(lbperkg*Fuel_Specs!$P$13)*1000</f>
        <v>0</v>
      </c>
      <c r="K30" s="1075" t="s">
        <v>1142</v>
      </c>
      <c r="L30" s="1076">
        <f>L29/(lbperkg*Fuel_Specs!$P$13)*1000</f>
        <v>57013.62230823758</v>
      </c>
      <c r="M30" s="1076">
        <f>M29/(lbperkg*Fuel_Specs!$P$13)*1000</f>
        <v>3.7714635134750458</v>
      </c>
      <c r="N30" s="1076">
        <f>N29/(lbperkg*Fuel_Specs!$P$13)*1000</f>
        <v>631.75014978131571</v>
      </c>
      <c r="O30" s="1076">
        <f>L30+D30*VOC_C_Ratio/CO2_C_Ratio+E30*CO_C_Ratio/CO2_C_Ratio</f>
        <v>57380.705948676892</v>
      </c>
      <c r="P30" s="1076">
        <f>O30+N30*CH4_GWP+M30*N2O_GWP</f>
        <v>74298.355820225363</v>
      </c>
    </row>
    <row r="31" spans="2:40" ht="15" customHeight="1"/>
    <row r="32" spans="2:40" ht="15" customHeight="1">
      <c r="I32" s="818"/>
      <c r="L32" s="818"/>
      <c r="M32" s="818"/>
      <c r="N32" s="818"/>
      <c r="O32" s="818"/>
      <c r="P32" s="818"/>
      <c r="Q32" s="818"/>
      <c r="R32" s="818"/>
      <c r="S32" s="818"/>
      <c r="T32" s="818"/>
      <c r="U32" s="818"/>
      <c r="V32" s="818"/>
      <c r="W32" s="818"/>
      <c r="X32" s="818"/>
      <c r="Y32" s="818"/>
      <c r="Z32" s="819"/>
      <c r="AA32" s="818"/>
      <c r="AB32" s="818"/>
      <c r="AC32" s="818"/>
      <c r="AD32" s="818"/>
      <c r="AE32" s="818"/>
      <c r="AF32" s="818"/>
      <c r="AG32" s="818"/>
      <c r="AH32" s="818"/>
      <c r="AI32" s="818"/>
      <c r="AJ32" s="819"/>
      <c r="AK32" s="818"/>
      <c r="AL32" s="818"/>
      <c r="AM32" s="819"/>
      <c r="AN32" s="819"/>
    </row>
    <row r="33" spans="1:40" ht="15.75">
      <c r="B33" s="1060"/>
      <c r="C33" s="1957" t="s">
        <v>1048</v>
      </c>
      <c r="D33" s="1957"/>
      <c r="E33" s="1957"/>
      <c r="F33" s="1957"/>
      <c r="G33" s="1957"/>
      <c r="H33" s="1957"/>
      <c r="I33" s="1957"/>
      <c r="K33" s="1060"/>
      <c r="L33" s="1957" t="s">
        <v>1048</v>
      </c>
      <c r="M33" s="1957"/>
      <c r="N33" s="1957"/>
      <c r="O33" s="1957"/>
      <c r="P33" s="1957"/>
      <c r="Q33" s="818"/>
      <c r="R33" s="818"/>
      <c r="S33" s="818"/>
      <c r="T33" s="818"/>
      <c r="U33" s="818"/>
      <c r="V33" s="818"/>
      <c r="W33" s="818"/>
      <c r="X33" s="818"/>
      <c r="Y33" s="818"/>
      <c r="Z33" s="819"/>
      <c r="AA33" s="818"/>
      <c r="AB33" s="818"/>
      <c r="AC33" s="818"/>
      <c r="AD33" s="818"/>
      <c r="AE33" s="818"/>
      <c r="AF33" s="818"/>
      <c r="AG33" s="818"/>
      <c r="AH33" s="818"/>
      <c r="AI33" s="818"/>
      <c r="AJ33" s="819"/>
      <c r="AK33" s="818"/>
      <c r="AL33" s="818"/>
      <c r="AM33" s="819"/>
      <c r="AN33" s="819"/>
    </row>
    <row r="34" spans="1:40" ht="18.75" thickBot="1">
      <c r="B34" s="1073" t="s">
        <v>1172</v>
      </c>
      <c r="C34" s="1062" t="s">
        <v>1166</v>
      </c>
      <c r="D34" s="1062" t="s">
        <v>116</v>
      </c>
      <c r="E34" s="1062" t="s">
        <v>862</v>
      </c>
      <c r="F34" s="1062" t="s">
        <v>1167</v>
      </c>
      <c r="G34" s="1062" t="s">
        <v>864</v>
      </c>
      <c r="H34" s="1062" t="s">
        <v>865</v>
      </c>
      <c r="I34" s="1062" t="s">
        <v>866</v>
      </c>
      <c r="K34" s="1073" t="s">
        <v>1172</v>
      </c>
      <c r="L34" s="1074" t="s">
        <v>1161</v>
      </c>
      <c r="M34" s="1074" t="s">
        <v>1162</v>
      </c>
      <c r="N34" s="1074" t="s">
        <v>1163</v>
      </c>
      <c r="O34" s="1074" t="s">
        <v>1164</v>
      </c>
      <c r="P34" s="1074" t="s">
        <v>1165</v>
      </c>
      <c r="Q34" s="818"/>
      <c r="R34" s="819"/>
      <c r="S34" s="818"/>
      <c r="T34" s="818"/>
      <c r="U34" s="818"/>
      <c r="V34" s="818"/>
      <c r="W34" s="818"/>
      <c r="X34" s="818"/>
      <c r="Y34" s="818"/>
      <c r="Z34" s="819"/>
      <c r="AA34" s="818"/>
      <c r="AB34" s="818"/>
      <c r="AC34" s="818"/>
      <c r="AD34" s="818"/>
      <c r="AE34" s="818"/>
      <c r="AF34" s="818"/>
      <c r="AG34" s="818"/>
      <c r="AH34" s="818"/>
      <c r="AI34" s="818"/>
      <c r="AJ34" s="819"/>
      <c r="AK34" s="818"/>
      <c r="AL34" s="818"/>
      <c r="AM34" s="819"/>
      <c r="AN34" s="819"/>
    </row>
    <row r="35" spans="1:40" ht="15.75" customHeight="1" thickTop="1">
      <c r="B35" s="669"/>
      <c r="C35" s="669">
        <f t="shared" ref="C35:I35" si="5">$C18*(1-$K$6)*($D18*C81+$E18*C85+$F18*C89)/1000000</f>
        <v>3.6194496005208316</v>
      </c>
      <c r="D35" s="669">
        <f t="shared" si="5"/>
        <v>7.2388992010416627E-4</v>
      </c>
      <c r="E35" s="669">
        <f t="shared" si="5"/>
        <v>3.6194496005208316</v>
      </c>
      <c r="F35" s="669">
        <f t="shared" si="5"/>
        <v>6.6959817609635389E-3</v>
      </c>
      <c r="G35" s="669">
        <f t="shared" si="5"/>
        <v>3.8099469479166648E-2</v>
      </c>
      <c r="H35" s="669">
        <f t="shared" si="5"/>
        <v>3.8099469479166648E-2</v>
      </c>
      <c r="I35" s="669">
        <f t="shared" si="5"/>
        <v>0</v>
      </c>
      <c r="K35" s="669"/>
      <c r="L35" s="670">
        <f>$C18*(1-$K$6)*($D18*J81+$E18*J85+$F18*J89)/1000000</f>
        <v>899.85523491857293</v>
      </c>
      <c r="M35" s="669">
        <f>$C18*(1-$K$6)*($D18*K81+$E18*K85+$F18*K89)/1000000</f>
        <v>5.9039177692708306E-2</v>
      </c>
      <c r="N35" s="669">
        <f>$C18*(1-$K$6)*($D18*L81+$E18*L85+$F18*L89)/1000000</f>
        <v>10.096359411979162</v>
      </c>
      <c r="O35" s="670">
        <f>L35+D35*VOC_C_Ratio/CO2_C_Ratio+E35*CO_C_Ratio/CO2_C_Ratio</f>
        <v>905.54407290113829</v>
      </c>
      <c r="P35" s="670">
        <f>O35+N35*CH4_GWP+M35*N2O_GWP</f>
        <v>1175.5467331530444</v>
      </c>
      <c r="Q35" s="818"/>
      <c r="R35" s="819"/>
      <c r="S35" s="818"/>
      <c r="T35" s="818"/>
      <c r="U35" s="818"/>
      <c r="V35" s="818"/>
      <c r="W35" s="818"/>
      <c r="X35" s="818"/>
      <c r="Y35" s="818"/>
      <c r="Z35" s="819"/>
      <c r="AA35" s="818"/>
      <c r="AB35" s="818"/>
      <c r="AC35" s="818"/>
      <c r="AD35" s="818"/>
      <c r="AE35" s="818"/>
      <c r="AF35" s="818"/>
      <c r="AG35" s="818"/>
      <c r="AH35" s="818"/>
      <c r="AI35" s="818"/>
      <c r="AJ35" s="819"/>
      <c r="AK35" s="818"/>
      <c r="AL35" s="818"/>
      <c r="AM35" s="819"/>
      <c r="AN35" s="819"/>
    </row>
    <row r="36" spans="1:40" ht="15" customHeight="1">
      <c r="B36" s="669"/>
      <c r="C36" s="669">
        <f t="shared" ref="C36:I36" si="6">$C19*(1-$L$6)*($D19*C82+$E19*C86+$F19*C90)/1000000</f>
        <v>1.0232468E-2</v>
      </c>
      <c r="D36" s="669">
        <f t="shared" si="6"/>
        <v>2.3353009599999999E-5</v>
      </c>
      <c r="E36" s="669">
        <f t="shared" si="6"/>
        <v>1.9983247999999999E-2</v>
      </c>
      <c r="F36" s="669">
        <f t="shared" si="6"/>
        <v>5.0616E-6</v>
      </c>
      <c r="G36" s="669">
        <f t="shared" si="6"/>
        <v>1.838152E-4</v>
      </c>
      <c r="H36" s="669">
        <f t="shared" si="6"/>
        <v>1.8233519999999998E-4</v>
      </c>
      <c r="I36" s="669">
        <f t="shared" si="6"/>
        <v>0</v>
      </c>
      <c r="K36" s="669"/>
      <c r="L36" s="670">
        <f>$C19*(1-$L$6)*($D19*J82+$E19*J86+$F19*J90)/1000000</f>
        <v>0.78573747930269411</v>
      </c>
      <c r="M36" s="669">
        <f>$C19*(1-$L$6)*($D19*K82+$E19*K86+$F19*K90)/1000000</f>
        <v>5.4948000000000003E-5</v>
      </c>
      <c r="N36" s="669">
        <f>$C19*(1-$L$6)*($D19*L82+$E19*L86+$F19*L90)/1000000</f>
        <v>7.6322960000000002E-3</v>
      </c>
      <c r="O36" s="670">
        <f>L36+D36*VOC_C_Ratio/CO2_C_Ratio+E36*CO_C_Ratio/CO2_C_Ratio</f>
        <v>0.81720624487232907</v>
      </c>
      <c r="P36" s="670">
        <f>O36+N36*CH4_GWP+M36*N2O_GWP</f>
        <v>1.0243881488723292</v>
      </c>
      <c r="Q36" s="818"/>
      <c r="R36" s="819"/>
      <c r="S36" s="818"/>
      <c r="T36" s="818"/>
      <c r="U36" s="818"/>
      <c r="V36" s="818"/>
      <c r="W36" s="818"/>
      <c r="X36" s="818"/>
      <c r="Y36" s="818"/>
      <c r="Z36" s="819"/>
      <c r="AA36" s="818"/>
      <c r="AB36" s="818"/>
      <c r="AC36" s="818"/>
      <c r="AD36" s="818"/>
      <c r="AE36" s="818"/>
      <c r="AF36" s="818"/>
      <c r="AG36" s="818"/>
      <c r="AH36" s="818"/>
      <c r="AI36" s="818"/>
      <c r="AJ36" s="819"/>
      <c r="AK36" s="818"/>
      <c r="AL36" s="818"/>
      <c r="AM36" s="819"/>
      <c r="AN36" s="819"/>
    </row>
    <row r="37" spans="1:40" ht="15" customHeight="1">
      <c r="B37" s="669"/>
      <c r="C37" s="669">
        <f t="shared" ref="C37:I37" si="7">$C20*(1-$M$6)*($D20*C83+$E20*C87+$F20*C91)/1000000</f>
        <v>9.5309999999999995E-3</v>
      </c>
      <c r="D37" s="669">
        <f t="shared" si="7"/>
        <v>2.598702E-4</v>
      </c>
      <c r="E37" s="669">
        <f t="shared" si="7"/>
        <v>4.8690000000000001E-3</v>
      </c>
      <c r="F37" s="669">
        <f t="shared" si="7"/>
        <v>8.0493500000000011E-6</v>
      </c>
      <c r="G37" s="669">
        <f t="shared" si="7"/>
        <v>4.6019999999999991E-4</v>
      </c>
      <c r="H37" s="669">
        <f t="shared" si="7"/>
        <v>4.3429999999999999E-4</v>
      </c>
      <c r="I37" s="669">
        <f t="shared" si="7"/>
        <v>0</v>
      </c>
      <c r="K37" s="669"/>
      <c r="L37" s="670">
        <f>$C20*(1-$M$6)*($D20*J83+$E20*J87+$F20*J91)/1000000</f>
        <v>2.8087679571135231</v>
      </c>
      <c r="M37" s="669">
        <f>$C20*(1-$M$6)*($D20*K83+$E20*K87+$F20*K91)/1000000</f>
        <v>2.6066000000000001E-4</v>
      </c>
      <c r="N37" s="669">
        <f>$C20*(1-$M$6)*($D20*L83+$E20*L87+$F20*L91)/1000000</f>
        <v>1.2142180000000001E-2</v>
      </c>
      <c r="O37" s="670">
        <f>L37+D37*VOC_C_Ratio/CO2_C_Ratio+E37*CO_C_Ratio/CO2_C_Ratio</f>
        <v>2.8172269160360974</v>
      </c>
      <c r="P37" s="670">
        <f>O37+N37*CH4_GWP+M37*N2O_GWP</f>
        <v>3.1984580960360978</v>
      </c>
      <c r="Q37" s="818"/>
      <c r="R37" s="819"/>
      <c r="S37" s="818"/>
      <c r="T37" s="818"/>
      <c r="U37" s="818"/>
      <c r="V37" s="818"/>
      <c r="W37" s="818"/>
      <c r="X37" s="818"/>
      <c r="Y37" s="818"/>
      <c r="Z37" s="819"/>
      <c r="AA37" s="818"/>
      <c r="AB37" s="818"/>
      <c r="AC37" s="818"/>
      <c r="AD37" s="818"/>
      <c r="AE37" s="818"/>
      <c r="AF37" s="818"/>
      <c r="AG37" s="818"/>
      <c r="AH37" s="818"/>
      <c r="AI37" s="818"/>
      <c r="AJ37" s="819"/>
      <c r="AK37" s="818"/>
      <c r="AL37" s="818"/>
      <c r="AM37" s="819"/>
      <c r="AN37" s="819"/>
    </row>
    <row r="38" spans="1:40" ht="15.75" customHeight="1" thickBot="1">
      <c r="B38" s="1077" t="s">
        <v>1050</v>
      </c>
      <c r="C38" s="1077">
        <f t="shared" ref="C38:I38" si="8">SUM(C35:C37)</f>
        <v>3.6392130685208315</v>
      </c>
      <c r="D38" s="1077">
        <f t="shared" si="8"/>
        <v>1.0071131297041663E-3</v>
      </c>
      <c r="E38" s="1077">
        <f t="shared" si="8"/>
        <v>3.6443018485208314</v>
      </c>
      <c r="F38" s="1077">
        <f t="shared" si="8"/>
        <v>6.7090927109635387E-3</v>
      </c>
      <c r="G38" s="1077">
        <f t="shared" si="8"/>
        <v>3.8743484679166648E-2</v>
      </c>
      <c r="H38" s="1077">
        <f t="shared" si="8"/>
        <v>3.8716104679166648E-2</v>
      </c>
      <c r="I38" s="1077">
        <f t="shared" si="8"/>
        <v>0</v>
      </c>
      <c r="K38" s="1077" t="s">
        <v>1050</v>
      </c>
      <c r="L38" s="1078">
        <f>SUM(L35:L37)</f>
        <v>903.44974035498922</v>
      </c>
      <c r="M38" s="1077">
        <f>SUM(M35:M37)</f>
        <v>5.9354785692708308E-2</v>
      </c>
      <c r="N38" s="1077">
        <f>SUM(N35:N37)</f>
        <v>10.116133887979162</v>
      </c>
      <c r="O38" s="1078">
        <f>L38+D38*VOC_C_Ratio/CO2_C_Ratio+E38*CO_C_Ratio/CO2_C_Ratio</f>
        <v>909.17850606204672</v>
      </c>
      <c r="P38" s="1078">
        <f>O38+N38*CH4_GWP+M38*N2O_GWP</f>
        <v>1179.7695793979528</v>
      </c>
      <c r="Q38" s="818"/>
      <c r="R38" s="819"/>
      <c r="S38" s="818"/>
      <c r="T38" s="818"/>
      <c r="U38" s="818"/>
      <c r="V38" s="818"/>
      <c r="W38" s="818"/>
      <c r="X38" s="818"/>
      <c r="Y38" s="818"/>
      <c r="Z38" s="819"/>
      <c r="AA38" s="818"/>
      <c r="AB38" s="818"/>
      <c r="AC38" s="818"/>
      <c r="AD38" s="818"/>
      <c r="AE38" s="818"/>
      <c r="AF38" s="818"/>
      <c r="AG38" s="818"/>
      <c r="AH38" s="818"/>
      <c r="AI38" s="818"/>
      <c r="AJ38" s="819"/>
      <c r="AK38" s="818"/>
      <c r="AL38" s="818"/>
      <c r="AM38" s="819"/>
      <c r="AN38" s="819"/>
    </row>
    <row r="39" spans="1:40" ht="15" customHeight="1">
      <c r="B39" s="669" t="s">
        <v>1141</v>
      </c>
      <c r="C39" s="670">
        <f>C38*1000000/SUM($D$59:$F$59)</f>
        <v>9311.8001659177535</v>
      </c>
      <c r="D39" s="670">
        <f t="shared" ref="D39:I39" si="9">D38*1000000/SUM($D$59:$F$59)</f>
        <v>2.5769406824231185</v>
      </c>
      <c r="E39" s="670">
        <f t="shared" si="9"/>
        <v>9324.8210310213108</v>
      </c>
      <c r="F39" s="670">
        <f t="shared" si="9"/>
        <v>17.166824102580094</v>
      </c>
      <c r="G39" s="670">
        <f t="shared" si="9"/>
        <v>99.134505254547406</v>
      </c>
      <c r="H39" s="670">
        <f t="shared" si="9"/>
        <v>99.0644469524523</v>
      </c>
      <c r="I39" s="670">
        <f t="shared" si="9"/>
        <v>0</v>
      </c>
      <c r="K39" s="669" t="s">
        <v>1141</v>
      </c>
      <c r="L39" s="670">
        <f>L38*1000000/SUM($D$59:$F$59)</f>
        <v>2311693.01817091</v>
      </c>
      <c r="M39" s="670">
        <f>M38*1000000/SUM($D$59:$F$59)</f>
        <v>151.87346628374809</v>
      </c>
      <c r="N39" s="670">
        <f>N38*1000000/SUM($D$59:$F$59)</f>
        <v>25884.556755237798</v>
      </c>
      <c r="O39" s="670">
        <f>O38*1000000/SUM($D$60:$F$60)</f>
        <v>1999800.9860624659</v>
      </c>
      <c r="P39" s="670">
        <f>P38*1000000/SUM($D$60:$F$60)</f>
        <v>2594984.7609414519</v>
      </c>
      <c r="Q39" s="818"/>
      <c r="R39" s="819"/>
      <c r="S39" s="818"/>
      <c r="T39" s="818"/>
      <c r="U39" s="818"/>
      <c r="V39" s="818"/>
      <c r="W39" s="818"/>
      <c r="X39" s="818"/>
      <c r="Y39" s="818"/>
      <c r="Z39" s="819"/>
      <c r="AA39" s="818"/>
      <c r="AB39" s="818"/>
      <c r="AC39" s="818"/>
      <c r="AD39" s="818"/>
      <c r="AE39" s="818"/>
      <c r="AF39" s="818"/>
      <c r="AG39" s="818"/>
      <c r="AH39" s="818"/>
      <c r="AI39" s="818"/>
      <c r="AJ39" s="819"/>
      <c r="AK39" s="818"/>
      <c r="AL39" s="818"/>
      <c r="AM39" s="819"/>
      <c r="AN39" s="819"/>
    </row>
    <row r="40" spans="1:40" ht="15" customHeight="1">
      <c r="B40" s="1075" t="s">
        <v>1142</v>
      </c>
      <c r="C40" s="1076">
        <f>C39/(lbperkg*Fuel_Specs!$P$13)*1000</f>
        <v>229.58716329670318</v>
      </c>
      <c r="D40" s="1075">
        <f>D39/(lbperkg*Fuel_Specs!$P$13)*1000</f>
        <v>6.3535781558847926E-2</v>
      </c>
      <c r="E40" s="1076">
        <f>E39/(lbperkg*Fuel_Specs!$P$13)*1000</f>
        <v>229.9081993401673</v>
      </c>
      <c r="F40" s="1076">
        <f>F39/(lbperkg*Fuel_Specs!$P$13)*1000</f>
        <v>0.42325676864827677</v>
      </c>
      <c r="G40" s="1076">
        <f>G39/(lbperkg*Fuel_Specs!$P$13)*1000</f>
        <v>2.44421158537292</v>
      </c>
      <c r="H40" s="1076">
        <f>H39/(lbperkg*Fuel_Specs!$P$13)*1000</f>
        <v>2.4424842623465657</v>
      </c>
      <c r="I40" s="1076">
        <f>I39/(lbperkg*Fuel_Specs!$P$13)*1000</f>
        <v>0</v>
      </c>
      <c r="K40" s="1075" t="s">
        <v>1142</v>
      </c>
      <c r="L40" s="1076">
        <f>L39/(lbperkg*Fuel_Specs!$P$13)*1000</f>
        <v>56995.965656265245</v>
      </c>
      <c r="M40" s="1076">
        <f>M39/(lbperkg*Fuel_Specs!$P$13)*1000</f>
        <v>3.7445174598725588</v>
      </c>
      <c r="N40" s="1076">
        <f>N39/(lbperkg*Fuel_Specs!$P$13)*1000</f>
        <v>638.19689563128134</v>
      </c>
      <c r="O40" s="1076">
        <f>L40+D40*VOC_C_Ratio/CO2_C_Ratio+E40*CO_C_Ratio/CO2_C_Ratio</f>
        <v>57357.376500618295</v>
      </c>
      <c r="P40" s="1076">
        <f>O40+N40*CH4_GWP+M40*N2O_GWP</f>
        <v>74428.16509444236</v>
      </c>
      <c r="Q40" s="818"/>
      <c r="R40" s="819"/>
      <c r="S40" s="818"/>
      <c r="T40" s="818"/>
      <c r="U40" s="818"/>
      <c r="V40" s="818"/>
      <c r="W40" s="818"/>
      <c r="X40" s="818"/>
      <c r="Y40" s="818"/>
      <c r="Z40" s="819"/>
      <c r="AA40" s="818"/>
      <c r="AB40" s="818"/>
      <c r="AC40" s="818"/>
      <c r="AD40" s="818"/>
      <c r="AE40" s="818"/>
      <c r="AF40" s="818"/>
      <c r="AG40" s="818"/>
      <c r="AH40" s="818"/>
      <c r="AI40" s="818"/>
      <c r="AJ40" s="819"/>
      <c r="AK40" s="818"/>
      <c r="AL40" s="818"/>
      <c r="AM40" s="819"/>
      <c r="AN40" s="819"/>
    </row>
    <row r="41" spans="1:40" ht="15" customHeight="1">
      <c r="A41" s="818"/>
      <c r="B41" s="818"/>
      <c r="C41" s="818"/>
      <c r="D41" s="818"/>
      <c r="E41" s="818"/>
      <c r="F41" s="818"/>
      <c r="G41" s="818"/>
      <c r="H41" s="818"/>
      <c r="I41" s="818"/>
      <c r="K41" s="818"/>
      <c r="L41" s="818"/>
      <c r="M41" s="818"/>
      <c r="N41" s="818"/>
      <c r="O41" s="818"/>
      <c r="P41" s="818"/>
      <c r="Q41" s="818"/>
      <c r="R41" s="819"/>
      <c r="S41" s="818"/>
      <c r="T41" s="818"/>
      <c r="U41" s="818"/>
      <c r="V41" s="818"/>
      <c r="W41" s="818"/>
      <c r="X41" s="818"/>
      <c r="Y41" s="818"/>
      <c r="Z41" s="819"/>
      <c r="AA41" s="818"/>
      <c r="AB41" s="818"/>
      <c r="AC41" s="818"/>
      <c r="AD41" s="818"/>
      <c r="AE41" s="818"/>
      <c r="AF41" s="818"/>
      <c r="AG41" s="818"/>
      <c r="AH41" s="818"/>
      <c r="AI41" s="818"/>
      <c r="AJ41" s="819"/>
      <c r="AK41" s="818"/>
      <c r="AL41" s="818"/>
      <c r="AM41" s="819"/>
      <c r="AN41" s="819"/>
    </row>
    <row r="42" spans="1:40" ht="15" customHeight="1">
      <c r="I42" s="818"/>
      <c r="L42" s="818"/>
      <c r="M42" s="818"/>
      <c r="N42" s="818"/>
      <c r="O42" s="818"/>
      <c r="P42" s="818"/>
      <c r="Q42" s="818"/>
      <c r="R42" s="819"/>
      <c r="S42" s="818"/>
      <c r="T42" s="818"/>
      <c r="U42" s="818"/>
      <c r="V42" s="818"/>
      <c r="W42" s="818"/>
      <c r="X42" s="818"/>
      <c r="Y42" s="818"/>
      <c r="Z42" s="819"/>
      <c r="AA42" s="818"/>
      <c r="AB42" s="818"/>
      <c r="AC42" s="818"/>
      <c r="AD42" s="818"/>
      <c r="AE42" s="818"/>
      <c r="AF42" s="818"/>
      <c r="AG42" s="818"/>
      <c r="AH42" s="818"/>
      <c r="AI42" s="818"/>
      <c r="AJ42" s="819"/>
      <c r="AK42" s="818"/>
      <c r="AL42" s="818"/>
      <c r="AM42" s="819"/>
      <c r="AN42" s="819"/>
    </row>
    <row r="43" spans="1:40" ht="15.75">
      <c r="B43" s="1060"/>
      <c r="C43" s="1957" t="s">
        <v>1049</v>
      </c>
      <c r="D43" s="1957"/>
      <c r="E43" s="1957"/>
      <c r="F43" s="1957"/>
      <c r="G43" s="1957"/>
      <c r="H43" s="1957"/>
      <c r="I43" s="1957"/>
      <c r="K43" s="1060"/>
      <c r="L43" s="1957" t="s">
        <v>1049</v>
      </c>
      <c r="M43" s="1957"/>
      <c r="N43" s="1957"/>
      <c r="O43" s="1957"/>
      <c r="P43" s="1957"/>
      <c r="Q43" s="1060"/>
      <c r="R43" s="1060"/>
      <c r="S43" s="818" t="s">
        <v>213</v>
      </c>
      <c r="T43" s="818"/>
      <c r="U43" s="818"/>
      <c r="V43" s="818"/>
      <c r="W43" s="818"/>
      <c r="X43" s="818"/>
      <c r="Y43" s="818"/>
      <c r="Z43" s="819"/>
      <c r="AA43" s="818"/>
      <c r="AB43" s="818"/>
      <c r="AC43" s="818"/>
      <c r="AD43" s="818"/>
      <c r="AE43" s="818"/>
      <c r="AF43" s="818"/>
      <c r="AG43" s="818"/>
      <c r="AH43" s="818"/>
      <c r="AI43" s="818"/>
      <c r="AJ43" s="819"/>
      <c r="AK43" s="818"/>
      <c r="AL43" s="818"/>
      <c r="AM43" s="819"/>
      <c r="AN43" s="819"/>
    </row>
    <row r="44" spans="1:40" ht="18.75" thickBot="1">
      <c r="B44" s="1073" t="s">
        <v>1172</v>
      </c>
      <c r="C44" s="1062" t="s">
        <v>1166</v>
      </c>
      <c r="D44" s="1062" t="s">
        <v>116</v>
      </c>
      <c r="E44" s="1062" t="s">
        <v>862</v>
      </c>
      <c r="F44" s="1062" t="s">
        <v>1167</v>
      </c>
      <c r="G44" s="1062" t="s">
        <v>864</v>
      </c>
      <c r="H44" s="1062" t="s">
        <v>865</v>
      </c>
      <c r="I44" s="1062" t="s">
        <v>866</v>
      </c>
      <c r="K44" s="1073" t="s">
        <v>1172</v>
      </c>
      <c r="L44" s="1074" t="s">
        <v>1161</v>
      </c>
      <c r="M44" s="1074" t="s">
        <v>1162</v>
      </c>
      <c r="N44" s="1074" t="s">
        <v>1163</v>
      </c>
      <c r="O44" s="1074" t="s">
        <v>1575</v>
      </c>
      <c r="P44" s="1074" t="s">
        <v>1165</v>
      </c>
      <c r="Q44" s="1074" t="s">
        <v>254</v>
      </c>
      <c r="R44" s="1074" t="s">
        <v>255</v>
      </c>
      <c r="S44" s="818" t="s">
        <v>1442</v>
      </c>
      <c r="T44" s="818"/>
      <c r="U44" s="818"/>
      <c r="V44" s="818"/>
      <c r="W44" s="818"/>
      <c r="X44" s="818"/>
      <c r="Y44" s="818"/>
      <c r="Z44" s="819"/>
      <c r="AA44" s="818"/>
      <c r="AB44" s="818"/>
      <c r="AC44" s="818"/>
      <c r="AD44" s="818"/>
      <c r="AE44" s="818"/>
      <c r="AF44" s="818"/>
      <c r="AG44" s="818"/>
      <c r="AH44" s="818"/>
      <c r="AI44" s="818"/>
      <c r="AJ44" s="819"/>
      <c r="AK44" s="818"/>
      <c r="AL44" s="818"/>
      <c r="AM44" s="819"/>
      <c r="AN44" s="819"/>
    </row>
    <row r="45" spans="1:40" ht="15.75" customHeight="1" thickTop="1">
      <c r="B45" s="669"/>
      <c r="C45" s="669">
        <f t="shared" ref="C45:I45" si="10">C25+C35</f>
        <v>4.1985615366041644</v>
      </c>
      <c r="D45" s="669">
        <f t="shared" si="10"/>
        <v>8.397123073208329E-4</v>
      </c>
      <c r="E45" s="669">
        <f t="shared" si="10"/>
        <v>4.1985615366041644</v>
      </c>
      <c r="F45" s="669">
        <f t="shared" si="10"/>
        <v>7.767338842717705E-3</v>
      </c>
      <c r="G45" s="669">
        <f t="shared" si="10"/>
        <v>4.4195384595833311E-2</v>
      </c>
      <c r="H45" s="669">
        <f t="shared" si="10"/>
        <v>4.4195384595833311E-2</v>
      </c>
      <c r="I45" s="669">
        <f t="shared" si="10"/>
        <v>0</v>
      </c>
      <c r="K45" s="669"/>
      <c r="L45" s="670">
        <f t="shared" ref="L45:N47" si="11">L25+L35</f>
        <v>1043.8320725055446</v>
      </c>
      <c r="M45" s="669">
        <f t="shared" si="11"/>
        <v>6.8485446123541627E-2</v>
      </c>
      <c r="N45" s="669">
        <f t="shared" si="11"/>
        <v>11.711776917895827</v>
      </c>
      <c r="O45" s="670">
        <f>L45+D45*VOC_C_Ratio/CO2_C_Ratio+E45*CO_C_Ratio/CO2_C_Ratio</f>
        <v>1050.4311245653205</v>
      </c>
      <c r="P45" s="670">
        <f>O45+N45*CH4_GWP+M45*N2O_GWP</f>
        <v>1363.6342104575317</v>
      </c>
      <c r="Q45" s="669">
        <f>H45*'BC_OC Ratios'!$C$6/100</f>
        <v>8.8390769191666625E-3</v>
      </c>
      <c r="R45" s="669">
        <f>I45*'BC_OC Ratios'!$C$7/100</f>
        <v>0</v>
      </c>
      <c r="S45" s="1395">
        <f>N45/O45/(CO2_MW/CH4_MW)</f>
        <v>4.0651247442515491E-3</v>
      </c>
      <c r="T45" s="818"/>
      <c r="U45" s="818"/>
      <c r="V45" s="818"/>
      <c r="W45" s="818"/>
      <c r="X45" s="818"/>
      <c r="Y45" s="818"/>
      <c r="Z45" s="819"/>
      <c r="AA45" s="818"/>
      <c r="AB45" s="818"/>
      <c r="AC45" s="818"/>
      <c r="AD45" s="818"/>
      <c r="AE45" s="818"/>
      <c r="AF45" s="818"/>
      <c r="AG45" s="818"/>
      <c r="AH45" s="818"/>
      <c r="AI45" s="818"/>
      <c r="AJ45" s="819"/>
      <c r="AK45" s="818"/>
      <c r="AL45" s="818"/>
      <c r="AM45" s="819"/>
      <c r="AN45" s="819"/>
    </row>
    <row r="46" spans="1:40" ht="15" customHeight="1">
      <c r="B46" s="669"/>
      <c r="C46" s="669">
        <f t="shared" ref="C46:I46" si="12">C26+C36</f>
        <v>2.0464936E-2</v>
      </c>
      <c r="D46" s="669">
        <f t="shared" si="12"/>
        <v>4.6706019199999998E-5</v>
      </c>
      <c r="E46" s="669">
        <f t="shared" si="12"/>
        <v>3.9966495999999997E-2</v>
      </c>
      <c r="F46" s="669">
        <f t="shared" si="12"/>
        <v>1.01232E-5</v>
      </c>
      <c r="G46" s="669">
        <f t="shared" si="12"/>
        <v>3.676304E-4</v>
      </c>
      <c r="H46" s="669">
        <f t="shared" si="12"/>
        <v>3.6467039999999996E-4</v>
      </c>
      <c r="I46" s="669">
        <f t="shared" si="12"/>
        <v>0</v>
      </c>
      <c r="K46" s="669"/>
      <c r="L46" s="670">
        <f t="shared" si="11"/>
        <v>1.5714749586053882</v>
      </c>
      <c r="M46" s="669">
        <f t="shared" si="11"/>
        <v>1.0989600000000001E-4</v>
      </c>
      <c r="N46" s="669">
        <f t="shared" si="11"/>
        <v>1.5264592E-2</v>
      </c>
      <c r="O46" s="670">
        <f>L46+D46*VOC_C_Ratio/CO2_C_Ratio+E46*CO_C_Ratio/CO2_C_Ratio</f>
        <v>1.6344124897446581</v>
      </c>
      <c r="P46" s="670">
        <f>O46+N46*CH4_GWP+M46*N2O_GWP</f>
        <v>2.0487762977446584</v>
      </c>
      <c r="Q46" s="669">
        <f>H46*'BC_OC Ratios'!$C$6/100</f>
        <v>7.2934079999999995E-5</v>
      </c>
      <c r="R46" s="669">
        <f>I46*'BC_OC Ratios'!$C$7/100</f>
        <v>0</v>
      </c>
      <c r="S46" s="1395">
        <f>N46/O46/(CO2_MW/CH4_MW)</f>
        <v>3.4051966343929003E-3</v>
      </c>
      <c r="T46" s="818"/>
      <c r="U46" s="818"/>
      <c r="V46" s="818"/>
      <c r="W46" s="818"/>
      <c r="X46" s="818"/>
      <c r="Y46" s="818"/>
      <c r="Z46" s="819"/>
      <c r="AA46" s="818"/>
      <c r="AB46" s="818"/>
      <c r="AC46" s="818"/>
      <c r="AD46" s="818"/>
      <c r="AE46" s="818"/>
      <c r="AF46" s="818"/>
      <c r="AG46" s="818"/>
      <c r="AH46" s="818"/>
      <c r="AI46" s="818"/>
      <c r="AJ46" s="819"/>
      <c r="AK46" s="818"/>
      <c r="AL46" s="818"/>
      <c r="AM46" s="819"/>
      <c r="AN46" s="819"/>
    </row>
    <row r="47" spans="1:40" ht="15" customHeight="1">
      <c r="B47" s="669"/>
      <c r="C47" s="669">
        <f t="shared" ref="C47:I47" si="13">C27+C37</f>
        <v>1.9061999999999999E-2</v>
      </c>
      <c r="D47" s="669">
        <f t="shared" si="13"/>
        <v>5.1974040000000001E-4</v>
      </c>
      <c r="E47" s="669">
        <f t="shared" si="13"/>
        <v>9.7380000000000001E-3</v>
      </c>
      <c r="F47" s="669">
        <f t="shared" si="13"/>
        <v>1.6098700000000002E-5</v>
      </c>
      <c r="G47" s="669">
        <f t="shared" si="13"/>
        <v>9.2039999999999982E-4</v>
      </c>
      <c r="H47" s="669">
        <f t="shared" si="13"/>
        <v>8.6859999999999997E-4</v>
      </c>
      <c r="I47" s="669">
        <f t="shared" si="13"/>
        <v>0</v>
      </c>
      <c r="K47" s="669"/>
      <c r="L47" s="670">
        <f t="shared" si="11"/>
        <v>5.6175359142270462</v>
      </c>
      <c r="M47" s="669">
        <f t="shared" si="11"/>
        <v>5.2132000000000003E-4</v>
      </c>
      <c r="N47" s="669">
        <f t="shared" si="11"/>
        <v>2.4284360000000001E-2</v>
      </c>
      <c r="O47" s="670">
        <f>L47+D47*VOC_C_Ratio/CO2_C_Ratio+E47*CO_C_Ratio/CO2_C_Ratio</f>
        <v>5.6344538320721949</v>
      </c>
      <c r="P47" s="670">
        <f>O47+N47*CH4_GWP+M47*N2O_GWP</f>
        <v>6.3969161920721955</v>
      </c>
      <c r="Q47" s="669">
        <f>H47*'BC_OC Ratios'!$C$6/100</f>
        <v>1.7371999999999998E-4</v>
      </c>
      <c r="R47" s="669">
        <f>I47*'BC_OC Ratios'!$C$7/100</f>
        <v>0</v>
      </c>
      <c r="S47" s="1395">
        <f>N47/O47/(CO2_MW/CH4_MW)</f>
        <v>1.571424445373429E-3</v>
      </c>
      <c r="T47" s="818"/>
      <c r="U47" s="818"/>
      <c r="V47" s="818"/>
      <c r="W47" s="818"/>
      <c r="X47" s="818"/>
      <c r="Y47" s="818"/>
      <c r="Z47" s="819"/>
      <c r="AA47" s="818"/>
      <c r="AB47" s="818"/>
      <c r="AC47" s="818"/>
      <c r="AD47" s="818"/>
      <c r="AE47" s="818"/>
      <c r="AF47" s="818"/>
      <c r="AG47" s="818"/>
      <c r="AH47" s="818"/>
      <c r="AI47" s="818"/>
      <c r="AJ47" s="819"/>
      <c r="AK47" s="818"/>
      <c r="AL47" s="818"/>
      <c r="AM47" s="819"/>
      <c r="AN47" s="819"/>
    </row>
    <row r="48" spans="1:40" ht="15.75" customHeight="1" thickBot="1">
      <c r="B48" s="1077" t="s">
        <v>1050</v>
      </c>
      <c r="C48" s="1077">
        <f t="shared" ref="C48:I48" si="14">SUM(C45:C47)</f>
        <v>4.2380884726041641</v>
      </c>
      <c r="D48" s="1077">
        <f t="shared" si="14"/>
        <v>1.4061587265208329E-3</v>
      </c>
      <c r="E48" s="1077">
        <f t="shared" si="14"/>
        <v>4.2482660326041639</v>
      </c>
      <c r="F48" s="1077">
        <f t="shared" si="14"/>
        <v>7.7935607427177048E-3</v>
      </c>
      <c r="G48" s="1077">
        <f t="shared" si="14"/>
        <v>4.5483414995833311E-2</v>
      </c>
      <c r="H48" s="1077">
        <f t="shared" si="14"/>
        <v>4.5428654995833311E-2</v>
      </c>
      <c r="I48" s="1077">
        <f t="shared" si="14"/>
        <v>0</v>
      </c>
      <c r="K48" s="1529" t="s">
        <v>1050</v>
      </c>
      <c r="L48" s="1530">
        <f>SUM(L45:L47)</f>
        <v>1051.0210833783772</v>
      </c>
      <c r="M48" s="1529">
        <f>SUM(M45:M47)</f>
        <v>6.9116662123541631E-2</v>
      </c>
      <c r="N48" s="1529">
        <f>SUM(N45:N47)</f>
        <v>11.751325869895826</v>
      </c>
      <c r="O48" s="1530">
        <f>L48+D48*VOC_C_Ratio/CO2_C_Ratio+E48*CO_C_Ratio/CO2_C_Ratio</f>
        <v>1057.6999908871373</v>
      </c>
      <c r="P48" s="1530">
        <f>O48+N48*CH4_GWP+M48*N2O_GWP</f>
        <v>1372.0799029473485</v>
      </c>
      <c r="Q48" s="1529">
        <v>9.8586000900757528E-3</v>
      </c>
      <c r="R48" s="1529">
        <v>2.1097404192762105E-2</v>
      </c>
      <c r="S48" s="818"/>
      <c r="T48" s="818"/>
      <c r="U48" s="818"/>
      <c r="V48" s="818"/>
      <c r="W48" s="818"/>
      <c r="X48" s="818"/>
      <c r="Y48" s="818"/>
      <c r="Z48" s="819"/>
      <c r="AA48" s="818"/>
      <c r="AB48" s="818"/>
      <c r="AC48" s="818"/>
      <c r="AD48" s="818"/>
      <c r="AE48" s="818"/>
      <c r="AF48" s="818"/>
      <c r="AG48" s="818"/>
      <c r="AH48" s="818"/>
      <c r="AI48" s="818"/>
      <c r="AJ48" s="819"/>
      <c r="AK48" s="818"/>
      <c r="AL48" s="818"/>
      <c r="AM48" s="819"/>
      <c r="AN48" s="819"/>
    </row>
    <row r="49" spans="1:40" ht="15" customHeight="1">
      <c r="B49" s="669" t="s">
        <v>1141</v>
      </c>
      <c r="C49" s="670">
        <f>C48*1000000/SUM($D$60:$F$60)</f>
        <v>9321.9686233490647</v>
      </c>
      <c r="D49" s="670">
        <f t="shared" ref="D49:I49" si="15">D48*1000000/SUM($D$60:$F$60)</f>
        <v>3.0929433429267585</v>
      </c>
      <c r="E49" s="670">
        <f t="shared" si="15"/>
        <v>9344.3548702609769</v>
      </c>
      <c r="F49" s="670">
        <f t="shared" si="15"/>
        <v>17.14247571220184</v>
      </c>
      <c r="G49" s="670">
        <f t="shared" si="15"/>
        <v>100.04391607553953</v>
      </c>
      <c r="H49" s="670">
        <f t="shared" si="15"/>
        <v>99.923467669350188</v>
      </c>
      <c r="I49" s="670">
        <f t="shared" si="15"/>
        <v>0</v>
      </c>
      <c r="K49" s="669" t="s">
        <v>1141</v>
      </c>
      <c r="L49" s="670">
        <f t="shared" ref="L49:Q49" si="16">L48*1000000/SUM($D$60:$F$60)</f>
        <v>2311793.5420803721</v>
      </c>
      <c r="M49" s="670">
        <f t="shared" si="16"/>
        <v>152.02687717143641</v>
      </c>
      <c r="N49" s="670">
        <f t="shared" si="16"/>
        <v>25847.853755305627</v>
      </c>
      <c r="O49" s="670">
        <f t="shared" si="16"/>
        <v>2326484.2609356712</v>
      </c>
      <c r="P49" s="670">
        <f t="shared" si="16"/>
        <v>3017984.6142154005</v>
      </c>
      <c r="Q49" s="670">
        <f t="shared" si="16"/>
        <v>21.684672536664152</v>
      </c>
      <c r="R49" s="670">
        <f t="shared" ref="R49" si="17">R48*1000000/SUM($D$60:$F$60)</f>
        <v>46.405199228461264</v>
      </c>
      <c r="S49" s="818"/>
      <c r="T49" s="818"/>
      <c r="U49" s="818"/>
      <c r="V49" s="818"/>
      <c r="W49" s="818"/>
      <c r="X49" s="818"/>
      <c r="Y49" s="818"/>
      <c r="Z49" s="819"/>
      <c r="AA49" s="818"/>
      <c r="AB49" s="818"/>
      <c r="AC49" s="818"/>
      <c r="AD49" s="818"/>
      <c r="AE49" s="818"/>
      <c r="AF49" s="818"/>
      <c r="AG49" s="818"/>
      <c r="AH49" s="818"/>
      <c r="AI49" s="818"/>
      <c r="AJ49" s="819"/>
      <c r="AK49" s="818"/>
      <c r="AL49" s="818"/>
      <c r="AM49" s="819"/>
      <c r="AN49" s="819"/>
    </row>
    <row r="50" spans="1:40" ht="15" customHeight="1">
      <c r="B50" s="1075" t="s">
        <v>1142</v>
      </c>
      <c r="C50" s="1076">
        <f>C49/(lbperkg*Fuel_Specs!$P$13)*1000</f>
        <v>229.83787178004269</v>
      </c>
      <c r="D50" s="1075">
        <f>D49/(lbperkg*Fuel_Specs!$P$13)*1000</f>
        <v>7.6258089272472115E-2</v>
      </c>
      <c r="E50" s="1076">
        <f>E49/(lbperkg*Fuel_Specs!$P$13)*1000</f>
        <v>230.38981606941618</v>
      </c>
      <c r="F50" s="1076">
        <f>F49/(lbperkg*Fuel_Specs!$P$13)*1000</f>
        <v>0.42265644671501146</v>
      </c>
      <c r="G50" s="1076">
        <f>G49/(lbperkg*Fuel_Specs!$P$13)*1000</f>
        <v>2.4666335711267702</v>
      </c>
      <c r="H50" s="1076">
        <f>H49/(lbperkg*Fuel_Specs!$P$13)*1000</f>
        <v>2.4636638544868199</v>
      </c>
      <c r="I50" s="1076">
        <f>I49/(lbperkg*Fuel_Specs!$P$13)*1000</f>
        <v>0</v>
      </c>
      <c r="K50" s="1075" t="s">
        <v>1142</v>
      </c>
      <c r="L50" s="1076">
        <f>O50-N50*CO2_MW/CH4_MW-E50*CO2_MW/CO_MW</f>
        <v>56577.202465096962</v>
      </c>
      <c r="M50" s="1076">
        <f>M49/(lbperkg*Fuel_Specs!$P$13)*1000</f>
        <v>3.7482998832381398</v>
      </c>
      <c r="N50" s="1076">
        <f>N49/(lbperkg*Fuel_Specs!$P$13)*1000</f>
        <v>637.29196452357257</v>
      </c>
      <c r="O50" s="1076">
        <f>Factors!D74</f>
        <v>58687.085000000901</v>
      </c>
      <c r="P50" s="1076">
        <f>L50+N50*CH4_GWP+M50*N2O_GWP+E50*CO2_MW/CO_MW</f>
        <v>73988.464627061956</v>
      </c>
      <c r="Q50" s="1076">
        <f>Q49/(lbperkg*Fuel_Specs!$P$13)*1000</f>
        <v>0.53464661676617642</v>
      </c>
      <c r="R50" s="1076">
        <f>R49/(lbperkg*Fuel_Specs!$P$13)*1000</f>
        <v>1.1441437598796169</v>
      </c>
      <c r="S50" s="818"/>
      <c r="T50" s="818"/>
      <c r="U50" s="818"/>
      <c r="V50" s="818"/>
      <c r="W50" s="818"/>
      <c r="X50" s="818"/>
      <c r="Y50" s="818"/>
      <c r="Z50" s="819"/>
      <c r="AA50" s="818"/>
      <c r="AB50" s="818"/>
      <c r="AC50" s="818"/>
      <c r="AD50" s="818"/>
      <c r="AE50" s="818"/>
      <c r="AF50" s="818"/>
      <c r="AG50" s="818"/>
      <c r="AH50" s="818"/>
      <c r="AI50" s="818"/>
      <c r="AJ50" s="819"/>
      <c r="AK50" s="818"/>
      <c r="AL50" s="818"/>
      <c r="AM50" s="819"/>
      <c r="AN50" s="819"/>
    </row>
    <row r="51" spans="1:40">
      <c r="A51" s="818"/>
      <c r="B51" s="818"/>
      <c r="C51" s="818"/>
      <c r="D51" s="818"/>
      <c r="E51" s="818"/>
      <c r="F51" s="818"/>
      <c r="G51" s="818"/>
      <c r="H51" s="818"/>
      <c r="I51" s="818"/>
      <c r="J51" s="818"/>
      <c r="K51" s="1075" t="s">
        <v>1573</v>
      </c>
      <c r="L51" s="1516">
        <f>L49/(lbperkg*Fuel_Specs!$P$13)*1000</f>
        <v>56998.444124317146</v>
      </c>
      <c r="M51" s="1076">
        <f>M49/(lbperkg*Fuel_Specs!$P$13)*1000</f>
        <v>3.7482998832381398</v>
      </c>
      <c r="N51" s="1076">
        <f>N49/(lbperkg*Fuel_Specs!$P$13)*1000</f>
        <v>637.29196452357257</v>
      </c>
      <c r="O51" s="1076">
        <f>L51+D50*VOC_C_Ratio/CO2_C_Ratio+E50*CO_C_Ratio/CO2_C_Ratio</f>
        <v>57360.651260282371</v>
      </c>
      <c r="P51" s="1076">
        <f>O51+N51*CH4_GWP+M51*N2O_GWP</f>
        <v>74409.943738576651</v>
      </c>
      <c r="Q51" s="818"/>
      <c r="R51" s="818"/>
      <c r="S51" s="818"/>
      <c r="T51" s="818"/>
      <c r="U51" s="818"/>
      <c r="V51" s="818"/>
      <c r="W51" s="818"/>
      <c r="X51" s="818"/>
      <c r="Y51" s="818"/>
      <c r="Z51" s="819"/>
      <c r="AA51" s="818"/>
      <c r="AB51" s="818"/>
      <c r="AC51" s="818"/>
      <c r="AD51" s="818"/>
      <c r="AE51" s="818"/>
      <c r="AF51" s="818"/>
      <c r="AG51" s="818"/>
      <c r="AH51" s="818"/>
      <c r="AI51" s="818"/>
      <c r="AJ51" s="819"/>
      <c r="AK51" s="818"/>
      <c r="AL51" s="818"/>
      <c r="AM51" s="819"/>
      <c r="AN51" s="819"/>
    </row>
    <row r="52" spans="1:40">
      <c r="I52" s="818"/>
      <c r="K52" s="818"/>
      <c r="L52" s="818"/>
      <c r="M52" s="818"/>
      <c r="N52" s="818"/>
      <c r="O52" s="1076">
        <f>L50+D50*VOC_C_Ratio*CO2_C_Ratio+E50*CO_C_Ratio/CO2_C_Ratio+N50*CO2_MW/CH4_MW</f>
        <v>58687.102694298184</v>
      </c>
      <c r="P52" s="818"/>
      <c r="Q52" s="818"/>
      <c r="R52" s="818"/>
      <c r="S52" s="818"/>
      <c r="T52" s="818"/>
      <c r="U52" s="818"/>
      <c r="V52" s="818"/>
      <c r="W52" s="818"/>
      <c r="X52" s="818"/>
      <c r="Y52" s="818"/>
      <c r="Z52" s="819"/>
      <c r="AA52" s="818"/>
      <c r="AB52" s="818"/>
      <c r="AC52" s="818"/>
      <c r="AD52" s="818"/>
      <c r="AE52" s="818"/>
      <c r="AF52" s="818"/>
      <c r="AG52" s="818"/>
      <c r="AH52" s="818"/>
      <c r="AI52" s="818"/>
      <c r="AJ52" s="819"/>
      <c r="AK52" s="818"/>
      <c r="AL52" s="818"/>
      <c r="AM52" s="819"/>
      <c r="AN52" s="819"/>
    </row>
    <row r="53" spans="1:40">
      <c r="I53" s="818"/>
      <c r="J53" s="818"/>
      <c r="K53" s="818"/>
      <c r="L53" s="818"/>
      <c r="M53" s="818"/>
      <c r="N53" s="818"/>
      <c r="O53" s="818"/>
      <c r="P53" s="819"/>
      <c r="Q53" s="818"/>
      <c r="R53" s="818"/>
      <c r="S53" s="818"/>
      <c r="T53" s="818"/>
      <c r="U53" s="818"/>
      <c r="V53" s="818"/>
      <c r="W53" s="818"/>
      <c r="X53" s="818"/>
      <c r="Y53" s="818"/>
      <c r="Z53" s="819"/>
      <c r="AA53" s="818"/>
      <c r="AB53" s="818"/>
      <c r="AC53" s="818"/>
      <c r="AD53" s="818"/>
      <c r="AE53" s="818"/>
      <c r="AF53" s="818"/>
      <c r="AG53" s="818"/>
      <c r="AH53" s="818"/>
      <c r="AI53" s="818"/>
      <c r="AJ53" s="819"/>
      <c r="AK53" s="818"/>
      <c r="AL53" s="818"/>
      <c r="AM53" s="819"/>
      <c r="AN53" s="819"/>
    </row>
    <row r="54" spans="1:40">
      <c r="I54" s="818"/>
      <c r="J54" s="818"/>
      <c r="K54" s="818"/>
      <c r="L54" s="818"/>
      <c r="M54" s="818"/>
      <c r="N54" s="818"/>
      <c r="O54" s="818"/>
      <c r="P54" s="819"/>
      <c r="Q54" s="818"/>
      <c r="R54" s="818"/>
      <c r="S54" s="818"/>
      <c r="T54" s="818"/>
      <c r="U54" s="818"/>
      <c r="V54" s="818"/>
      <c r="W54" s="818"/>
      <c r="X54" s="818"/>
      <c r="Y54" s="818"/>
      <c r="Z54" s="819"/>
      <c r="AA54" s="818"/>
      <c r="AB54" s="818"/>
      <c r="AC54" s="818"/>
      <c r="AD54" s="818"/>
      <c r="AE54" s="818"/>
      <c r="AF54" s="818"/>
      <c r="AG54" s="818"/>
      <c r="AH54" s="818"/>
      <c r="AI54" s="818"/>
      <c r="AJ54" s="819"/>
      <c r="AK54" s="818"/>
      <c r="AL54" s="818"/>
      <c r="AM54" s="819"/>
      <c r="AN54" s="819"/>
    </row>
    <row r="55" spans="1:40">
      <c r="I55" s="818"/>
      <c r="J55" s="818"/>
      <c r="K55" s="818"/>
      <c r="L55" s="818"/>
      <c r="M55" s="818"/>
      <c r="N55" s="818"/>
      <c r="O55" s="818"/>
      <c r="P55" s="819"/>
      <c r="Q55" s="818"/>
      <c r="R55" s="818"/>
      <c r="S55" s="818"/>
      <c r="T55" s="818"/>
      <c r="U55" s="818"/>
      <c r="V55" s="818"/>
      <c r="W55" s="818"/>
      <c r="X55" s="818"/>
      <c r="Y55" s="818"/>
      <c r="Z55" s="819"/>
      <c r="AA55" s="818"/>
      <c r="AB55" s="818"/>
      <c r="AC55" s="818"/>
      <c r="AD55" s="818"/>
      <c r="AE55" s="818"/>
      <c r="AF55" s="818"/>
      <c r="AG55" s="818"/>
      <c r="AH55" s="818"/>
      <c r="AI55" s="818"/>
      <c r="AJ55" s="819"/>
      <c r="AK55" s="818"/>
      <c r="AL55" s="818"/>
      <c r="AM55" s="819"/>
      <c r="AN55" s="819"/>
    </row>
    <row r="56" spans="1:40" ht="18.75">
      <c r="B56" s="569" t="s">
        <v>983</v>
      </c>
    </row>
    <row r="57" spans="1:40" ht="34.5" customHeight="1" thickBot="1">
      <c r="B57" s="1951" t="s">
        <v>984</v>
      </c>
      <c r="C57" s="1951"/>
      <c r="D57" s="631" t="s">
        <v>946</v>
      </c>
      <c r="E57" s="631" t="s">
        <v>947</v>
      </c>
      <c r="F57" s="631" t="s">
        <v>985</v>
      </c>
      <c r="G57" s="631" t="s">
        <v>200</v>
      </c>
      <c r="I57" s="572"/>
    </row>
    <row r="58" spans="1:40" ht="30.75" customHeight="1" thickTop="1">
      <c r="B58" s="1952" t="s">
        <v>1138</v>
      </c>
      <c r="C58" s="1952"/>
      <c r="D58" s="573">
        <f>($C$18*D$18*$K$6+$C$19*D$19*$L$6+$C$20*D$20*$M$6)*'EF Marine Vessels spec. TOTE'!$C$111/1000000/'Direct End use'!$G$30</f>
        <v>62.240639552285828</v>
      </c>
      <c r="E58" s="573">
        <f>($C$18*E$18*$K$6+$C$19*E$19*$L$6+$C$20*E$20*$M$6)*'EF Marine Vessels spec. TOTE'!$C$112/1000000/'Direct End use'!$G$30</f>
        <v>0.83682753547030997</v>
      </c>
      <c r="F58" s="573">
        <f>($C$18*F$18*$K$6+$C$19*F$19*$L$6+$C$20*F$20*$M$6)*'EF Marine Vessels spec. TOTE'!$C$113/1000000</f>
        <v>0.73967481959366632</v>
      </c>
      <c r="G58" s="573">
        <f>SUM(D58:F58)</f>
        <v>63.817141907349807</v>
      </c>
      <c r="I58" s="572"/>
    </row>
    <row r="59" spans="1:40" ht="30.75" customHeight="1">
      <c r="B59" s="1952" t="s">
        <v>1139</v>
      </c>
      <c r="C59" s="1952"/>
      <c r="D59" s="573">
        <f>($C$18*D$18*(1-$K$6)+$C$19*D$19*(1-$L$6)+$C$20*D$20*(1-$M$6))*'EF Marine Vessels spec. TOTE'!$C$111/1000000/'Direct End use'!$G$30</f>
        <v>387.88417965055152</v>
      </c>
      <c r="E59" s="573">
        <f>($C$18*E$18*(1-$K$6)+$C$19*E$19*(1-$L$6)+$C$20*E$20*(1-$M$6))*'EF Marine Vessels spec. TOTE'!$C$112/1000000/'Direct End use'!$G$30</f>
        <v>2.1934959537572252</v>
      </c>
      <c r="F59" s="573">
        <f>($C$18*F$18*(1-$K$6)+$C$19*F$19*(1-$L$6)+$C$20*F$20*(1-$M$6))*'EF Marine Vessels spec. TOTE'!$C$113/1000000</f>
        <v>0.73967481959366632</v>
      </c>
      <c r="G59" s="573">
        <f>SUM(D59:F59)</f>
        <v>390.81735042390244</v>
      </c>
      <c r="I59" s="572"/>
    </row>
    <row r="60" spans="1:40" ht="30.75" customHeight="1">
      <c r="B60" s="1953" t="s">
        <v>1565</v>
      </c>
      <c r="C60" s="1953"/>
      <c r="D60" s="1079">
        <f>($C$18*D18+$C$19*D19+$C$20*D20)*'EF Marine Vessels spec. TOTE'!$C$111/1000000/'Direct End use'!$G$30</f>
        <v>450.12481920283733</v>
      </c>
      <c r="E60" s="1079">
        <f>($C$18*E18+$C$19*E19+$C$20*E20)*'EF Marine Vessels spec. TOTE'!$C$112/1000000/'Direct End use'!$G$30</f>
        <v>3.030323489227535</v>
      </c>
      <c r="F60" s="1079">
        <f>($C$18*F18+$C$19*F19+$C$20*F20)*'EF Marine Vessels spec. TOTE'!$C$113/1000000</f>
        <v>1.4793496391873326</v>
      </c>
      <c r="G60" s="1079">
        <f>SUM(D60:F60)</f>
        <v>454.6344923312522</v>
      </c>
      <c r="I60" s="572"/>
    </row>
    <row r="61" spans="1:40">
      <c r="D61" s="574"/>
      <c r="E61" s="574"/>
      <c r="F61" s="574"/>
      <c r="H61" s="571"/>
      <c r="I61" s="572"/>
    </row>
    <row r="63" spans="1:40" ht="18.75">
      <c r="B63" s="569"/>
    </row>
    <row r="64" spans="1:40" ht="15.75">
      <c r="B64" s="1080" t="s">
        <v>987</v>
      </c>
      <c r="C64" s="1950" t="s">
        <v>986</v>
      </c>
      <c r="D64" s="1950"/>
      <c r="E64" s="1950"/>
      <c r="F64" s="1950"/>
      <c r="G64" s="1950"/>
      <c r="H64" s="1950"/>
      <c r="I64" s="1950"/>
      <c r="J64" s="1950"/>
      <c r="K64" s="1950"/>
      <c r="L64" s="1950"/>
    </row>
    <row r="65" spans="2:12" ht="18.75" thickBot="1">
      <c r="B65" s="1081" t="s">
        <v>946</v>
      </c>
      <c r="C65" s="1074" t="s">
        <v>1166</v>
      </c>
      <c r="D65" s="1074" t="s">
        <v>116</v>
      </c>
      <c r="E65" s="1074" t="s">
        <v>862</v>
      </c>
      <c r="F65" s="1074" t="s">
        <v>1167</v>
      </c>
      <c r="G65" s="1074" t="s">
        <v>864</v>
      </c>
      <c r="H65" s="1074" t="s">
        <v>865</v>
      </c>
      <c r="I65" s="1074" t="s">
        <v>866</v>
      </c>
      <c r="J65" s="1074" t="s">
        <v>1161</v>
      </c>
      <c r="K65" s="1074" t="s">
        <v>1162</v>
      </c>
      <c r="L65" s="1074" t="s">
        <v>1163</v>
      </c>
    </row>
    <row r="66" spans="2:12" ht="15.75" thickTop="1">
      <c r="B66" s="568" t="s">
        <v>960</v>
      </c>
      <c r="C66" s="575">
        <f>VLOOKUP($G$12,'EF Marine Vessels spec. TOTE'!$D$8:$K$17,2,FALSE)*VLOOKUP($G$18,'EF Marine Vessels spec. TOTE'!$B$98:$L$106,2,FALSE)</f>
        <v>1.9</v>
      </c>
      <c r="D66" s="575">
        <f>VLOOKUP($G$12,'EF Marine Vessels spec. TOTE'!$D$8:$K$17,3,FALSE)*VLOOKUP($G$18,'EF Marine Vessels spec. TOTE'!$B$98:$L$106,3,FALSE)</f>
        <v>3.8000000000000002E-4</v>
      </c>
      <c r="E66" s="575">
        <f>VLOOKUP($G$12,'EF Marine Vessels spec. TOTE'!$D$8:$K$17,4,FALSE)*VLOOKUP($G$18,'EF Marine Vessels spec. TOTE'!$B$98:$L$106,4,FALSE)</f>
        <v>1.9</v>
      </c>
      <c r="F66" s="575">
        <f>VLOOKUP($G$12,'EF Marine Vessels spec. TOTE'!$D$8:$K$17,5,FALSE)*VLOOKUP($G$18,'EF Marine Vessels spec. TOTE'!$B$98:$L$106,5,FALSE)</f>
        <v>3.5150000000000003E-3</v>
      </c>
      <c r="G66" s="575">
        <f>VLOOKUP($G$12,'EF Marine Vessels spec. TOTE'!$D$8:$K$17,6,FALSE)*VLOOKUP($G$18,'EF Marine Vessels spec. TOTE'!$B$98:$L$106,6,FALSE)</f>
        <v>0.02</v>
      </c>
      <c r="H66" s="575">
        <f>VLOOKUP($G$12,'EF Marine Vessels spec. TOTE'!$D$8:$K$17,7,FALSE)*VLOOKUP($G$18,'EF Marine Vessels spec. TOTE'!$B$98:$L$106,7,FALSE)</f>
        <v>0.02</v>
      </c>
      <c r="I66" s="575">
        <f>VLOOKUP($G$12,'EF Marine Vessels spec. TOTE'!$D$8:$K$17,8,FALSE)*VLOOKUP($G$18,'EF Marine Vessels spec. TOTE'!$B$98:$L$106,8,FALSE)</f>
        <v>0</v>
      </c>
      <c r="J66" s="576">
        <f>VLOOKUP($G$12,'EF Marine Vessels spec. TOTE'!$P$8:$S$17,2,FALSE)*VLOOKUP($G$18,'EF Marine Vessels spec. TOTE'!$B$98:$L$106,9,FALSE)</f>
        <v>472.26803186489241</v>
      </c>
      <c r="K66" s="575">
        <f>VLOOKUP($G$12,'EF Marine Vessels spec. TOTE'!$P$8:$S$17,3,FALSE)*VLOOKUP($G$18,'EF Marine Vessels spec. TOTE'!$B$98:$L$106,10,FALSE)</f>
        <v>3.1E-2</v>
      </c>
      <c r="L66" s="575">
        <f>VLOOKUP($G$12,'EF Marine Vessels spec. TOTE'!$P$8:$S$17,4,FALSE)*VLOOKUP($G$18,'EF Marine Vessels spec. TOTE'!$B$98:$L$106,11,FALSE)</f>
        <v>5.3</v>
      </c>
    </row>
    <row r="67" spans="2:12">
      <c r="B67" s="568" t="s">
        <v>1335</v>
      </c>
      <c r="C67" s="575">
        <f>VLOOKUP($G$12,'EF Marine Vessels spec. TOTE'!$D$8:$K$17,2,FALSE)*VLOOKUP($G$19,'EF Marine Vessels spec. TOTE'!$B$98:$L$106,2,FALSE)*VLOOKUP(IF($D$19/$D$12&lt;0.02,0.02,$D$19/$D$12),'EF Marine Vessels spec. TOTE'!$B$28:$F$46,2,TRUE)</f>
        <v>8.7969999999999988</v>
      </c>
      <c r="D67" s="575">
        <f>VLOOKUP($G$12,'EF Marine Vessels spec. TOTE'!$D$8:$K$17,3,FALSE)*VLOOKUP($G$19,'EF Marine Vessels spec. TOTE'!$B$98:$L$106,3,FALSE)*VLOOKUP(IF($D$19/$D$12&lt;0.02,0.02,$D$19/$D$12),'EF Marine Vessels spec. TOTE'!$B$28:$F$46,3,TRUE)</f>
        <v>8.0484000000000007E-3</v>
      </c>
      <c r="E67" s="575">
        <f>VLOOKUP($G$12,'EF Marine Vessels spec. TOTE'!$D$8:$K$17,4,FALSE)*VLOOKUP($G$19,'EF Marine Vessels spec. TOTE'!$B$98:$L$106,4,FALSE)*VLOOKUP(IF($D$19/$D$12&lt;0.02,0.02,$D$19/$D$12),'EF Marine Vessels spec. TOTE'!$B$28:$F$46,4,TRUE)</f>
        <v>18.391999999999999</v>
      </c>
      <c r="F67" s="575">
        <f>VLOOKUP($G$12,'EF Marine Vessels spec. TOTE'!$D$8:$K$17,5,FALSE)*VLOOKUP($G$19,'EF Marine Vessels spec. TOTE'!$B$98:$L$106,5,FALSE)</f>
        <v>3.5150000000000003E-3</v>
      </c>
      <c r="G67" s="575">
        <f>VLOOKUP($G$12,'EF Marine Vessels spec. TOTE'!$D$8:$K$17,6,FALSE)*VLOOKUP($G$19,'EF Marine Vessels spec. TOTE'!$B$98:$L$106,6,FALSE)*VLOOKUP(IF($D$19/$D$12&lt;0.02,0.02,$D$19/$D$12),'EF Marine Vessels spec. TOTE'!$B$28:$F$46,5,TRUE)</f>
        <v>0.14580000000000001</v>
      </c>
      <c r="H67" s="575">
        <f>VLOOKUP($G$12,'EF Marine Vessels spec. TOTE'!$D$8:$K$17,7,FALSE)*VLOOKUP($G$19,'EF Marine Vessels spec. TOTE'!$B$98:$L$106,7,FALSE)*VLOOKUP(IF($D$19/$D$12&lt;0.02,0.02,$D$19/$D$12),'EF Marine Vessels spec. TOTE'!$B$28:$F$46,5,TRUE)</f>
        <v>0.14580000000000001</v>
      </c>
      <c r="I67" s="575">
        <f>VLOOKUP($G$12,'EF Marine Vessels spec. TOTE'!$D$8:$K$17,8,FALSE)*VLOOKUP($G$19,'EF Marine Vessels spec. TOTE'!$B$98:$L$106,8,FALSE)*VLOOKUP(IF($D$19/$D$12&lt;0.02,0.02,$D$19/$D$12),'EF Marine Vessels spec. TOTE'!$B$28:$F$46,5,TRUE)</f>
        <v>0</v>
      </c>
      <c r="J67" s="576">
        <f>VLOOKUP($G$12,'EF Marine Vessels spec. TOTE'!$P$8:$S$17,2,FALSE)*VLOOKUP($G$18,'EF Marine Vessels spec. TOTE'!$B$98:$L$106,9,FALSE)</f>
        <v>472.26803186489241</v>
      </c>
      <c r="K67" s="575">
        <f>VLOOKUP($G$12,'EF Marine Vessels spec. TOTE'!$P$8:$S$17,3,FALSE)*VLOOKUP($G$18,'EF Marine Vessels spec. TOTE'!$B$98:$L$106,10,FALSE)</f>
        <v>3.1E-2</v>
      </c>
      <c r="L67" s="575">
        <f>VLOOKUP($G$12,'EF Marine Vessels spec. TOTE'!$P$8:$S$17,4,FALSE)*VLOOKUP($G$18,'EF Marine Vessels spec. TOTE'!$B$98:$L$106,11,FALSE)</f>
        <v>5.3</v>
      </c>
    </row>
    <row r="68" spans="2:12">
      <c r="B68" s="568" t="s">
        <v>961</v>
      </c>
      <c r="C68" s="575">
        <f>VLOOKUP($G$12,'EF Marine Vessels spec. TOTE'!$D$8:$K$17,2,FALSE)*VLOOKUP($G$20,'EF Marine Vessels spec. TOTE'!$B$98:$L$106,2,FALSE)*VLOOKUP(IF($D$20/$D$12&lt;0.02,0.02,$D$20/$D$12),'EF Marine Vessels spec. TOTE'!$B$28:$F$46,2,TRUE)</f>
        <v>8.7969999999999988</v>
      </c>
      <c r="D68" s="575">
        <f>VLOOKUP($G$12,'EF Marine Vessels spec. TOTE'!$D$8:$K$17,3,FALSE)*VLOOKUP($G$20,'EF Marine Vessels spec. TOTE'!$B$98:$L$106,3,FALSE)*VLOOKUP(IF($D$20/$D$12&lt;0.02,0.02,$D$20/$D$12),'EF Marine Vessels spec. TOTE'!$B$28:$F$46,3,TRUE)</f>
        <v>8.0484000000000007E-3</v>
      </c>
      <c r="E68" s="575">
        <f>VLOOKUP($G$12,'EF Marine Vessels spec. TOTE'!$D$8:$K$17,4,FALSE)*VLOOKUP($G$20,'EF Marine Vessels spec. TOTE'!$B$98:$L$106,4,FALSE)*VLOOKUP(IF($D$20/$D$12&lt;0.02,0.02,$D$20/$D$12),'EF Marine Vessels spec. TOTE'!$B$28:$F$46,4,TRUE)</f>
        <v>18.391999999999999</v>
      </c>
      <c r="F68" s="575">
        <f>VLOOKUP($G$12,'EF Marine Vessels spec. TOTE'!$D$8:$K$17,5,FALSE)*VLOOKUP($G$20,'EF Marine Vessels spec. TOTE'!$B$98:$L$106,5,FALSE)</f>
        <v>3.5150000000000003E-3</v>
      </c>
      <c r="G68" s="575">
        <f>VLOOKUP($G$12,'EF Marine Vessels spec. TOTE'!$D$8:$K$17,6,FALSE)*VLOOKUP($G$20,'EF Marine Vessels spec. TOTE'!$B$98:$L$106,6,FALSE)*VLOOKUP(IF($D$20/$D$12&lt;0.02,0.02,$D$20/$D$12),'EF Marine Vessels spec. TOTE'!$B$28:$F$46,5,TRUE)</f>
        <v>0.14580000000000001</v>
      </c>
      <c r="H68" s="575">
        <f>VLOOKUP($G$12,'EF Marine Vessels spec. TOTE'!$D$8:$K$17,7,FALSE)*VLOOKUP($G$20,'EF Marine Vessels spec. TOTE'!$B$98:$L$106,7,FALSE)*VLOOKUP(IF($D$20/$D$12&lt;0.02,0.02,$D$20/$D$12),'EF Marine Vessels spec. TOTE'!$B$28:$F$46,5,TRUE)</f>
        <v>0.14580000000000001</v>
      </c>
      <c r="I68" s="575">
        <f>VLOOKUP($G$12,'EF Marine Vessels spec. TOTE'!$D$8:$K$17,8,FALSE)*VLOOKUP($G$20,'EF Marine Vessels spec. TOTE'!$B$98:$L$106,8,FALSE)*VLOOKUP(IF($D$20/$D$12&lt;0.02,0.02,$D$20/$D$12),'EF Marine Vessels spec. TOTE'!$B$28:$F$46,5,TRUE)</f>
        <v>0</v>
      </c>
      <c r="J68" s="576">
        <f>VLOOKUP($G$12,'EF Marine Vessels spec. TOTE'!$P$8:$S$17,2,FALSE)*VLOOKUP($G$18,'EF Marine Vessels spec. TOTE'!$B$98:$L$106,9,FALSE)</f>
        <v>472.26803186489241</v>
      </c>
      <c r="K68" s="575">
        <f>VLOOKUP($G$12,'EF Marine Vessels spec. TOTE'!$P$8:$S$17,3,FALSE)*VLOOKUP($G$18,'EF Marine Vessels spec. TOTE'!$B$98:$L$106,10,FALSE)</f>
        <v>3.1E-2</v>
      </c>
      <c r="L68" s="575">
        <f>VLOOKUP($G$12,'EF Marine Vessels spec. TOTE'!$P$8:$S$17,4,FALSE)*VLOOKUP($G$18,'EF Marine Vessels spec. TOTE'!$B$98:$L$106,11,FALSE)</f>
        <v>5.3</v>
      </c>
    </row>
    <row r="69" spans="2:12" ht="18">
      <c r="B69" s="1082" t="s">
        <v>947</v>
      </c>
      <c r="C69" s="1083" t="s">
        <v>1166</v>
      </c>
      <c r="D69" s="1083" t="s">
        <v>116</v>
      </c>
      <c r="E69" s="1083" t="s">
        <v>862</v>
      </c>
      <c r="F69" s="1083" t="s">
        <v>1167</v>
      </c>
      <c r="G69" s="1083" t="s">
        <v>864</v>
      </c>
      <c r="H69" s="1083" t="s">
        <v>865</v>
      </c>
      <c r="I69" s="1083" t="s">
        <v>866</v>
      </c>
      <c r="J69" s="1083" t="s">
        <v>1161</v>
      </c>
      <c r="K69" s="1083" t="s">
        <v>1162</v>
      </c>
      <c r="L69" s="1083" t="s">
        <v>1163</v>
      </c>
    </row>
    <row r="70" spans="2:12">
      <c r="B70" s="568" t="s">
        <v>960</v>
      </c>
      <c r="C70" s="575">
        <f>VLOOKUP($H$12,'EF Marine Vessels spec. TOTE'!$D$51:$K$55,2,FALSE)*VLOOKUP($G18,'EF Marine Vessels spec. TOTE'!$B$98:$L$106,2,FALSE)</f>
        <v>1.9</v>
      </c>
      <c r="D70" s="575">
        <f>VLOOKUP($H$12,'EF Marine Vessels spec. TOTE'!$D$51:$K$55,3,FALSE)*VLOOKUP($G18,'EF Marine Vessels spec. TOTE'!$B$98:$L$106,3,FALSE)</f>
        <v>3.8000000000000002E-4</v>
      </c>
      <c r="E70" s="575">
        <f>VLOOKUP($H$12,'EF Marine Vessels spec. TOTE'!$D$51:$K$55,4,FALSE)*VLOOKUP($G18,'EF Marine Vessels spec. TOTE'!$B$98:$L$106,4,FALSE)</f>
        <v>1.9</v>
      </c>
      <c r="F70" s="575">
        <f>VLOOKUP($H$12,'EF Marine Vessels spec. TOTE'!$D$51:$K$55,5,FALSE)*VLOOKUP($G18,'EF Marine Vessels spec. TOTE'!$B$98:$L$106,5,FALSE)</f>
        <v>3.5150000000000003E-3</v>
      </c>
      <c r="G70" s="575">
        <f>VLOOKUP($H$12,'EF Marine Vessels spec. TOTE'!$D$51:$K$55,6,FALSE)*VLOOKUP($G18,'EF Marine Vessels spec. TOTE'!$B$98:$L$106,6,FALSE)</f>
        <v>0.02</v>
      </c>
      <c r="H70" s="575">
        <f>VLOOKUP($H$12,'EF Marine Vessels spec. TOTE'!$D$51:$K$55,7,FALSE)*VLOOKUP($G18,'EF Marine Vessels spec. TOTE'!$B$98:$L$106,7,FALSE)</f>
        <v>0.02</v>
      </c>
      <c r="I70" s="575">
        <f>VLOOKUP($H$12,'EF Marine Vessels spec. TOTE'!$D$51:$K$55,8,FALSE)*VLOOKUP($G18,'EF Marine Vessels spec. TOTE'!$B$98:$L$106,8,FALSE)</f>
        <v>0</v>
      </c>
      <c r="J70" s="576">
        <f>VLOOKUP($H$12,'EF Marine Vessels spec. TOTE'!$P$51:$S$55,2,FALSE)*VLOOKUP($G18,'EF Marine Vessels spec. TOTE'!$B$98:$L$106,9,FALSE)</f>
        <v>498.55624752414644</v>
      </c>
      <c r="K70" s="575">
        <f>VLOOKUP($H$12,'EF Marine Vessels spec. TOTE'!$P$51:$S$55,3,FALSE)*VLOOKUP($G18,'EF Marine Vessels spec. TOTE'!$B$98:$L$106,10,FALSE)</f>
        <v>2.9000000000000001E-2</v>
      </c>
      <c r="L70" s="575">
        <f>VLOOKUP($H$12,'EF Marine Vessels spec. TOTE'!$P$51:$S$55,4,FALSE)*VLOOKUP($G18,'EF Marine Vessels spec. TOTE'!$B$98:$L$106,11,FALSE)</f>
        <v>5.3</v>
      </c>
    </row>
    <row r="71" spans="2:12">
      <c r="B71" s="568" t="s">
        <v>1335</v>
      </c>
      <c r="C71" s="575">
        <f>VLOOKUP($H$12,'EF Marine Vessels spec. TOTE'!$D$51:$K$55,2,FALSE)*VLOOKUP($G19,'EF Marine Vessels spec. TOTE'!$B$98:$L$106,2,FALSE)</f>
        <v>1.9</v>
      </c>
      <c r="D71" s="575">
        <f>VLOOKUP($H$12,'EF Marine Vessels spec. TOTE'!$D$51:$K$55,3,FALSE)*VLOOKUP($G19,'EF Marine Vessels spec. TOTE'!$B$98:$L$106,3,FALSE)</f>
        <v>3.8000000000000002E-4</v>
      </c>
      <c r="E71" s="575">
        <f>VLOOKUP($H$12,'EF Marine Vessels spec. TOTE'!$D$51:$K$55,4,FALSE)*VLOOKUP($G19,'EF Marine Vessels spec. TOTE'!$B$98:$L$106,4,FALSE)</f>
        <v>1.9</v>
      </c>
      <c r="F71" s="575">
        <f>VLOOKUP($H$12,'EF Marine Vessels spec. TOTE'!$D$51:$K$55,5,FALSE)*VLOOKUP($G19,'EF Marine Vessels spec. TOTE'!$B$98:$L$106,5,FALSE)</f>
        <v>3.5150000000000003E-3</v>
      </c>
      <c r="G71" s="575">
        <f>VLOOKUP($H$12,'EF Marine Vessels spec. TOTE'!$D$51:$K$55,6,FALSE)*VLOOKUP($G19,'EF Marine Vessels spec. TOTE'!$B$98:$L$106,6,FALSE)</f>
        <v>0.02</v>
      </c>
      <c r="H71" s="575">
        <f>VLOOKUP($H$12,'EF Marine Vessels spec. TOTE'!$D$51:$K$55,7,FALSE)*VLOOKUP($G19,'EF Marine Vessels spec. TOTE'!$B$98:$L$106,7,FALSE)</f>
        <v>0.02</v>
      </c>
      <c r="I71" s="575">
        <f>VLOOKUP($H$12,'EF Marine Vessels spec. TOTE'!$D$51:$K$55,8,FALSE)*VLOOKUP($G19,'EF Marine Vessels spec. TOTE'!$B$98:$L$106,8,FALSE)</f>
        <v>0</v>
      </c>
      <c r="J71" s="576">
        <f>VLOOKUP($H$12,'EF Marine Vessels spec. TOTE'!$P$51:$S$55,2,FALSE)*VLOOKUP($G19,'EF Marine Vessels spec. TOTE'!$B$98:$L$106,9,FALSE)</f>
        <v>498.55624752414644</v>
      </c>
      <c r="K71" s="575">
        <f>VLOOKUP($H$12,'EF Marine Vessels spec. TOTE'!$P$51:$S$55,3,FALSE)*VLOOKUP($G19,'EF Marine Vessels spec. TOTE'!$B$98:$L$106,10,FALSE)</f>
        <v>2.9000000000000001E-2</v>
      </c>
      <c r="L71" s="575">
        <f>VLOOKUP($H$12,'EF Marine Vessels spec. TOTE'!$P$51:$S$55,4,FALSE)*VLOOKUP($G19,'EF Marine Vessels spec. TOTE'!$B$98:$L$106,11,FALSE)</f>
        <v>5.3</v>
      </c>
    </row>
    <row r="72" spans="2:12">
      <c r="B72" s="568" t="s">
        <v>961</v>
      </c>
      <c r="C72" s="575">
        <f>VLOOKUP($H$12,'EF Marine Vessels spec. TOTE'!$D$51:$K$55,2,FALSE)*VLOOKUP($G20,'EF Marine Vessels spec. TOTE'!$B$98:$L$106,2,FALSE)</f>
        <v>1.9</v>
      </c>
      <c r="D72" s="575">
        <f>VLOOKUP($H$12,'EF Marine Vessels spec. TOTE'!$D$51:$K$55,3,FALSE)*VLOOKUP($G20,'EF Marine Vessels spec. TOTE'!$B$98:$L$106,3,FALSE)</f>
        <v>3.8000000000000002E-4</v>
      </c>
      <c r="E72" s="575">
        <f>VLOOKUP($H$12,'EF Marine Vessels spec. TOTE'!$D$51:$K$55,4,FALSE)*VLOOKUP($G20,'EF Marine Vessels spec. TOTE'!$B$98:$L$106,4,FALSE)</f>
        <v>1.9</v>
      </c>
      <c r="F72" s="575">
        <f>VLOOKUP($H$12,'EF Marine Vessels spec. TOTE'!$D$51:$K$55,5,FALSE)*VLOOKUP($G20,'EF Marine Vessels spec. TOTE'!$B$98:$L$106,5,FALSE)</f>
        <v>3.5150000000000003E-3</v>
      </c>
      <c r="G72" s="575">
        <f>VLOOKUP($H$12,'EF Marine Vessels spec. TOTE'!$D$51:$K$55,6,FALSE)*VLOOKUP($G20,'EF Marine Vessels spec. TOTE'!$B$98:$L$106,6,FALSE)</f>
        <v>0.02</v>
      </c>
      <c r="H72" s="575">
        <f>VLOOKUP($H$12,'EF Marine Vessels spec. TOTE'!$D$51:$K$55,7,FALSE)*VLOOKUP($G20,'EF Marine Vessels spec. TOTE'!$B$98:$L$106,7,FALSE)</f>
        <v>0.02</v>
      </c>
      <c r="I72" s="575">
        <f>VLOOKUP($H$12,'EF Marine Vessels spec. TOTE'!$D$51:$K$55,8,FALSE)*VLOOKUP($G20,'EF Marine Vessels spec. TOTE'!$B$98:$L$106,8,FALSE)</f>
        <v>0</v>
      </c>
      <c r="J72" s="576">
        <f>VLOOKUP($H$12,'EF Marine Vessels spec. TOTE'!$P$51:$S$55,2,FALSE)*VLOOKUP($G20,'EF Marine Vessels spec. TOTE'!$B$98:$L$106,9,FALSE)</f>
        <v>498.55624752414644</v>
      </c>
      <c r="K72" s="575">
        <f>VLOOKUP($H$12,'EF Marine Vessels spec. TOTE'!$P$51:$S$55,3,FALSE)*VLOOKUP($G20,'EF Marine Vessels spec. TOTE'!$B$98:$L$106,10,FALSE)</f>
        <v>2.9000000000000001E-2</v>
      </c>
      <c r="L72" s="575">
        <f>VLOOKUP($H$12,'EF Marine Vessels spec. TOTE'!$P$51:$S$55,4,FALSE)*VLOOKUP($G20,'EF Marine Vessels spec. TOTE'!$B$98:$L$106,11,FALSE)</f>
        <v>5.3</v>
      </c>
    </row>
    <row r="73" spans="2:12" ht="18">
      <c r="B73" s="1082" t="s">
        <v>985</v>
      </c>
      <c r="C73" s="1083" t="s">
        <v>1166</v>
      </c>
      <c r="D73" s="1083" t="s">
        <v>116</v>
      </c>
      <c r="E73" s="1083" t="s">
        <v>862</v>
      </c>
      <c r="F73" s="1083" t="s">
        <v>1167</v>
      </c>
      <c r="G73" s="1083" t="s">
        <v>864</v>
      </c>
      <c r="H73" s="1083" t="s">
        <v>865</v>
      </c>
      <c r="I73" s="1083" t="s">
        <v>866</v>
      </c>
      <c r="J73" s="1083" t="s">
        <v>1161</v>
      </c>
      <c r="K73" s="1083" t="s">
        <v>1162</v>
      </c>
      <c r="L73" s="1083" t="s">
        <v>1163</v>
      </c>
    </row>
    <row r="74" spans="2:12">
      <c r="B74" s="568" t="s">
        <v>960</v>
      </c>
      <c r="C74" s="575">
        <f>VLOOKUP($I$12,'EF Marine Vessels spec. TOTE'!$D$60:$K$61,2,FALSE)*VLOOKUP($G18,'EF Marine Vessels spec. TOTE'!$B$98:$L$106,2,FALSE)</f>
        <v>2</v>
      </c>
      <c r="D74" s="575">
        <f>VLOOKUP($I$12,'EF Marine Vessels spec. TOTE'!$D$60:$K$61,3,FALSE)*VLOOKUP($G18,'EF Marine Vessels spec. TOTE'!$B$98:$L$106,3,FALSE)</f>
        <v>0.1</v>
      </c>
      <c r="E74" s="575">
        <f>VLOOKUP($I$12,'EF Marine Vessels spec. TOTE'!$D$60:$K$61,4,FALSE)*VLOOKUP($G18,'EF Marine Vessels spec. TOTE'!$B$98:$L$106,4,FALSE)</f>
        <v>0.2</v>
      </c>
      <c r="F74" s="575">
        <f>VLOOKUP($I$12,'EF Marine Vessels spec. TOTE'!$D$60:$K$61,5,FALSE)*VLOOKUP($G18,'EF Marine Vessels spec. TOTE'!$B$98:$L$106,5,FALSE)</f>
        <v>0</v>
      </c>
      <c r="G74" s="575">
        <f>VLOOKUP($I$12,'EF Marine Vessels spec. TOTE'!$D$60:$K$61,6,FALSE)*VLOOKUP($G18,'EF Marine Vessels spec. TOTE'!$B$98:$L$106,6,FALSE)</f>
        <v>0.16</v>
      </c>
      <c r="H74" s="575">
        <f>VLOOKUP($I$12,'EF Marine Vessels spec. TOTE'!$D$60:$K$61,7,FALSE)*VLOOKUP($G18,'EF Marine Vessels spec. TOTE'!$B$98:$L$106,7,FALSE)</f>
        <v>0.15</v>
      </c>
      <c r="I74" s="575">
        <f>VLOOKUP($I$12,'EF Marine Vessels spec. TOTE'!$D$60:$K$61,8,FALSE)*VLOOKUP($G18,'EF Marine Vessels spec. TOTE'!$B$98:$L$106,8,FALSE)</f>
        <v>0</v>
      </c>
      <c r="J74" s="576">
        <f>VLOOKUP($I$12,'EF Marine Vessels spec. TOTE'!$P$60:$S$61,2,FALSE)*VLOOKUP($G18,'EF Marine Vessels spec. TOTE'!$B$98:$L$106,9,FALSE)</f>
        <v>643.65797308232732</v>
      </c>
      <c r="K74" s="575">
        <f>VLOOKUP($I$12,'EF Marine Vessels spec. TOTE'!$P$60:$S$61,3,FALSE)*VLOOKUP($G18,'EF Marine Vessels spec. TOTE'!$B$98:$L$106,10,FALSE)</f>
        <v>7.4999999999999997E-2</v>
      </c>
      <c r="L74" s="575">
        <f>VLOOKUP($I$12,'EF Marine Vessels spec. TOTE'!$P$60:$S$61,4,FALSE)*VLOOKUP($G18,'EF Marine Vessels spec. TOTE'!$B$98:$L$106,11,FALSE)</f>
        <v>2E-3</v>
      </c>
    </row>
    <row r="75" spans="2:12">
      <c r="B75" s="568" t="s">
        <v>1335</v>
      </c>
      <c r="C75" s="575">
        <f>VLOOKUP($I$12,'EF Marine Vessels spec. TOTE'!$D$60:$K$61,2,FALSE)*VLOOKUP($G19,'EF Marine Vessels spec. TOTE'!$B$98:$L$106,2,FALSE)</f>
        <v>2</v>
      </c>
      <c r="D75" s="575">
        <f>VLOOKUP($I$12,'EF Marine Vessels spec. TOTE'!$D$60:$K$61,3,FALSE)*VLOOKUP($G19,'EF Marine Vessels spec. TOTE'!$B$98:$L$106,3,FALSE)</f>
        <v>0.1</v>
      </c>
      <c r="E75" s="575">
        <f>VLOOKUP($I$12,'EF Marine Vessels spec. TOTE'!$D$60:$K$61,4,FALSE)*VLOOKUP($G19,'EF Marine Vessels spec. TOTE'!$B$98:$L$106,4,FALSE)</f>
        <v>0.2</v>
      </c>
      <c r="F75" s="575">
        <f>VLOOKUP($I$12,'EF Marine Vessels spec. TOTE'!$D$60:$K$61,5,FALSE)*VLOOKUP($G19,'EF Marine Vessels spec. TOTE'!$B$98:$L$106,5,FALSE)</f>
        <v>0</v>
      </c>
      <c r="G75" s="575">
        <f>VLOOKUP($I$12,'EF Marine Vessels spec. TOTE'!$D$60:$K$61,6,FALSE)*VLOOKUP($G19,'EF Marine Vessels spec. TOTE'!$B$98:$L$106,6,FALSE)</f>
        <v>0.16</v>
      </c>
      <c r="H75" s="575">
        <f>VLOOKUP($I$12,'EF Marine Vessels spec. TOTE'!$D$60:$K$61,7,FALSE)*VLOOKUP($G19,'EF Marine Vessels spec. TOTE'!$B$98:$L$106,7,FALSE)</f>
        <v>0.15</v>
      </c>
      <c r="I75" s="575">
        <f>VLOOKUP($I$12,'EF Marine Vessels spec. TOTE'!$D$60:$K$61,8,FALSE)*VLOOKUP($G19,'EF Marine Vessels spec. TOTE'!$B$98:$L$106,8,FALSE)</f>
        <v>0</v>
      </c>
      <c r="J75" s="576">
        <f>VLOOKUP($I$12,'EF Marine Vessels spec. TOTE'!$P$60:$S$61,2,FALSE)*VLOOKUP($G19,'EF Marine Vessels spec. TOTE'!$B$98:$L$106,9,FALSE)</f>
        <v>643.65797308232732</v>
      </c>
      <c r="K75" s="575">
        <f>VLOOKUP($I$12,'EF Marine Vessels spec. TOTE'!$P$60:$S$61,3,FALSE)*VLOOKUP($G19,'EF Marine Vessels spec. TOTE'!$B$98:$L$106,10,FALSE)</f>
        <v>7.4999999999999997E-2</v>
      </c>
      <c r="L75" s="575">
        <f>VLOOKUP($I$12,'EF Marine Vessels spec. TOTE'!$P$60:$S$61,4,FALSE)*VLOOKUP($G19,'EF Marine Vessels spec. TOTE'!$B$98:$L$106,11,FALSE)</f>
        <v>2E-3</v>
      </c>
    </row>
    <row r="76" spans="2:12">
      <c r="B76" s="1067" t="s">
        <v>961</v>
      </c>
      <c r="C76" s="1084">
        <f>VLOOKUP($I$12,'EF Marine Vessels spec. TOTE'!$D$60:$K$61,2,FALSE)*VLOOKUP($G20,'EF Marine Vessels spec. TOTE'!$B$98:$L$106,2,FALSE)</f>
        <v>2</v>
      </c>
      <c r="D76" s="1084">
        <f>VLOOKUP($I$12,'EF Marine Vessels spec. TOTE'!$D$60:$K$61,3,FALSE)*VLOOKUP($G20,'EF Marine Vessels spec. TOTE'!$B$98:$L$106,3,FALSE)</f>
        <v>0.1</v>
      </c>
      <c r="E76" s="1084">
        <f>VLOOKUP($I$12,'EF Marine Vessels spec. TOTE'!$D$60:$K$61,4,FALSE)*VLOOKUP($G20,'EF Marine Vessels spec. TOTE'!$B$98:$L$106,4,FALSE)</f>
        <v>0.2</v>
      </c>
      <c r="F76" s="1084">
        <f>VLOOKUP($I$12,'EF Marine Vessels spec. TOTE'!$D$60:$K$61,5,FALSE)*VLOOKUP($G20,'EF Marine Vessels spec. TOTE'!$B$98:$L$106,5,FALSE)</f>
        <v>0</v>
      </c>
      <c r="G76" s="1084">
        <f>VLOOKUP($I$12,'EF Marine Vessels spec. TOTE'!$D$60:$K$61,6,FALSE)*VLOOKUP($G20,'EF Marine Vessels spec. TOTE'!$B$98:$L$106,6,FALSE)</f>
        <v>0.16</v>
      </c>
      <c r="H76" s="1084">
        <f>VLOOKUP($I$12,'EF Marine Vessels spec. TOTE'!$D$60:$K$61,7,FALSE)*VLOOKUP($G20,'EF Marine Vessels spec. TOTE'!$B$98:$L$106,7,FALSE)</f>
        <v>0.15</v>
      </c>
      <c r="I76" s="1084">
        <f>VLOOKUP($I$12,'EF Marine Vessels spec. TOTE'!$D$60:$K$61,8,FALSE)*VLOOKUP($G20,'EF Marine Vessels spec. TOTE'!$B$98:$L$106,8,FALSE)</f>
        <v>0</v>
      </c>
      <c r="J76" s="1085">
        <f>VLOOKUP($I$12,'EF Marine Vessels spec. TOTE'!$P$60:$S$61,2,FALSE)*VLOOKUP($G20,'EF Marine Vessels spec. TOTE'!$B$98:$L$106,9,FALSE)</f>
        <v>643.65797308232732</v>
      </c>
      <c r="K76" s="1084">
        <f>VLOOKUP($I$12,'EF Marine Vessels spec. TOTE'!$P$60:$S$61,3,FALSE)*VLOOKUP($G20,'EF Marine Vessels spec. TOTE'!$B$98:$L$106,10,FALSE)</f>
        <v>7.4999999999999997E-2</v>
      </c>
      <c r="L76" s="1084">
        <f>VLOOKUP($I$12,'EF Marine Vessels spec. TOTE'!$P$60:$S$61,4,FALSE)*VLOOKUP($G20,'EF Marine Vessels spec. TOTE'!$B$98:$L$106,11,FALSE)</f>
        <v>2E-3</v>
      </c>
    </row>
    <row r="79" spans="2:12" ht="15.75">
      <c r="B79" s="1080" t="s">
        <v>988</v>
      </c>
      <c r="C79" s="1950" t="s">
        <v>986</v>
      </c>
      <c r="D79" s="1950"/>
      <c r="E79" s="1950"/>
      <c r="F79" s="1950"/>
      <c r="G79" s="1950"/>
      <c r="H79" s="1950"/>
      <c r="I79" s="1950"/>
      <c r="J79" s="1950"/>
      <c r="K79" s="1950"/>
      <c r="L79" s="1950"/>
    </row>
    <row r="80" spans="2:12" ht="18.75" thickBot="1">
      <c r="B80" s="1081" t="s">
        <v>946</v>
      </c>
      <c r="C80" s="1074" t="s">
        <v>1166</v>
      </c>
      <c r="D80" s="1074" t="s">
        <v>116</v>
      </c>
      <c r="E80" s="1074" t="s">
        <v>862</v>
      </c>
      <c r="F80" s="1074" t="s">
        <v>1167</v>
      </c>
      <c r="G80" s="1074" t="s">
        <v>864</v>
      </c>
      <c r="H80" s="1074" t="s">
        <v>865</v>
      </c>
      <c r="I80" s="1074" t="s">
        <v>866</v>
      </c>
      <c r="J80" s="1074" t="s">
        <v>1161</v>
      </c>
      <c r="K80" s="1074" t="s">
        <v>1162</v>
      </c>
      <c r="L80" s="1074" t="s">
        <v>1163</v>
      </c>
    </row>
    <row r="81" spans="2:12" ht="15.75" thickTop="1">
      <c r="B81" s="568" t="s">
        <v>960</v>
      </c>
      <c r="C81" s="575">
        <f>VLOOKUP($G$12,'EF Marine Vessels spec. TOTE'!$D$8:$K$17,2,FALSE)*VLOOKUP($H$18,'EF Marine Vessels spec. TOTE'!$B$98:$L$106,2,FALSE)</f>
        <v>1.9</v>
      </c>
      <c r="D81" s="575">
        <f>VLOOKUP($G$12,'EF Marine Vessels spec. TOTE'!$D$8:$K$17,3,FALSE)*VLOOKUP($H$18,'EF Marine Vessels spec. TOTE'!$B$98:$L$106,3,FALSE)</f>
        <v>3.8000000000000002E-4</v>
      </c>
      <c r="E81" s="575">
        <f>VLOOKUP($G$12,'EF Marine Vessels spec. TOTE'!$D$8:$K$17,4,FALSE)*VLOOKUP($H$18,'EF Marine Vessels spec. TOTE'!$B$98:$L$106,4,FALSE)</f>
        <v>1.9</v>
      </c>
      <c r="F81" s="575">
        <f>VLOOKUP($G$12,'EF Marine Vessels spec. TOTE'!$D$8:$K$17,5,FALSE)*VLOOKUP($H$18,'EF Marine Vessels spec. TOTE'!$B$98:$L$106,5,FALSE)</f>
        <v>3.5150000000000003E-3</v>
      </c>
      <c r="G81" s="575">
        <f>VLOOKUP($G$12,'EF Marine Vessels spec. TOTE'!$D$8:$K$17,6,FALSE)*VLOOKUP($H$18,'EF Marine Vessels spec. TOTE'!$B$98:$L$106,6,FALSE)</f>
        <v>0.02</v>
      </c>
      <c r="H81" s="575">
        <f>VLOOKUP($G$12,'EF Marine Vessels spec. TOTE'!$D$8:$K$17,7,FALSE)*VLOOKUP($H$18,'EF Marine Vessels spec. TOTE'!$B$98:$L$106,7,FALSE)</f>
        <v>0.02</v>
      </c>
      <c r="I81" s="575">
        <f>VLOOKUP($G$12,'EF Marine Vessels spec. TOTE'!$D$8:$K$17,8,FALSE)*VLOOKUP($H$18,'EF Marine Vessels spec. TOTE'!$B$98:$L$106,8,FALSE)</f>
        <v>0</v>
      </c>
      <c r="J81" s="576">
        <f>VLOOKUP($G$12,'EF Marine Vessels spec. TOTE'!$P$8:$S$17,2,FALSE)*VLOOKUP($G$18,'EF Marine Vessels spec. TOTE'!$B$98:$L$106,9,FALSE)</f>
        <v>472.26803186489241</v>
      </c>
      <c r="K81" s="575">
        <f>VLOOKUP($G$12,'EF Marine Vessels spec. TOTE'!$P$8:$S$17,3,FALSE)*VLOOKUP($G$18,'EF Marine Vessels spec. TOTE'!$B$98:$L$106,10,FALSE)</f>
        <v>3.1E-2</v>
      </c>
      <c r="L81" s="575">
        <f>VLOOKUP($G$12,'EF Marine Vessels spec. TOTE'!$P$8:$S$17,4,FALSE)*VLOOKUP($G$18,'EF Marine Vessels spec. TOTE'!$B$98:$L$106,11,FALSE)</f>
        <v>5.3</v>
      </c>
    </row>
    <row r="82" spans="2:12">
      <c r="B82" s="568" t="s">
        <v>1335</v>
      </c>
      <c r="C82" s="575">
        <f>VLOOKUP($G$12,'EF Marine Vessels spec. TOTE'!$D$8:$K$17,2,FALSE)*VLOOKUP($H$19,'EF Marine Vessels spec. TOTE'!$B$98:$L$106,2,FALSE)*VLOOKUP(IF($D$19/$D$12&lt;0.02,0.02,$D$19/$D$12),'EF Marine Vessels spec. TOTE'!$B$28:$F$46,2,TRUE)</f>
        <v>8.7969999999999988</v>
      </c>
      <c r="D82" s="575">
        <f>VLOOKUP($G$12,'EF Marine Vessels spec. TOTE'!$D$8:$K$17,3,FALSE)*VLOOKUP($H$19,'EF Marine Vessels spec. TOTE'!$B$98:$L$106,3,FALSE)*VLOOKUP(IF($D$19/$D$12&lt;0.02,0.02,$D$19/$D$12),'EF Marine Vessels spec. TOTE'!$B$28:$F$46,3,TRUE)</f>
        <v>8.0484000000000007E-3</v>
      </c>
      <c r="E82" s="575">
        <f>VLOOKUP($G$12,'EF Marine Vessels spec. TOTE'!$D$8:$K$17,4,FALSE)*VLOOKUP($H$19,'EF Marine Vessels spec. TOTE'!$B$98:$L$106,4,FALSE)*VLOOKUP(IF($D$19/$D$12&lt;0.02,0.02,$D$19/$D$12),'EF Marine Vessels spec. TOTE'!$B$28:$F$46,4,TRUE)</f>
        <v>18.391999999999999</v>
      </c>
      <c r="F82" s="575">
        <f>VLOOKUP($G$12,'EF Marine Vessels spec. TOTE'!$D$8:$K$17,5,FALSE)*VLOOKUP($H$19,'EF Marine Vessels spec. TOTE'!$B$98:$L$106,5,FALSE)</f>
        <v>3.5150000000000003E-3</v>
      </c>
      <c r="G82" s="575">
        <f>VLOOKUP($G$12,'EF Marine Vessels spec. TOTE'!$D$8:$K$17,6,FALSE)*VLOOKUP($H$19,'EF Marine Vessels spec. TOTE'!$B$98:$L$106,6,FALSE)*VLOOKUP(IF($D$19/$D$12&lt;0.02,0.02,$D$19/$D$12),'EF Marine Vessels spec. TOTE'!$B$28:$F$46,5,TRUE)</f>
        <v>0.14580000000000001</v>
      </c>
      <c r="H82" s="575">
        <f>VLOOKUP($G$12,'EF Marine Vessels spec. TOTE'!$D$8:$K$17,7,FALSE)*VLOOKUP($H$19,'EF Marine Vessels spec. TOTE'!$B$98:$L$106,7,FALSE)*VLOOKUP(IF($D$19/$D$12&lt;0.02,0.02,$D$19/$D$12),'EF Marine Vessels spec. TOTE'!$B$28:$F$46,5,TRUE)</f>
        <v>0.14580000000000001</v>
      </c>
      <c r="I82" s="575">
        <f>VLOOKUP($G$12,'EF Marine Vessels spec. TOTE'!$D$8:$K$17,8,FALSE)*VLOOKUP($H$19,'EF Marine Vessels spec. TOTE'!$B$98:$L$106,8,FALSE)*VLOOKUP(IF($D$19/$D$12&lt;0.02,0.02,$D$19/$D$12),'EF Marine Vessels spec. TOTE'!$B$28:$F$46,5,TRUE)</f>
        <v>0</v>
      </c>
      <c r="J82" s="576">
        <f>VLOOKUP($G$12,'EF Marine Vessels spec. TOTE'!$P$8:$S$17,2,FALSE)*VLOOKUP($G$18,'EF Marine Vessels spec. TOTE'!$B$98:$L$106,9,FALSE)</f>
        <v>472.26803186489241</v>
      </c>
      <c r="K82" s="575">
        <f>VLOOKUP($G$12,'EF Marine Vessels spec. TOTE'!$P$8:$S$17,3,FALSE)*VLOOKUP($G$18,'EF Marine Vessels spec. TOTE'!$B$98:$L$106,10,FALSE)</f>
        <v>3.1E-2</v>
      </c>
      <c r="L82" s="575">
        <f>VLOOKUP($G$12,'EF Marine Vessels spec. TOTE'!$P$8:$S$17,4,FALSE)*VLOOKUP($G$18,'EF Marine Vessels spec. TOTE'!$B$98:$L$106,11,FALSE)</f>
        <v>5.3</v>
      </c>
    </row>
    <row r="83" spans="2:12">
      <c r="B83" s="568" t="s">
        <v>961</v>
      </c>
      <c r="C83" s="575">
        <f>VLOOKUP($G$12,'EF Marine Vessels spec. TOTE'!$D$8:$K$17,2,FALSE)*VLOOKUP($H$20,'EF Marine Vessels spec. TOTE'!$B$98:$L$106,2,FALSE)*VLOOKUP(IF($D$20/$D$12&lt;0.02,0.02,$D$20/$D$12),'EF Marine Vessels spec. TOTE'!$B$28:$F$46,2,TRUE)</f>
        <v>8.7969999999999988</v>
      </c>
      <c r="D83" s="575">
        <f>VLOOKUP($G$12,'EF Marine Vessels spec. TOTE'!$D$8:$K$17,3,FALSE)*VLOOKUP($H$20,'EF Marine Vessels spec. TOTE'!$B$98:$L$106,3,FALSE)*VLOOKUP(IF($D$20/$D$12&lt;0.02,0.02,$D$20/$D$12),'EF Marine Vessels spec. TOTE'!$B$28:$F$46,3,TRUE)</f>
        <v>8.0484000000000007E-3</v>
      </c>
      <c r="E83" s="575">
        <f>VLOOKUP($G$12,'EF Marine Vessels spec. TOTE'!$D$8:$K$17,4,FALSE)*VLOOKUP($H$20,'EF Marine Vessels spec. TOTE'!$B$98:$L$106,4,FALSE)*VLOOKUP(IF($D$20/$D$12&lt;0.02,0.02,$D$20/$D$12),'EF Marine Vessels spec. TOTE'!$B$28:$F$46,4,TRUE)</f>
        <v>18.391999999999999</v>
      </c>
      <c r="F83" s="575">
        <f>VLOOKUP($G$12,'EF Marine Vessels spec. TOTE'!$D$8:$K$17,5,FALSE)*VLOOKUP($H$20,'EF Marine Vessels spec. TOTE'!$B$98:$L$106,5,FALSE)</f>
        <v>3.5150000000000003E-3</v>
      </c>
      <c r="G83" s="575">
        <f>VLOOKUP($G$12,'EF Marine Vessels spec. TOTE'!$D$8:$K$17,6,FALSE)*VLOOKUP($H$20,'EF Marine Vessels spec. TOTE'!$B$98:$L$106,6,FALSE)*VLOOKUP(IF($D$20/$D$12&lt;0.02,0.02,$D$20/$D$12),'EF Marine Vessels spec. TOTE'!$B$28:$F$46,5,TRUE)</f>
        <v>0.14580000000000001</v>
      </c>
      <c r="H83" s="575">
        <f>VLOOKUP($G$12,'EF Marine Vessels spec. TOTE'!$D$8:$K$17,7,FALSE)*VLOOKUP($H$20,'EF Marine Vessels spec. TOTE'!$B$98:$L$106,7,FALSE)*VLOOKUP(IF($D$20/$D$12&lt;0.02,0.02,$D$20/$D$12),'EF Marine Vessels spec. TOTE'!$B$28:$F$46,5,TRUE)</f>
        <v>0.14580000000000001</v>
      </c>
      <c r="I83" s="575">
        <f>VLOOKUP($G$12,'EF Marine Vessels spec. TOTE'!$D$8:$K$17,8,FALSE)*VLOOKUP($H$20,'EF Marine Vessels spec. TOTE'!$B$98:$L$106,8,FALSE)*VLOOKUP(IF($D$20/$D$12&lt;0.02,0.02,$D$20/$D$12),'EF Marine Vessels spec. TOTE'!$B$28:$F$46,5,TRUE)</f>
        <v>0</v>
      </c>
      <c r="J83" s="576">
        <f>VLOOKUP($G$12,'EF Marine Vessels spec. TOTE'!$P$8:$S$17,2,FALSE)*VLOOKUP($G$18,'EF Marine Vessels spec. TOTE'!$B$98:$L$106,9,FALSE)</f>
        <v>472.26803186489241</v>
      </c>
      <c r="K83" s="575">
        <f>VLOOKUP($G$12,'EF Marine Vessels spec. TOTE'!$P$8:$S$17,3,FALSE)*VLOOKUP($G$18,'EF Marine Vessels spec. TOTE'!$B$98:$L$106,10,FALSE)</f>
        <v>3.1E-2</v>
      </c>
      <c r="L83" s="575">
        <f>VLOOKUP($G$12,'EF Marine Vessels spec. TOTE'!$P$8:$S$17,4,FALSE)*VLOOKUP($G$18,'EF Marine Vessels spec. TOTE'!$B$98:$L$106,11,FALSE)</f>
        <v>5.3</v>
      </c>
    </row>
    <row r="84" spans="2:12" ht="18">
      <c r="B84" s="1082" t="s">
        <v>947</v>
      </c>
      <c r="C84" s="1083" t="s">
        <v>1166</v>
      </c>
      <c r="D84" s="1083" t="s">
        <v>116</v>
      </c>
      <c r="E84" s="1083" t="s">
        <v>862</v>
      </c>
      <c r="F84" s="1083" t="s">
        <v>1167</v>
      </c>
      <c r="G84" s="1083" t="s">
        <v>864</v>
      </c>
      <c r="H84" s="1083" t="s">
        <v>865</v>
      </c>
      <c r="I84" s="1083" t="s">
        <v>866</v>
      </c>
      <c r="J84" s="1083" t="s">
        <v>1161</v>
      </c>
      <c r="K84" s="1083" t="s">
        <v>1162</v>
      </c>
      <c r="L84" s="1083" t="s">
        <v>1163</v>
      </c>
    </row>
    <row r="85" spans="2:12">
      <c r="B85" s="568" t="s">
        <v>960</v>
      </c>
      <c r="C85" s="575">
        <f>VLOOKUP($H$12,'EF Marine Vessels spec. TOTE'!$D$51:$K$55,2,FALSE)*VLOOKUP($H18,'EF Marine Vessels spec. TOTE'!$B$98:$L$106,2,FALSE)</f>
        <v>1.9</v>
      </c>
      <c r="D85" s="575">
        <f>VLOOKUP($H$12,'EF Marine Vessels spec. TOTE'!$D$51:$K$55,3,FALSE)*VLOOKUP($H18,'EF Marine Vessels spec. TOTE'!$B$98:$L$106,3,FALSE)</f>
        <v>3.8000000000000002E-4</v>
      </c>
      <c r="E85" s="575">
        <f>VLOOKUP($H$12,'EF Marine Vessels spec. TOTE'!$D$51:$K$55,4,FALSE)*VLOOKUP($H18,'EF Marine Vessels spec. TOTE'!$B$98:$L$106,4,FALSE)</f>
        <v>1.9</v>
      </c>
      <c r="F85" s="575">
        <f>VLOOKUP($H$12,'EF Marine Vessels spec. TOTE'!$D$51:$K$55,5,FALSE)*VLOOKUP($H18,'EF Marine Vessels spec. TOTE'!$B$98:$L$106,5,FALSE)</f>
        <v>3.5150000000000003E-3</v>
      </c>
      <c r="G85" s="575">
        <f>VLOOKUP($H$12,'EF Marine Vessels spec. TOTE'!$D$51:$K$55,6,FALSE)*VLOOKUP($H18,'EF Marine Vessels spec. TOTE'!$B$98:$L$106,6,FALSE)</f>
        <v>0.02</v>
      </c>
      <c r="H85" s="575">
        <f>VLOOKUP($H$12,'EF Marine Vessels spec. TOTE'!$D$51:$K$55,7,FALSE)*VLOOKUP($H18,'EF Marine Vessels spec. TOTE'!$B$98:$L$106,7,FALSE)</f>
        <v>0.02</v>
      </c>
      <c r="I85" s="575">
        <f>VLOOKUP($H$12,'EF Marine Vessels spec. TOTE'!$D$51:$K$55,8,FALSE)*VLOOKUP($H18,'EF Marine Vessels spec. TOTE'!$B$98:$L$106,8,FALSE)</f>
        <v>0</v>
      </c>
      <c r="J85" s="576">
        <f>VLOOKUP($H$12,'EF Marine Vessels spec. TOTE'!$P$51:$S$55,2,FALSE)*VLOOKUP($H18,'EF Marine Vessels spec. TOTE'!$B$98:$L$106,9,FALSE)</f>
        <v>498.55624752414644</v>
      </c>
      <c r="K85" s="575">
        <f>VLOOKUP($H$12,'EF Marine Vessels spec. TOTE'!$P$51:$S$55,3,FALSE)*VLOOKUP($H18,'EF Marine Vessels spec. TOTE'!$B$98:$L$106,10,FALSE)</f>
        <v>2.9000000000000001E-2</v>
      </c>
      <c r="L85" s="575">
        <f>VLOOKUP($H$12,'EF Marine Vessels spec. TOTE'!$P$51:$S$55,4,FALSE)*VLOOKUP($H18,'EF Marine Vessels spec. TOTE'!$B$98:$L$106,11,FALSE)</f>
        <v>5.3</v>
      </c>
    </row>
    <row r="86" spans="2:12">
      <c r="B86" s="568" t="s">
        <v>1335</v>
      </c>
      <c r="C86" s="575">
        <f>VLOOKUP($H$12,'EF Marine Vessels spec. TOTE'!$D$51:$K$55,2,FALSE)*VLOOKUP($H19,'EF Marine Vessels spec. TOTE'!$B$98:$L$106,2,FALSE)</f>
        <v>1.9</v>
      </c>
      <c r="D86" s="575">
        <f>VLOOKUP($H$12,'EF Marine Vessels spec. TOTE'!$D$51:$K$55,3,FALSE)*VLOOKUP($H19,'EF Marine Vessels spec. TOTE'!$B$98:$L$106,3,FALSE)</f>
        <v>3.8000000000000002E-4</v>
      </c>
      <c r="E86" s="575">
        <f>VLOOKUP($H$12,'EF Marine Vessels spec. TOTE'!$D$51:$K$55,4,FALSE)*VLOOKUP($H19,'EF Marine Vessels spec. TOTE'!$B$98:$L$106,4,FALSE)</f>
        <v>1.9</v>
      </c>
      <c r="F86" s="575">
        <f>VLOOKUP($H$12,'EF Marine Vessels spec. TOTE'!$D$51:$K$55,5,FALSE)*VLOOKUP($H19,'EF Marine Vessels spec. TOTE'!$B$98:$L$106,5,FALSE)</f>
        <v>3.5150000000000003E-3</v>
      </c>
      <c r="G86" s="575">
        <f>VLOOKUP($H$12,'EF Marine Vessels spec. TOTE'!$D$51:$K$55,6,FALSE)*VLOOKUP($H19,'EF Marine Vessels spec. TOTE'!$B$98:$L$106,6,FALSE)</f>
        <v>0.02</v>
      </c>
      <c r="H86" s="575">
        <f>VLOOKUP($H$12,'EF Marine Vessels spec. TOTE'!$D$51:$K$55,7,FALSE)*VLOOKUP($H19,'EF Marine Vessels spec. TOTE'!$B$98:$L$106,7,FALSE)</f>
        <v>0.02</v>
      </c>
      <c r="I86" s="575">
        <f>VLOOKUP($H$12,'EF Marine Vessels spec. TOTE'!$D$51:$K$55,8,FALSE)*VLOOKUP($H19,'EF Marine Vessels spec. TOTE'!$B$98:$L$106,8,FALSE)</f>
        <v>0</v>
      </c>
      <c r="J86" s="576">
        <f>VLOOKUP($H$12,'EF Marine Vessels spec. TOTE'!$P$51:$S$55,2,FALSE)*VLOOKUP($H19,'EF Marine Vessels spec. TOTE'!$B$98:$L$106,9,FALSE)</f>
        <v>498.55624752414644</v>
      </c>
      <c r="K86" s="575">
        <f>VLOOKUP($H$12,'EF Marine Vessels spec. TOTE'!$P$51:$S$55,3,FALSE)*VLOOKUP($H19,'EF Marine Vessels spec. TOTE'!$B$98:$L$106,10,FALSE)</f>
        <v>2.9000000000000001E-2</v>
      </c>
      <c r="L86" s="575">
        <f>VLOOKUP($H$12,'EF Marine Vessels spec. TOTE'!$P$51:$S$55,4,FALSE)*VLOOKUP($H19,'EF Marine Vessels spec. TOTE'!$B$98:$L$106,11,FALSE)</f>
        <v>5.3</v>
      </c>
    </row>
    <row r="87" spans="2:12">
      <c r="B87" s="568" t="s">
        <v>961</v>
      </c>
      <c r="C87" s="575">
        <f>VLOOKUP($H$12,'EF Marine Vessels spec. TOTE'!$D$51:$K$55,2,FALSE)*VLOOKUP($H20,'EF Marine Vessels spec. TOTE'!$B$98:$L$106,2,FALSE)</f>
        <v>1.9</v>
      </c>
      <c r="D87" s="575">
        <f>VLOOKUP($H$12,'EF Marine Vessels spec. TOTE'!$D$51:$K$55,3,FALSE)*VLOOKUP($H20,'EF Marine Vessels spec. TOTE'!$B$98:$L$106,3,FALSE)</f>
        <v>3.8000000000000002E-4</v>
      </c>
      <c r="E87" s="575">
        <f>VLOOKUP($H$12,'EF Marine Vessels spec. TOTE'!$D$51:$K$55,4,FALSE)*VLOOKUP($H20,'EF Marine Vessels spec. TOTE'!$B$98:$L$106,4,FALSE)</f>
        <v>1.9</v>
      </c>
      <c r="F87" s="575">
        <f>VLOOKUP($H$12,'EF Marine Vessels spec. TOTE'!$D$51:$K$55,5,FALSE)*VLOOKUP($H20,'EF Marine Vessels spec. TOTE'!$B$98:$L$106,5,FALSE)</f>
        <v>3.5150000000000003E-3</v>
      </c>
      <c r="G87" s="575">
        <f>VLOOKUP($H$12,'EF Marine Vessels spec. TOTE'!$D$51:$K$55,6,FALSE)*VLOOKUP($H20,'EF Marine Vessels spec. TOTE'!$B$98:$L$106,6,FALSE)</f>
        <v>0.02</v>
      </c>
      <c r="H87" s="575">
        <f>VLOOKUP($H$12,'EF Marine Vessels spec. TOTE'!$D$51:$K$55,7,FALSE)*VLOOKUP($H20,'EF Marine Vessels spec. TOTE'!$B$98:$L$106,7,FALSE)</f>
        <v>0.02</v>
      </c>
      <c r="I87" s="575">
        <f>VLOOKUP($H$12,'EF Marine Vessels spec. TOTE'!$D$51:$K$55,8,FALSE)*VLOOKUP($H20,'EF Marine Vessels spec. TOTE'!$B$98:$L$106,8,FALSE)</f>
        <v>0</v>
      </c>
      <c r="J87" s="576">
        <f>VLOOKUP($H$12,'EF Marine Vessels spec. TOTE'!$P$51:$S$55,2,FALSE)*VLOOKUP($H20,'EF Marine Vessels spec. TOTE'!$B$98:$L$106,9,FALSE)</f>
        <v>498.55624752414644</v>
      </c>
      <c r="K87" s="575">
        <f>VLOOKUP($H$12,'EF Marine Vessels spec. TOTE'!$P$51:$S$55,3,FALSE)*VLOOKUP($H20,'EF Marine Vessels spec. TOTE'!$B$98:$L$106,10,FALSE)</f>
        <v>2.9000000000000001E-2</v>
      </c>
      <c r="L87" s="575">
        <f>VLOOKUP($H$12,'EF Marine Vessels spec. TOTE'!$P$51:$S$55,4,FALSE)*VLOOKUP($H20,'EF Marine Vessels spec. TOTE'!$B$98:$L$106,11,FALSE)</f>
        <v>5.3</v>
      </c>
    </row>
    <row r="88" spans="2:12" ht="18">
      <c r="B88" s="1082" t="s">
        <v>985</v>
      </c>
      <c r="C88" s="1083" t="s">
        <v>1166</v>
      </c>
      <c r="D88" s="1083" t="s">
        <v>116</v>
      </c>
      <c r="E88" s="1083" t="s">
        <v>862</v>
      </c>
      <c r="F88" s="1083" t="s">
        <v>1167</v>
      </c>
      <c r="G88" s="1083" t="s">
        <v>864</v>
      </c>
      <c r="H88" s="1083" t="s">
        <v>865</v>
      </c>
      <c r="I88" s="1083" t="s">
        <v>866</v>
      </c>
      <c r="J88" s="1083" t="s">
        <v>1161</v>
      </c>
      <c r="K88" s="1083" t="s">
        <v>1162</v>
      </c>
      <c r="L88" s="1083" t="s">
        <v>1163</v>
      </c>
    </row>
    <row r="89" spans="2:12">
      <c r="B89" s="568" t="s">
        <v>960</v>
      </c>
      <c r="C89" s="575">
        <f>VLOOKUP($I$12,'EF Marine Vessels spec. TOTE'!$D$60:$K$61,2,FALSE)*VLOOKUP($H18,'EF Marine Vessels spec. TOTE'!$B$98:$L$106,2,FALSE)</f>
        <v>2</v>
      </c>
      <c r="D89" s="575">
        <f>VLOOKUP($I$12,'EF Marine Vessels spec. TOTE'!$D$60:$K$61,3,FALSE)*VLOOKUP($H18,'EF Marine Vessels spec. TOTE'!$B$98:$L$106,3,FALSE)</f>
        <v>0.1</v>
      </c>
      <c r="E89" s="575">
        <f>VLOOKUP($I$12,'EF Marine Vessels spec. TOTE'!$D$60:$K$61,4,FALSE)*VLOOKUP($H18,'EF Marine Vessels spec. TOTE'!$B$98:$L$106,4,FALSE)</f>
        <v>0.2</v>
      </c>
      <c r="F89" s="575">
        <f>VLOOKUP($I$12,'EF Marine Vessels spec. TOTE'!$D$60:$K$61,5,FALSE)*VLOOKUP($H18,'EF Marine Vessels spec. TOTE'!$B$98:$L$106,5,FALSE)</f>
        <v>0</v>
      </c>
      <c r="G89" s="575">
        <f>VLOOKUP($I$12,'EF Marine Vessels spec. TOTE'!$D$60:$K$61,6,FALSE)*VLOOKUP($H18,'EF Marine Vessels spec. TOTE'!$B$98:$L$106,6,FALSE)</f>
        <v>0.16</v>
      </c>
      <c r="H89" s="575">
        <f>VLOOKUP($I$12,'EF Marine Vessels spec. TOTE'!$D$60:$K$61,7,FALSE)*VLOOKUP($H18,'EF Marine Vessels spec. TOTE'!$B$98:$L$106,7,FALSE)</f>
        <v>0.15</v>
      </c>
      <c r="I89" s="575">
        <f>VLOOKUP($I$12,'EF Marine Vessels spec. TOTE'!$D$60:$K$61,8,FALSE)*VLOOKUP($H18,'EF Marine Vessels spec. TOTE'!$B$98:$L$106,8,FALSE)</f>
        <v>0</v>
      </c>
      <c r="J89" s="576">
        <f>VLOOKUP($I$12,'EF Marine Vessels spec. TOTE'!$P$60:$S$61,2,FALSE)*VLOOKUP($H18,'EF Marine Vessels spec. TOTE'!$B$98:$L$106,9,FALSE)</f>
        <v>643.65797308232732</v>
      </c>
      <c r="K89" s="575">
        <f>VLOOKUP($I$12,'EF Marine Vessels spec. TOTE'!$P$60:$S$61,3,FALSE)*VLOOKUP($H18,'EF Marine Vessels spec. TOTE'!$B$98:$L$106,10,FALSE)</f>
        <v>7.4999999999999997E-2</v>
      </c>
      <c r="L89" s="1522">
        <f>VLOOKUP($I$12,'EF Marine Vessels spec. TOTE'!$P$60:$S$61,4,FALSE)*VLOOKUP($H18,'EF Marine Vessels spec. TOTE'!$B$98:$L$106,11,FALSE)</f>
        <v>2E-3</v>
      </c>
    </row>
    <row r="90" spans="2:12">
      <c r="B90" s="568" t="s">
        <v>1335</v>
      </c>
      <c r="C90" s="575">
        <f>VLOOKUP($I$12,'EF Marine Vessels spec. TOTE'!$D$60:$K$61,2,FALSE)*VLOOKUP($H19,'EF Marine Vessels spec. TOTE'!$B$98:$L$106,2,FALSE)</f>
        <v>2</v>
      </c>
      <c r="D90" s="575">
        <f>VLOOKUP($I$12,'EF Marine Vessels spec. TOTE'!$D$60:$K$61,3,FALSE)*VLOOKUP($H19,'EF Marine Vessels spec. TOTE'!$B$98:$L$106,3,FALSE)</f>
        <v>0.1</v>
      </c>
      <c r="E90" s="575">
        <f>VLOOKUP($I$12,'EF Marine Vessels spec. TOTE'!$D$60:$K$61,4,FALSE)*VLOOKUP($H19,'EF Marine Vessels spec. TOTE'!$B$98:$L$106,4,FALSE)</f>
        <v>0.2</v>
      </c>
      <c r="F90" s="575">
        <f>VLOOKUP($I$12,'EF Marine Vessels spec. TOTE'!$D$60:$K$61,5,FALSE)*VLOOKUP($H19,'EF Marine Vessels spec. TOTE'!$B$98:$L$106,5,FALSE)</f>
        <v>0</v>
      </c>
      <c r="G90" s="575">
        <f>VLOOKUP($I$12,'EF Marine Vessels spec. TOTE'!$D$60:$K$61,6,FALSE)*VLOOKUP($H19,'EF Marine Vessels spec. TOTE'!$B$98:$L$106,6,FALSE)</f>
        <v>0.16</v>
      </c>
      <c r="H90" s="575">
        <f>VLOOKUP($I$12,'EF Marine Vessels spec. TOTE'!$D$60:$K$61,7,FALSE)*VLOOKUP($H19,'EF Marine Vessels spec. TOTE'!$B$98:$L$106,7,FALSE)</f>
        <v>0.15</v>
      </c>
      <c r="I90" s="575">
        <f>VLOOKUP($I$12,'EF Marine Vessels spec. TOTE'!$D$60:$K$61,8,FALSE)*VLOOKUP($H19,'EF Marine Vessels spec. TOTE'!$B$98:$L$106,8,FALSE)</f>
        <v>0</v>
      </c>
      <c r="J90" s="576">
        <f>VLOOKUP($I$12,'EF Marine Vessels spec. TOTE'!$P$60:$S$61,2,FALSE)*VLOOKUP($H19,'EF Marine Vessels spec. TOTE'!$B$98:$L$106,9,FALSE)</f>
        <v>643.65797308232732</v>
      </c>
      <c r="K90" s="575">
        <f>VLOOKUP($I$12,'EF Marine Vessels spec. TOTE'!$P$60:$S$61,3,FALSE)*VLOOKUP($H19,'EF Marine Vessels spec. TOTE'!$B$98:$L$106,10,FALSE)</f>
        <v>7.4999999999999997E-2</v>
      </c>
      <c r="L90" s="1522">
        <f>VLOOKUP($I$12,'EF Marine Vessels spec. TOTE'!$P$60:$S$61,4,FALSE)*VLOOKUP($H19,'EF Marine Vessels spec. TOTE'!$B$98:$L$106,11,FALSE)</f>
        <v>2E-3</v>
      </c>
    </row>
    <row r="91" spans="2:12">
      <c r="B91" s="1067" t="s">
        <v>961</v>
      </c>
      <c r="C91" s="1084">
        <f>VLOOKUP($I$12,'EF Marine Vessels spec. TOTE'!$D$60:$K$61,2,FALSE)*VLOOKUP($H20,'EF Marine Vessels spec. TOTE'!$B$98:$L$106,2,FALSE)</f>
        <v>2</v>
      </c>
      <c r="D91" s="1084">
        <f>VLOOKUP($I$12,'EF Marine Vessels spec. TOTE'!$D$60:$K$61,3,FALSE)*VLOOKUP($H20,'EF Marine Vessels spec. TOTE'!$B$98:$L$106,3,FALSE)</f>
        <v>0.1</v>
      </c>
      <c r="E91" s="1084">
        <f>VLOOKUP($I$12,'EF Marine Vessels spec. TOTE'!$D$60:$K$61,4,FALSE)*VLOOKUP($H20,'EF Marine Vessels spec. TOTE'!$B$98:$L$106,4,FALSE)</f>
        <v>0.2</v>
      </c>
      <c r="F91" s="1084">
        <f>VLOOKUP($I$12,'EF Marine Vessels spec. TOTE'!$D$60:$K$61,5,FALSE)*VLOOKUP($H20,'EF Marine Vessels spec. TOTE'!$B$98:$L$106,5,FALSE)</f>
        <v>0</v>
      </c>
      <c r="G91" s="1084">
        <f>VLOOKUP($I$12,'EF Marine Vessels spec. TOTE'!$D$60:$K$61,6,FALSE)*VLOOKUP($H20,'EF Marine Vessels spec. TOTE'!$B$98:$L$106,6,FALSE)</f>
        <v>0.16</v>
      </c>
      <c r="H91" s="1084">
        <f>VLOOKUP($I$12,'EF Marine Vessels spec. TOTE'!$D$60:$K$61,7,FALSE)*VLOOKUP($H20,'EF Marine Vessels spec. TOTE'!$B$98:$L$106,7,FALSE)</f>
        <v>0.15</v>
      </c>
      <c r="I91" s="1084">
        <f>VLOOKUP($I$12,'EF Marine Vessels spec. TOTE'!$D$60:$K$61,8,FALSE)*VLOOKUP($H20,'EF Marine Vessels spec. TOTE'!$B$98:$L$106,8,FALSE)</f>
        <v>0</v>
      </c>
      <c r="J91" s="1085">
        <f>VLOOKUP($I$12,'EF Marine Vessels spec. TOTE'!$P$60:$S$61,2,FALSE)*VLOOKUP($H20,'EF Marine Vessels spec. TOTE'!$B$98:$L$106,9,FALSE)</f>
        <v>643.65797308232732</v>
      </c>
      <c r="K91" s="1084">
        <f>VLOOKUP($I$12,'EF Marine Vessels spec. TOTE'!$P$60:$S$61,3,FALSE)*VLOOKUP($H20,'EF Marine Vessels spec. TOTE'!$B$98:$L$106,10,FALSE)</f>
        <v>7.4999999999999997E-2</v>
      </c>
      <c r="L91" s="1541">
        <f>VLOOKUP($I$12,'EF Marine Vessels spec. TOTE'!$P$60:$S$61,4,FALSE)*VLOOKUP($H20,'EF Marine Vessels spec. TOTE'!$B$98:$L$106,11,FALSE)</f>
        <v>2E-3</v>
      </c>
    </row>
  </sheetData>
  <mergeCells count="16">
    <mergeCell ref="L43:P43"/>
    <mergeCell ref="L33:P33"/>
    <mergeCell ref="L23:P23"/>
    <mergeCell ref="C33:I33"/>
    <mergeCell ref="C43:I43"/>
    <mergeCell ref="B1:AL1"/>
    <mergeCell ref="B2:AL2"/>
    <mergeCell ref="K4:M4"/>
    <mergeCell ref="B14:AL14"/>
    <mergeCell ref="C23:I23"/>
    <mergeCell ref="C64:L64"/>
    <mergeCell ref="C79:L79"/>
    <mergeCell ref="B57:C57"/>
    <mergeCell ref="B58:C58"/>
    <mergeCell ref="B59:C59"/>
    <mergeCell ref="B60:C60"/>
  </mergeCells>
  <pageMargins left="0.7" right="0.7" top="0.75" bottom="0.75" header="0.3" footer="0.3"/>
  <pageSetup paperSize="17" scale="35" fitToHeight="0" orientation="landscape" r:id="rId1"/>
  <headerFooter>
    <oddFooter>&amp;C&amp;P</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'EF Marine Vessels spec. TOTE'!$B$98:$B$106</xm:f>
          </x14:formula1>
          <xm:sqref>G18:H21</xm:sqref>
        </x14:dataValidation>
        <x14:dataValidation type="list" allowBlank="1" showInputMessage="1" showErrorMessage="1">
          <x14:formula1>
            <xm:f>'EF Marine Vessels spec. TOTE'!$B$69:$B$93</xm:f>
          </x14:formula1>
          <xm:sqref>B6</xm:sqref>
        </x14:dataValidation>
        <x14:dataValidation type="list" allowBlank="1" showInputMessage="1" showErrorMessage="1">
          <x14:formula1>
            <xm:f>'EF Marine Vessels spec. TOTE'!$D$8:$D$17</xm:f>
          </x14:formula1>
          <xm:sqref>G12</xm:sqref>
        </x14:dataValidation>
        <x14:dataValidation type="list" allowBlank="1" showInputMessage="1" showErrorMessage="1">
          <x14:formula1>
            <xm:f>'EF Marine Vessels spec. TOTE'!$D$51:$D$55</xm:f>
          </x14:formula1>
          <xm:sqref>H12</xm:sqref>
        </x14:dataValidation>
        <x14:dataValidation type="list" allowBlank="1" showInputMessage="1" showErrorMessage="1">
          <x14:formula1>
            <xm:f>'EF Marine Vessels spec. TOTE'!$D$60:$D$61</xm:f>
          </x14:formula1>
          <xm:sqref>I12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L90"/>
  <sheetViews>
    <sheetView topLeftCell="A7" zoomScale="75" zoomScaleNormal="75" zoomScalePageLayoutView="60" workbookViewId="0">
      <selection activeCell="L80" sqref="L80"/>
    </sheetView>
  </sheetViews>
  <sheetFormatPr defaultColWidth="9.140625" defaultRowHeight="15"/>
  <cols>
    <col min="1" max="1" width="1.28515625" style="568" customWidth="1"/>
    <col min="2" max="2" width="36.28515625" style="568" customWidth="1"/>
    <col min="3" max="9" width="9.28515625" style="568" customWidth="1"/>
    <col min="10" max="10" width="12.140625" style="568" customWidth="1"/>
    <col min="11" max="11" width="32.85546875" style="568" customWidth="1"/>
    <col min="12" max="12" width="10.7109375" style="568" customWidth="1"/>
    <col min="13" max="14" width="10.85546875" style="568" customWidth="1"/>
    <col min="15" max="16" width="13.85546875" style="568" customWidth="1"/>
    <col min="17" max="35" width="9.140625" style="568"/>
    <col min="36" max="36" width="10.140625" style="568" customWidth="1"/>
    <col min="37" max="38" width="9.140625" style="568"/>
    <col min="39" max="39" width="11.85546875" style="568" bestFit="1" customWidth="1"/>
    <col min="40" max="40" width="10.140625" style="568" customWidth="1"/>
    <col min="41" max="16384" width="9.140625" style="568"/>
  </cols>
  <sheetData>
    <row r="1" spans="2:38" ht="23.25">
      <c r="B1" s="1954" t="s">
        <v>948</v>
      </c>
      <c r="C1" s="1954"/>
      <c r="D1" s="1954"/>
      <c r="E1" s="1954"/>
      <c r="F1" s="1954"/>
      <c r="G1" s="1954"/>
      <c r="H1" s="1954"/>
      <c r="I1" s="1954"/>
      <c r="J1" s="1954"/>
      <c r="K1" s="1954"/>
      <c r="L1" s="1954"/>
      <c r="M1" s="1954"/>
      <c r="N1" s="1954"/>
      <c r="O1" s="1954"/>
      <c r="P1" s="1954"/>
      <c r="Q1" s="1954"/>
      <c r="R1" s="1954"/>
      <c r="S1" s="1954"/>
      <c r="T1" s="1954"/>
      <c r="U1" s="1954"/>
      <c r="V1" s="1954"/>
      <c r="W1" s="1954"/>
      <c r="X1" s="1954"/>
      <c r="Y1" s="1954"/>
      <c r="Z1" s="1954"/>
      <c r="AA1" s="1954"/>
      <c r="AB1" s="1954"/>
      <c r="AC1" s="1954"/>
      <c r="AD1" s="1954"/>
      <c r="AE1" s="1954"/>
      <c r="AF1" s="1954"/>
      <c r="AG1" s="1954"/>
      <c r="AH1" s="1954"/>
      <c r="AI1" s="1954"/>
      <c r="AJ1" s="1954"/>
      <c r="AK1" s="1954"/>
      <c r="AL1" s="1954"/>
    </row>
    <row r="2" spans="2:38" ht="18.75">
      <c r="B2" s="1955"/>
      <c r="C2" s="1955"/>
      <c r="D2" s="1955"/>
      <c r="E2" s="1955"/>
      <c r="F2" s="1955"/>
      <c r="G2" s="1955"/>
      <c r="H2" s="1955"/>
      <c r="I2" s="1955"/>
      <c r="J2" s="1955"/>
      <c r="K2" s="1955"/>
      <c r="L2" s="1955"/>
      <c r="M2" s="1955"/>
      <c r="N2" s="1955"/>
      <c r="O2" s="1955"/>
      <c r="P2" s="1955"/>
      <c r="Q2" s="1955"/>
      <c r="R2" s="1955"/>
      <c r="S2" s="1955"/>
      <c r="T2" s="1955"/>
      <c r="U2" s="1955"/>
      <c r="V2" s="1955"/>
      <c r="W2" s="1955"/>
      <c r="X2" s="1955"/>
      <c r="Y2" s="1955"/>
      <c r="Z2" s="1955"/>
      <c r="AA2" s="1955"/>
      <c r="AB2" s="1955"/>
      <c r="AC2" s="1955"/>
      <c r="AD2" s="1955"/>
      <c r="AE2" s="1955"/>
      <c r="AF2" s="1955"/>
      <c r="AG2" s="1955"/>
      <c r="AH2" s="1955"/>
      <c r="AI2" s="1955"/>
      <c r="AJ2" s="1955"/>
      <c r="AK2" s="1955"/>
      <c r="AL2" s="1955"/>
    </row>
    <row r="3" spans="2:38" ht="18.75">
      <c r="B3" s="569" t="s">
        <v>949</v>
      </c>
      <c r="C3" s="569"/>
      <c r="D3" s="569"/>
      <c r="E3" s="569"/>
      <c r="F3" s="569"/>
      <c r="G3" s="569"/>
      <c r="H3" s="569"/>
      <c r="I3" s="569"/>
      <c r="J3" s="569"/>
      <c r="K3" s="569"/>
      <c r="L3" s="569"/>
      <c r="M3" s="569"/>
    </row>
    <row r="4" spans="2:38" ht="18.75">
      <c r="B4" s="1061"/>
      <c r="C4" s="1060"/>
      <c r="D4" s="1060"/>
      <c r="E4" s="1060"/>
      <c r="F4" s="1060"/>
      <c r="G4" s="1060"/>
      <c r="H4" s="1060"/>
      <c r="I4" s="1060"/>
      <c r="J4" s="1060"/>
      <c r="K4" s="1956" t="s">
        <v>950</v>
      </c>
      <c r="L4" s="1956"/>
      <c r="M4" s="1956"/>
    </row>
    <row r="5" spans="2:38" ht="60.75" thickBot="1">
      <c r="B5" s="1062" t="s">
        <v>951</v>
      </c>
      <c r="C5" s="1062" t="s">
        <v>952</v>
      </c>
      <c r="D5" s="1062" t="s">
        <v>953</v>
      </c>
      <c r="E5" s="1062" t="s">
        <v>954</v>
      </c>
      <c r="F5" s="1062" t="s">
        <v>955</v>
      </c>
      <c r="G5" s="1062" t="s">
        <v>956</v>
      </c>
      <c r="H5" s="1062" t="s">
        <v>957</v>
      </c>
      <c r="I5" s="1062" t="s">
        <v>958</v>
      </c>
      <c r="J5" s="1062" t="s">
        <v>959</v>
      </c>
      <c r="K5" s="1062" t="s">
        <v>960</v>
      </c>
      <c r="L5" s="1062" t="s">
        <v>1335</v>
      </c>
      <c r="M5" s="1062" t="s">
        <v>961</v>
      </c>
    </row>
    <row r="6" spans="2:38" ht="15.75" thickTop="1">
      <c r="B6" s="1063" t="s">
        <v>901</v>
      </c>
      <c r="C6" s="1063" t="s">
        <v>962</v>
      </c>
      <c r="D6" s="1063" t="s">
        <v>963</v>
      </c>
      <c r="E6" s="637">
        <v>1450</v>
      </c>
      <c r="F6" s="637">
        <v>22</v>
      </c>
      <c r="G6" s="1064">
        <v>65.909090909090907</v>
      </c>
      <c r="H6" s="637">
        <v>2</v>
      </c>
      <c r="I6" s="637">
        <v>10</v>
      </c>
      <c r="J6" s="637">
        <v>10</v>
      </c>
      <c r="K6" s="636">
        <v>0.13793103448275862</v>
      </c>
      <c r="L6" s="636">
        <v>0.5</v>
      </c>
      <c r="M6" s="636">
        <v>0.5</v>
      </c>
    </row>
    <row r="9" spans="2:38" ht="18.75">
      <c r="B9" s="569" t="s">
        <v>964</v>
      </c>
    </row>
    <row r="10" spans="2:38" ht="60.75" thickBot="1">
      <c r="B10" s="631" t="s">
        <v>965</v>
      </c>
      <c r="C10" s="631" t="s">
        <v>966</v>
      </c>
      <c r="D10" s="631" t="s">
        <v>967</v>
      </c>
      <c r="E10" s="631" t="s">
        <v>968</v>
      </c>
      <c r="F10" s="631" t="s">
        <v>969</v>
      </c>
      <c r="G10" s="631" t="s">
        <v>970</v>
      </c>
      <c r="H10" s="631" t="s">
        <v>971</v>
      </c>
      <c r="I10" s="631" t="s">
        <v>972</v>
      </c>
    </row>
    <row r="11" spans="2:38" ht="75.75" thickTop="1">
      <c r="B11" s="637">
        <v>24</v>
      </c>
      <c r="C11" s="1064">
        <v>25.531914893617024</v>
      </c>
      <c r="D11" s="637">
        <v>52200</v>
      </c>
      <c r="E11" s="637">
        <v>400</v>
      </c>
      <c r="F11" s="637">
        <v>720</v>
      </c>
      <c r="G11" s="1065" t="s">
        <v>973</v>
      </c>
      <c r="H11" s="1065" t="s">
        <v>973</v>
      </c>
      <c r="I11" s="1065" t="s">
        <v>974</v>
      </c>
    </row>
    <row r="12" spans="2:38">
      <c r="K12" s="1523" t="s">
        <v>1567</v>
      </c>
      <c r="L12" s="1523"/>
    </row>
    <row r="13" spans="2:38" ht="18.75">
      <c r="B13" s="1955" t="s">
        <v>975</v>
      </c>
      <c r="C13" s="1955"/>
      <c r="D13" s="1955"/>
      <c r="E13" s="1955"/>
      <c r="F13" s="1955"/>
      <c r="G13" s="1955"/>
      <c r="H13" s="1955"/>
      <c r="I13" s="1955"/>
      <c r="J13" s="1955"/>
      <c r="K13" s="1955"/>
      <c r="L13" s="1955"/>
      <c r="M13" s="1955"/>
      <c r="N13" s="1955"/>
      <c r="O13" s="1955"/>
      <c r="P13" s="1955"/>
      <c r="Q13" s="1955"/>
      <c r="R13" s="1955"/>
      <c r="S13" s="1955"/>
      <c r="T13" s="1955"/>
      <c r="U13" s="1955"/>
      <c r="V13" s="1955"/>
      <c r="W13" s="1955"/>
      <c r="X13" s="1955"/>
      <c r="Y13" s="1955"/>
      <c r="Z13" s="1955"/>
      <c r="AA13" s="1955"/>
      <c r="AB13" s="1955"/>
      <c r="AC13" s="1955"/>
      <c r="AD13" s="1955"/>
      <c r="AE13" s="1955"/>
      <c r="AF13" s="1955"/>
      <c r="AG13" s="1955"/>
      <c r="AH13" s="1955"/>
      <c r="AI13" s="1955"/>
      <c r="AJ13" s="1955"/>
      <c r="AK13" s="1955"/>
      <c r="AL13" s="1955"/>
    </row>
    <row r="15" spans="2:38" ht="18.75">
      <c r="B15" s="569" t="s">
        <v>1143</v>
      </c>
    </row>
    <row r="16" spans="2:38" ht="60.75" thickBot="1">
      <c r="B16" s="631" t="s">
        <v>977</v>
      </c>
      <c r="C16" s="631" t="s">
        <v>1040</v>
      </c>
      <c r="D16" s="631" t="s">
        <v>978</v>
      </c>
      <c r="E16" s="631" t="s">
        <v>979</v>
      </c>
      <c r="F16" s="631" t="s">
        <v>980</v>
      </c>
      <c r="G16" s="631" t="s">
        <v>981</v>
      </c>
      <c r="H16" s="631" t="s">
        <v>982</v>
      </c>
    </row>
    <row r="17" spans="2:16" ht="15.75" thickTop="1">
      <c r="B17" s="568" t="s">
        <v>960</v>
      </c>
      <c r="C17" s="1069">
        <f>G6</f>
        <v>65.909090909090907</v>
      </c>
      <c r="D17" s="1071">
        <f>(F6/C11)^3*D11</f>
        <v>33395.533141666652</v>
      </c>
      <c r="E17" s="609">
        <f>VLOOKUP(B6,'EF Marine Vessels spec. TOTE'!$B$69:$E$93,2,FALSE)</f>
        <v>132</v>
      </c>
      <c r="F17" s="609">
        <f>VLOOKUP(B6,'EF Marine Vessels spec. TOTE'!N69:Q93,2,FALSE)</f>
        <v>0</v>
      </c>
      <c r="G17" s="672" t="s">
        <v>938</v>
      </c>
      <c r="H17" s="672" t="s">
        <v>938</v>
      </c>
    </row>
    <row r="18" spans="2:16">
      <c r="B18" s="568" t="s">
        <v>1335</v>
      </c>
      <c r="C18" s="1069">
        <f>H6</f>
        <v>2</v>
      </c>
      <c r="D18" s="609">
        <f>AVERAGE('EF Marine Vessels spec. TOTE'!O35:P35)*D11</f>
        <v>1044</v>
      </c>
      <c r="E18" s="609">
        <f>VLOOKUP(B6,'EF Marine Vessels spec. TOTE'!$B$69:$E$93,3,FALSE)</f>
        <v>396</v>
      </c>
      <c r="F18" s="609">
        <f>VLOOKUP(B6,'EF Marine Vessels spec. TOTE'!N69:Q93,3,FALSE)</f>
        <v>148</v>
      </c>
      <c r="G18" s="672" t="s">
        <v>938</v>
      </c>
      <c r="H18" s="672" t="s">
        <v>938</v>
      </c>
    </row>
    <row r="19" spans="2:16">
      <c r="B19" s="1067" t="s">
        <v>961</v>
      </c>
      <c r="C19" s="1070">
        <f>I6+J6</f>
        <v>20</v>
      </c>
      <c r="D19" s="1072">
        <v>0</v>
      </c>
      <c r="E19" s="1072">
        <f>VLOOKUP(B6,'EF Marine Vessels spec. TOTE'!$B$69:$E$93,4,FALSE)</f>
        <v>229</v>
      </c>
      <c r="F19" s="1072">
        <f>VLOOKUP(B6,'EF Marine Vessels spec. TOTE'!N69:Q93,4,FALSE)</f>
        <v>259</v>
      </c>
      <c r="G19" s="1068" t="s">
        <v>938</v>
      </c>
      <c r="H19" s="1068" t="s">
        <v>938</v>
      </c>
    </row>
    <row r="20" spans="2:16">
      <c r="C20" s="1069"/>
      <c r="D20" s="609"/>
      <c r="E20" s="609"/>
      <c r="F20" s="609"/>
      <c r="G20" s="672"/>
      <c r="H20" s="672"/>
    </row>
    <row r="21" spans="2:16" ht="18.75">
      <c r="B21" s="569" t="s">
        <v>976</v>
      </c>
      <c r="H21" s="570"/>
    </row>
    <row r="22" spans="2:16" ht="15.75">
      <c r="B22" s="1060"/>
      <c r="C22" s="1957" t="s">
        <v>1047</v>
      </c>
      <c r="D22" s="1957"/>
      <c r="E22" s="1957"/>
      <c r="F22" s="1957"/>
      <c r="G22" s="1957"/>
      <c r="H22" s="1957"/>
      <c r="I22" s="1957"/>
      <c r="K22" s="1060"/>
      <c r="L22" s="1957" t="s">
        <v>1047</v>
      </c>
      <c r="M22" s="1957"/>
      <c r="N22" s="1957"/>
      <c r="O22" s="1957"/>
      <c r="P22" s="1957"/>
    </row>
    <row r="23" spans="2:16" ht="15.75" thickBot="1">
      <c r="B23" s="1073" t="s">
        <v>1172</v>
      </c>
      <c r="C23" s="1062" t="s">
        <v>861</v>
      </c>
      <c r="D23" s="1062" t="s">
        <v>116</v>
      </c>
      <c r="E23" s="1062" t="s">
        <v>862</v>
      </c>
      <c r="F23" s="1062" t="s">
        <v>863</v>
      </c>
      <c r="G23" s="1062" t="s">
        <v>864</v>
      </c>
      <c r="H23" s="1062" t="s">
        <v>865</v>
      </c>
      <c r="I23" s="1062" t="s">
        <v>866</v>
      </c>
      <c r="K23" s="1073" t="s">
        <v>1172</v>
      </c>
      <c r="L23" s="1074" t="s">
        <v>868</v>
      </c>
      <c r="M23" s="1074" t="s">
        <v>869</v>
      </c>
      <c r="N23" s="1074" t="s">
        <v>870</v>
      </c>
      <c r="O23" s="1074" t="s">
        <v>282</v>
      </c>
      <c r="P23" s="1074" t="s">
        <v>1010</v>
      </c>
    </row>
    <row r="24" spans="2:16" ht="15.75" thickTop="1">
      <c r="B24" s="669"/>
      <c r="C24" s="669">
        <f t="shared" ref="C24:I24" si="0">$C17*$K$6*($D17*C65+$E17*C69+$F17*C73)/1000000</f>
        <v>3.4953977278966644</v>
      </c>
      <c r="D24" s="669">
        <f t="shared" si="0"/>
        <v>0.15227787791666658</v>
      </c>
      <c r="E24" s="669">
        <f t="shared" si="0"/>
        <v>0.33527533141666649</v>
      </c>
      <c r="F24" s="669">
        <f t="shared" si="0"/>
        <v>4.7374140456499965E-3</v>
      </c>
      <c r="G24" s="669">
        <f t="shared" si="0"/>
        <v>1.2435666837999994E-2</v>
      </c>
      <c r="H24" s="669">
        <f t="shared" si="0"/>
        <v>1.1917514053083328E-2</v>
      </c>
      <c r="I24" s="669">
        <f t="shared" si="0"/>
        <v>1.2435666837999994E-2</v>
      </c>
      <c r="K24" s="669"/>
      <c r="L24" s="670">
        <f>$C17*$K$6*($D17*J65+$E17*J69+$F17*J73)/1000000</f>
        <v>197.54964977999987</v>
      </c>
      <c r="M24" s="669">
        <f>$C17*$K$6*($D17*K65+$E17*K69+$F17*K73)/1000000</f>
        <v>8.8794923249833277E-3</v>
      </c>
      <c r="N24" s="1764">
        <f>$C17*$K$6*($D17*L65+$E17*L69+$F17*L73)/1000000</f>
        <v>3.0455575583333318E-3</v>
      </c>
      <c r="O24" s="670">
        <f>L24+D24*VOC_C_Ratio/CO2_C_Ratio+E24*CO_C_Ratio/CO2_C_Ratio</f>
        <v>198.55056959772347</v>
      </c>
      <c r="P24" s="670">
        <f>O24+N24*CH4_GWP+M24*N2O_GWP</f>
        <v>201.27279724952683</v>
      </c>
    </row>
    <row r="25" spans="2:16">
      <c r="B25" s="669"/>
      <c r="C25" s="669">
        <f t="shared" ref="C25:I25" si="1">$C18*$L$6*($D18*C66+$E18*C70+$F18*C74)/1000000</f>
        <v>6.0252668959999998E-2</v>
      </c>
      <c r="D25" s="669">
        <f t="shared" si="1"/>
        <v>1.1229159999999998E-2</v>
      </c>
      <c r="E25" s="669">
        <f t="shared" si="1"/>
        <v>1.1581711999999999E-2</v>
      </c>
      <c r="F25" s="669">
        <f>$C18*$L$6*($D18*F66+$E18*F70+$F18*F74)/1000000</f>
        <v>5.5526639999999994E-5</v>
      </c>
      <c r="G25" s="669">
        <f t="shared" si="1"/>
        <v>3.3070140800000003E-4</v>
      </c>
      <c r="H25" s="669">
        <f t="shared" si="1"/>
        <v>3.168383160000001E-4</v>
      </c>
      <c r="I25" s="669">
        <f t="shared" si="1"/>
        <v>3.2667580800000004E-4</v>
      </c>
      <c r="K25" s="669"/>
      <c r="L25" s="670">
        <f>$C18*$L$6*($D18*J66+$E18*J70+$F18*J74)/1000000</f>
        <v>1.0737909172690763</v>
      </c>
      <c r="M25" s="669">
        <f>$C18*$L$6*($D18*K66+$E18*K70+$F18*K74)/1000000</f>
        <v>5.1651119999999992E-5</v>
      </c>
      <c r="N25" s="1764">
        <f>$C18*$L$6*($D18*L66+$E18*L70+$F18*L74)/1000000</f>
        <v>1.3903999999999999E-5</v>
      </c>
      <c r="O25" s="670">
        <f>L25+D25*VOC_C_Ratio/CO2_C_Ratio+E25*CO_C_Ratio/CO2_C_Ratio</f>
        <v>1.1269524955430501</v>
      </c>
      <c r="P25" s="670">
        <f>O25+N25*CH4_GWP+M25*N2O_GWP</f>
        <v>1.1426921293030501</v>
      </c>
    </row>
    <row r="26" spans="2:16">
      <c r="B26" s="669"/>
      <c r="C26" s="669">
        <f t="shared" ref="C26:I26" si="2">$C19*$M$6*($D19*C67+$E19*C71+$F19*C75)/1000000</f>
        <v>3.1130919999999999E-2</v>
      </c>
      <c r="D26" s="669">
        <f t="shared" si="2"/>
        <v>1.1750000000000003E-3</v>
      </c>
      <c r="E26" s="669">
        <f t="shared" si="2"/>
        <v>3.0370000000000006E-3</v>
      </c>
      <c r="F26" s="669">
        <f t="shared" si="2"/>
        <v>6.1226119999999986E-4</v>
      </c>
      <c r="G26" s="669">
        <f t="shared" si="2"/>
        <v>1.6388000000000004E-4</v>
      </c>
      <c r="H26" s="669">
        <f t="shared" si="2"/>
        <v>1.5558400000000003E-4</v>
      </c>
      <c r="I26" s="669">
        <f t="shared" si="2"/>
        <v>9.3432000000000023E-5</v>
      </c>
      <c r="K26" s="669"/>
      <c r="L26" s="670">
        <f>$C19*$M$6*($D19*J67+$E19*J71+$F19*J75)/1000000</f>
        <v>3.7832610522088359</v>
      </c>
      <c r="M26" s="669">
        <f>$C19*$M$6*($D19*K67+$E19*K71+$F19*K75)/1000000</f>
        <v>2.4502040000000001E-4</v>
      </c>
      <c r="N26" s="1764">
        <f>$C19*$M$6*($D19*L67+$E19*L71+$F19*L75)/1000000</f>
        <v>2.3499999999999999E-5</v>
      </c>
      <c r="O26" s="670">
        <f>L26+D26*VOC_C_Ratio/CO2_C_Ratio+E26*CO_C_Ratio/CO2_C_Ratio</f>
        <v>3.7916912516317636</v>
      </c>
      <c r="P26" s="670">
        <f>O26+N26*CH4_GWP+M26*N2O_GWP</f>
        <v>3.8652948308317634</v>
      </c>
    </row>
    <row r="27" spans="2:16" ht="15.75" thickBot="1">
      <c r="B27" s="1077" t="s">
        <v>1050</v>
      </c>
      <c r="C27" s="1077">
        <f t="shared" ref="C27:I27" si="3">SUM(C24:C26)</f>
        <v>3.5867813168566642</v>
      </c>
      <c r="D27" s="1077">
        <f t="shared" si="3"/>
        <v>0.16468203791666658</v>
      </c>
      <c r="E27" s="1077">
        <f t="shared" si="3"/>
        <v>0.34989404341666652</v>
      </c>
      <c r="F27" s="1077">
        <f t="shared" si="3"/>
        <v>5.4052018856499962E-3</v>
      </c>
      <c r="G27" s="1077">
        <f t="shared" si="3"/>
        <v>1.2930248245999993E-2</v>
      </c>
      <c r="H27" s="1077">
        <f t="shared" si="3"/>
        <v>1.2389936369083329E-2</v>
      </c>
      <c r="I27" s="1077">
        <f t="shared" si="3"/>
        <v>1.2855774645999993E-2</v>
      </c>
      <c r="K27" s="1077" t="s">
        <v>1050</v>
      </c>
      <c r="L27" s="1078">
        <f>SUM(L24:L26)</f>
        <v>202.40670174947778</v>
      </c>
      <c r="M27" s="1077">
        <f>SUM(M24:M26)</f>
        <v>9.1761638449833274E-3</v>
      </c>
      <c r="N27" s="1765">
        <f>SUM(N24:N26)</f>
        <v>3.0829615583333318E-3</v>
      </c>
      <c r="O27" s="1078">
        <f>L27+D27*VOC_C_Ratio/CO2_C_Ratio+E27*CO_C_Ratio/CO2_C_Ratio</f>
        <v>203.46921334489826</v>
      </c>
      <c r="P27" s="1078">
        <f>O27+N27*CH4_GWP+M27*N2O_GWP</f>
        <v>206.28078420966162</v>
      </c>
    </row>
    <row r="28" spans="2:16">
      <c r="B28" s="669" t="s">
        <v>1136</v>
      </c>
      <c r="C28" s="670">
        <f>C27*1000000/SUM($D$57:$F$57)</f>
        <v>56204.041886801817</v>
      </c>
      <c r="D28" s="670">
        <f t="shared" ref="D28:I28" si="4">D27*1000000/SUM($D$57:$F$57)</f>
        <v>2580.5298230960134</v>
      </c>
      <c r="E28" s="670">
        <f t="shared" si="4"/>
        <v>5482.7595370009712</v>
      </c>
      <c r="F28" s="670">
        <f t="shared" si="4"/>
        <v>84.698275793944333</v>
      </c>
      <c r="G28" s="670">
        <f t="shared" si="4"/>
        <v>202.61402907657981</v>
      </c>
      <c r="H28" s="670">
        <f t="shared" si="4"/>
        <v>194.14746569301283</v>
      </c>
      <c r="I28" s="670">
        <f t="shared" si="4"/>
        <v>201.44704481852384</v>
      </c>
      <c r="K28" s="669" t="s">
        <v>1136</v>
      </c>
      <c r="L28" s="670">
        <f>L27*1000000/SUM($D$57:$F$57)</f>
        <v>3171666.666666666</v>
      </c>
      <c r="M28" s="670">
        <f>M27*1000000/SUM($D$57:$F$57)</f>
        <v>143.78838617225054</v>
      </c>
      <c r="N28" s="670">
        <f>N27*1000000/SUM($D$57:$F$57)</f>
        <v>48.309301642013331</v>
      </c>
      <c r="O28" s="670">
        <f>O27*1000000/SUM($D$59:$F$59)</f>
        <v>447544.60292169853</v>
      </c>
      <c r="P28" s="670">
        <f>P27*1000000/SUM($D$59:$F$59)</f>
        <v>453728.84743501368</v>
      </c>
    </row>
    <row r="29" spans="2:16">
      <c r="B29" s="1075" t="s">
        <v>1137</v>
      </c>
      <c r="C29" s="1076">
        <f>C28/(lbperkg*Fuel_Specs!$P$13)*1000</f>
        <v>1385.739203234732</v>
      </c>
      <c r="D29" s="1076">
        <f>D28/(lbperkg*Fuel_Specs!$P$13)*1000</f>
        <v>63.62427364534895</v>
      </c>
      <c r="E29" s="1076">
        <f>E28/(lbperkg*Fuel_Specs!$P$13)*1000</f>
        <v>135.18022151562533</v>
      </c>
      <c r="F29" s="1076">
        <f>F28/(lbperkg*Fuel_Specs!$P$13)*1000</f>
        <v>2.0882790147093941</v>
      </c>
      <c r="G29" s="1076">
        <f>G28/(lbperkg*Fuel_Specs!$P$13)*1000</f>
        <v>4.9955518107086663</v>
      </c>
      <c r="H29" s="1076">
        <f>H28/(lbperkg*Fuel_Specs!$P$13)*1000</f>
        <v>4.786804389643998</v>
      </c>
      <c r="I29" s="1076">
        <f>I28/(lbperkg*Fuel_Specs!$P$13)*1000</f>
        <v>4.9667792210219144</v>
      </c>
      <c r="K29" s="1075" t="s">
        <v>1137</v>
      </c>
      <c r="L29" s="1076">
        <f>L28/(lbperkg*Fuel_Specs!$P$13)*1000</f>
        <v>78199.052809134533</v>
      </c>
      <c r="M29" s="1076">
        <f>M28/(lbperkg*Fuel_Specs!$P$13)*1000</f>
        <v>3.5451757026665427</v>
      </c>
      <c r="N29" s="1076">
        <f>N28/(lbperkg*Fuel_Specs!$P$13)*1000</f>
        <v>1.1910903721312276</v>
      </c>
      <c r="O29" s="1076">
        <f>O28/(lbperkg*Fuel_Specs!$P$13)*1000</f>
        <v>11034.439528633857</v>
      </c>
      <c r="P29" s="1076">
        <f>P28/(lbperkg*Fuel_Specs!$P$13)*1000</f>
        <v>11186.915218580678</v>
      </c>
    </row>
    <row r="30" spans="2:16">
      <c r="H30" s="570"/>
    </row>
    <row r="31" spans="2:16">
      <c r="H31" s="570"/>
    </row>
    <row r="32" spans="2:16" ht="15.75">
      <c r="B32" s="1060"/>
      <c r="C32" s="1957" t="s">
        <v>1048</v>
      </c>
      <c r="D32" s="1957"/>
      <c r="E32" s="1957"/>
      <c r="F32" s="1957"/>
      <c r="G32" s="1957"/>
      <c r="H32" s="1957"/>
      <c r="I32" s="1957"/>
      <c r="K32" s="1060"/>
      <c r="L32" s="1957" t="s">
        <v>1048</v>
      </c>
      <c r="M32" s="1957"/>
      <c r="N32" s="1957"/>
      <c r="O32" s="1957"/>
      <c r="P32" s="1957"/>
    </row>
    <row r="33" spans="2:18" ht="15.75" thickBot="1">
      <c r="B33" s="1073" t="s">
        <v>1172</v>
      </c>
      <c r="C33" s="1062" t="s">
        <v>861</v>
      </c>
      <c r="D33" s="1062" t="s">
        <v>116</v>
      </c>
      <c r="E33" s="1062" t="s">
        <v>862</v>
      </c>
      <c r="F33" s="1062" t="s">
        <v>863</v>
      </c>
      <c r="G33" s="1062" t="s">
        <v>864</v>
      </c>
      <c r="H33" s="1062" t="s">
        <v>865</v>
      </c>
      <c r="I33" s="1062" t="s">
        <v>866</v>
      </c>
      <c r="K33" s="1073" t="s">
        <v>1172</v>
      </c>
      <c r="L33" s="1074" t="s">
        <v>868</v>
      </c>
      <c r="M33" s="1074" t="s">
        <v>869</v>
      </c>
      <c r="N33" s="1074" t="s">
        <v>870</v>
      </c>
      <c r="O33" s="1074" t="s">
        <v>282</v>
      </c>
      <c r="P33" s="1074" t="s">
        <v>1010</v>
      </c>
    </row>
    <row r="34" spans="2:18" ht="15.75" thickTop="1">
      <c r="B34" s="669"/>
      <c r="C34" s="669">
        <f t="shared" ref="C34:I34" si="5">$C17*(1-$K$6)*($D17*C80+$E17*C84+$F17*C88)/1000000</f>
        <v>21.846235799354151</v>
      </c>
      <c r="D34" s="669">
        <f t="shared" si="5"/>
        <v>0.95173673697916616</v>
      </c>
      <c r="E34" s="669">
        <f t="shared" si="5"/>
        <v>2.0954708213541653</v>
      </c>
      <c r="F34" s="669">
        <f t="shared" si="5"/>
        <v>2.9608837785312477E-2</v>
      </c>
      <c r="G34" s="669">
        <f t="shared" si="5"/>
        <v>7.7722917737499966E-2</v>
      </c>
      <c r="H34" s="669">
        <f t="shared" si="5"/>
        <v>7.4484462831770792E-2</v>
      </c>
      <c r="I34" s="669">
        <f t="shared" si="5"/>
        <v>7.7722917737499966E-2</v>
      </c>
      <c r="K34" s="669"/>
      <c r="L34" s="670">
        <f>$C17*(1-$K$6)*($D17*J80+$E17*J84+$F17*J88)/1000000</f>
        <v>1234.6853111249993</v>
      </c>
      <c r="M34" s="669">
        <f>$C17*(1-$K$6)*($D17*K80+$E17*K84+$F17*K88)/1000000</f>
        <v>5.54968270311458E-2</v>
      </c>
      <c r="N34" s="669">
        <f>$C17*(1-$K$6)*($D17*L80+$E17*L84+$F17*L88)/1000000</f>
        <v>1.9034734739583323E-2</v>
      </c>
      <c r="O34" s="670">
        <f>L34+D34*VOC_C_Ratio/CO2_C_Ratio+E34*CO_C_Ratio/CO2_C_Ratio</f>
        <v>1240.9410599857717</v>
      </c>
      <c r="P34" s="670">
        <f>O34+N34*CH4_GWP+M34*N2O_GWP</f>
        <v>1257.9549828095428</v>
      </c>
    </row>
    <row r="35" spans="2:18">
      <c r="B35" s="669"/>
      <c r="C35" s="669">
        <f t="shared" ref="C35:I35" si="6">$C18*(1-$L$6)*($D18*C81+$E18*C85+$F18*C89)/1000000</f>
        <v>6.0252668959999998E-2</v>
      </c>
      <c r="D35" s="669">
        <f t="shared" si="6"/>
        <v>1.1229159999999998E-2</v>
      </c>
      <c r="E35" s="669">
        <f t="shared" si="6"/>
        <v>1.1581711999999999E-2</v>
      </c>
      <c r="F35" s="669">
        <f t="shared" si="6"/>
        <v>5.5526639999999994E-5</v>
      </c>
      <c r="G35" s="669">
        <f t="shared" si="6"/>
        <v>3.3070140800000003E-4</v>
      </c>
      <c r="H35" s="669">
        <f t="shared" si="6"/>
        <v>3.168383160000001E-4</v>
      </c>
      <c r="I35" s="669">
        <f t="shared" si="6"/>
        <v>3.2667580800000004E-4</v>
      </c>
      <c r="K35" s="669"/>
      <c r="L35" s="670">
        <f>$C18*(1-$L$6)*($D18*J81+$E18*J85+$F18*J89)/1000000</f>
        <v>1.0737909172690763</v>
      </c>
      <c r="M35" s="669">
        <f>$C18*(1-$L$6)*($D18*K81+$E18*K85+$F18*K89)/1000000</f>
        <v>5.1651119999999992E-5</v>
      </c>
      <c r="N35" s="669">
        <f>$C18*(1-$L$6)*($D18*L81+$E18*L85+$F18*L89)/1000000</f>
        <v>1.3903999999999999E-5</v>
      </c>
      <c r="O35" s="670">
        <f>L35+D35*VOC_C_Ratio/CO2_C_Ratio+E35*CO_C_Ratio/CO2_C_Ratio</f>
        <v>1.1269524955430501</v>
      </c>
      <c r="P35" s="670">
        <f>O35+N35*CH4_GWP+M35*N2O_GWP</f>
        <v>1.1426921293030501</v>
      </c>
    </row>
    <row r="36" spans="2:18">
      <c r="B36" s="669"/>
      <c r="C36" s="669">
        <f t="shared" ref="C36:I36" si="7">$C19*(1-$M$6)*($D19*C82+$E19*C86+$F19*C90)/1000000</f>
        <v>3.1130919999999999E-2</v>
      </c>
      <c r="D36" s="669">
        <f t="shared" si="7"/>
        <v>1.1750000000000003E-3</v>
      </c>
      <c r="E36" s="669">
        <f t="shared" si="7"/>
        <v>3.0370000000000006E-3</v>
      </c>
      <c r="F36" s="669">
        <f t="shared" si="7"/>
        <v>6.1226119999999986E-4</v>
      </c>
      <c r="G36" s="669">
        <f t="shared" si="7"/>
        <v>1.6388000000000004E-4</v>
      </c>
      <c r="H36" s="669">
        <f t="shared" si="7"/>
        <v>1.5558400000000003E-4</v>
      </c>
      <c r="I36" s="669">
        <f t="shared" si="7"/>
        <v>9.3432000000000023E-5</v>
      </c>
      <c r="K36" s="669"/>
      <c r="L36" s="670">
        <f>$C19*(1-$M$6)*($D19*J82+$E19*J86+$F19*J90)/1000000</f>
        <v>3.7832610522088359</v>
      </c>
      <c r="M36" s="669">
        <f>$C19*(1-$M$6)*($D19*K82+$E19*K86+$F19*K90)/1000000</f>
        <v>2.4502040000000001E-4</v>
      </c>
      <c r="N36" s="669">
        <f>$C19*(1-$M$6)*($D19*L82+$E19*L86+$F19*L90)/1000000</f>
        <v>2.3499999999999999E-5</v>
      </c>
      <c r="O36" s="670">
        <f>L36+D36*VOC_C_Ratio/CO2_C_Ratio+E36*CO_C_Ratio/CO2_C_Ratio</f>
        <v>3.7916912516317636</v>
      </c>
      <c r="P36" s="670">
        <f>O36+N36*CH4_GWP+M36*N2O_GWP</f>
        <v>3.8652948308317634</v>
      </c>
    </row>
    <row r="37" spans="2:18" ht="15.75" thickBot="1">
      <c r="B37" s="1077" t="s">
        <v>1050</v>
      </c>
      <c r="C37" s="1077">
        <f t="shared" ref="C37:I37" si="8">SUM(C34:C36)</f>
        <v>21.93761938831415</v>
      </c>
      <c r="D37" s="1077">
        <f t="shared" si="8"/>
        <v>0.96414089697916616</v>
      </c>
      <c r="E37" s="1077">
        <f t="shared" si="8"/>
        <v>2.1100895333541652</v>
      </c>
      <c r="F37" s="1077">
        <f t="shared" si="8"/>
        <v>3.0276625625312477E-2</v>
      </c>
      <c r="G37" s="1077">
        <f t="shared" si="8"/>
        <v>7.8217499145499969E-2</v>
      </c>
      <c r="H37" s="1077">
        <f t="shared" si="8"/>
        <v>7.4956885147770796E-2</v>
      </c>
      <c r="I37" s="1077">
        <f t="shared" si="8"/>
        <v>7.8143025545499969E-2</v>
      </c>
      <c r="K37" s="1077" t="s">
        <v>1050</v>
      </c>
      <c r="L37" s="1078">
        <f>SUM(L34:L36)</f>
        <v>1239.5423630944772</v>
      </c>
      <c r="M37" s="1077">
        <f>SUM(M34:M36)</f>
        <v>5.57934985511458E-2</v>
      </c>
      <c r="N37" s="1077">
        <f>SUM(N34:N36)</f>
        <v>1.9072138739583321E-2</v>
      </c>
      <c r="O37" s="1078">
        <f>L37+D37*VOC_C_Ratio/CO2_C_Ratio+E37*CO_C_Ratio/CO2_C_Ratio</f>
        <v>1245.8597037329466</v>
      </c>
      <c r="P37" s="1078">
        <f>O37+N37*CH4_GWP+M37*N2O_GWP</f>
        <v>1262.9629697696778</v>
      </c>
    </row>
    <row r="38" spans="2:18">
      <c r="B38" s="669" t="s">
        <v>1136</v>
      </c>
      <c r="C38" s="670">
        <f>C37*1000000/SUM($D$58:$F$58)</f>
        <v>56132.664950825179</v>
      </c>
      <c r="D38" s="670">
        <f t="shared" ref="D38:I38" si="9">D37*1000000/SUM($D$58:$F$58)</f>
        <v>2466.985910255532</v>
      </c>
      <c r="E38" s="670">
        <f t="shared" si="9"/>
        <v>5399.170561556296</v>
      </c>
      <c r="F38" s="670">
        <f t="shared" si="9"/>
        <v>77.470014042295588</v>
      </c>
      <c r="G38" s="670">
        <f t="shared" si="9"/>
        <v>200.13824632059163</v>
      </c>
      <c r="H38" s="670">
        <f t="shared" si="9"/>
        <v>191.79518275344824</v>
      </c>
      <c r="I38" s="670">
        <f t="shared" si="9"/>
        <v>199.94768773889302</v>
      </c>
      <c r="K38" s="669" t="s">
        <v>1136</v>
      </c>
      <c r="L38" s="670">
        <f>L37*1000000/SUM($D$58:$F$58)</f>
        <v>3171666.6666666665</v>
      </c>
      <c r="M38" s="670">
        <f>M37*1000000/SUM($D$58:$F$58)</f>
        <v>142.76105830672319</v>
      </c>
      <c r="N38" s="670">
        <f>N37*1000000/SUM($D$58:$F$58)</f>
        <v>48.800644902015243</v>
      </c>
      <c r="O38" s="670">
        <f>O37*1000000/SUM($D$59:$F$59)</f>
        <v>2740354.5589875705</v>
      </c>
      <c r="P38" s="670">
        <f>P37*1000000/SUM($D$59:$F$59)</f>
        <v>2777974.3751810798</v>
      </c>
    </row>
    <row r="39" spans="2:18">
      <c r="B39" s="1075" t="s">
        <v>1137</v>
      </c>
      <c r="C39" s="1076">
        <f>C38/(lbperkg*Fuel_Specs!$P$13)*1000</f>
        <v>1383.9793686201892</v>
      </c>
      <c r="D39" s="1076">
        <f>D38/(lbperkg*Fuel_Specs!$P$13)*1000</f>
        <v>60.824790796257446</v>
      </c>
      <c r="E39" s="1076">
        <f>E38/(lbperkg*Fuel_Specs!$P$13)*1000</f>
        <v>133.11929286452929</v>
      </c>
      <c r="F39" s="1076">
        <f>F38/(lbperkg*Fuel_Specs!$P$13)*1000</f>
        <v>1.9100625494118342</v>
      </c>
      <c r="G39" s="1076">
        <f>G38/(lbperkg*Fuel_Specs!$P$13)*1000</f>
        <v>4.9345101292122511</v>
      </c>
      <c r="H39" s="1076">
        <f>H38/(lbperkg*Fuel_Specs!$P$13)*1000</f>
        <v>4.7288076588569137</v>
      </c>
      <c r="I39" s="1076">
        <f>I38/(lbperkg*Fuel_Specs!$P$13)*1000</f>
        <v>4.9298118105805688</v>
      </c>
      <c r="K39" s="1075" t="s">
        <v>1137</v>
      </c>
      <c r="L39" s="1076">
        <f>L38/(lbperkg*Fuel_Specs!$P$13)*1000</f>
        <v>78199.052809134548</v>
      </c>
      <c r="M39" s="1076">
        <f>M38/(lbperkg*Fuel_Specs!$P$13)*1000</f>
        <v>3.5198464122802045</v>
      </c>
      <c r="N39" s="1076">
        <f>N38/(lbperkg*Fuel_Specs!$P$13)*1000</f>
        <v>1.2032046897990054</v>
      </c>
      <c r="O39" s="1076">
        <f>O38/(lbperkg*Fuel_Specs!$P$13)*1000</f>
        <v>67564.833696486065</v>
      </c>
      <c r="P39" s="1076">
        <f>P38/(lbperkg*Fuel_Specs!$P$13)*1000</f>
        <v>68492.369374842179</v>
      </c>
    </row>
    <row r="40" spans="2:18">
      <c r="H40" s="570"/>
    </row>
    <row r="41" spans="2:18">
      <c r="H41" s="570"/>
    </row>
    <row r="42" spans="2:18" ht="15.75">
      <c r="B42" s="1060"/>
      <c r="C42" s="1957" t="s">
        <v>1049</v>
      </c>
      <c r="D42" s="1957"/>
      <c r="E42" s="1957"/>
      <c r="F42" s="1957"/>
      <c r="G42" s="1957"/>
      <c r="H42" s="1957"/>
      <c r="I42" s="1957"/>
      <c r="K42" s="1060"/>
      <c r="L42" s="1957" t="s">
        <v>1049</v>
      </c>
      <c r="M42" s="1957"/>
      <c r="N42" s="1957"/>
      <c r="O42" s="1957"/>
      <c r="P42" s="1957"/>
      <c r="Q42" s="1080"/>
      <c r="R42" s="1080"/>
    </row>
    <row r="43" spans="2:18" ht="15.75" thickBot="1">
      <c r="B43" s="1073" t="s">
        <v>1172</v>
      </c>
      <c r="C43" s="1062" t="s">
        <v>861</v>
      </c>
      <c r="D43" s="1062" t="s">
        <v>116</v>
      </c>
      <c r="E43" s="1062" t="s">
        <v>862</v>
      </c>
      <c r="F43" s="1062" t="s">
        <v>863</v>
      </c>
      <c r="G43" s="1062" t="s">
        <v>864</v>
      </c>
      <c r="H43" s="1062" t="s">
        <v>865</v>
      </c>
      <c r="I43" s="1062" t="s">
        <v>866</v>
      </c>
      <c r="K43" s="1073" t="s">
        <v>1172</v>
      </c>
      <c r="L43" s="1074" t="s">
        <v>868</v>
      </c>
      <c r="M43" s="1074" t="s">
        <v>869</v>
      </c>
      <c r="N43" s="1074" t="s">
        <v>870</v>
      </c>
      <c r="O43" s="1074" t="s">
        <v>282</v>
      </c>
      <c r="P43" s="1074" t="s">
        <v>1010</v>
      </c>
      <c r="Q43" s="1074" t="s">
        <v>254</v>
      </c>
      <c r="R43" s="1074" t="s">
        <v>255</v>
      </c>
    </row>
    <row r="44" spans="2:18" ht="15.75" thickTop="1">
      <c r="B44" s="669"/>
      <c r="C44" s="669">
        <f t="shared" ref="C44:I44" si="10">C24+C34</f>
        <v>25.341633527250814</v>
      </c>
      <c r="D44" s="669">
        <f t="shared" si="10"/>
        <v>1.1040146148958327</v>
      </c>
      <c r="E44" s="669">
        <f t="shared" si="10"/>
        <v>2.4307461527708316</v>
      </c>
      <c r="F44" s="669">
        <f t="shared" si="10"/>
        <v>3.4346251830962474E-2</v>
      </c>
      <c r="G44" s="669">
        <f t="shared" si="10"/>
        <v>9.0158584575499967E-2</v>
      </c>
      <c r="H44" s="669">
        <f t="shared" si="10"/>
        <v>8.6401976884854126E-2</v>
      </c>
      <c r="I44" s="669">
        <f t="shared" si="10"/>
        <v>9.0158584575499967E-2</v>
      </c>
      <c r="K44" s="669"/>
      <c r="L44" s="670">
        <f t="shared" ref="L44:N46" si="11">L24+L34</f>
        <v>1432.2349609049993</v>
      </c>
      <c r="M44" s="669">
        <f t="shared" si="11"/>
        <v>6.4376319356129127E-2</v>
      </c>
      <c r="N44" s="669">
        <f t="shared" si="11"/>
        <v>2.2080292297916655E-2</v>
      </c>
      <c r="O44" s="670">
        <f>L44+D44*VOC_C_Ratio/CO2_C_Ratio+E44*CO_C_Ratio/CO2_C_Ratio</f>
        <v>1439.4916295834953</v>
      </c>
      <c r="P44" s="670">
        <f>O44+N44*CH4_GWP+M44*N2O_GWP</f>
        <v>1459.2277800590696</v>
      </c>
      <c r="Q44" s="669">
        <f>H44*'BC_OC Ratios'!$C$6/100</f>
        <v>1.7280395376970827E-2</v>
      </c>
      <c r="R44" s="669">
        <f>I44*'BC_OC Ratios'!$C$7/100</f>
        <v>3.8587874198313984E-2</v>
      </c>
    </row>
    <row r="45" spans="2:18">
      <c r="B45" s="669"/>
      <c r="C45" s="669">
        <f t="shared" ref="C45:I45" si="12">C25+C35</f>
        <v>0.12050533792</v>
      </c>
      <c r="D45" s="669">
        <f t="shared" si="12"/>
        <v>2.2458319999999997E-2</v>
      </c>
      <c r="E45" s="669">
        <f t="shared" si="12"/>
        <v>2.3163423999999998E-2</v>
      </c>
      <c r="F45" s="669">
        <f t="shared" si="12"/>
        <v>1.1105327999999999E-4</v>
      </c>
      <c r="G45" s="669">
        <f t="shared" si="12"/>
        <v>6.6140281600000005E-4</v>
      </c>
      <c r="H45" s="669">
        <f t="shared" si="12"/>
        <v>6.3367663200000019E-4</v>
      </c>
      <c r="I45" s="669">
        <f t="shared" si="12"/>
        <v>6.5335161600000007E-4</v>
      </c>
      <c r="K45" s="669"/>
      <c r="L45" s="670">
        <f t="shared" si="11"/>
        <v>2.1475818345381525</v>
      </c>
      <c r="M45" s="669">
        <f t="shared" si="11"/>
        <v>1.0330223999999998E-4</v>
      </c>
      <c r="N45" s="669">
        <f t="shared" si="11"/>
        <v>2.7807999999999999E-5</v>
      </c>
      <c r="O45" s="670">
        <f>L45+D45*VOC_C_Ratio/CO2_C_Ratio+E45*CO_C_Ratio/CO2_C_Ratio</f>
        <v>2.2539049910861002</v>
      </c>
      <c r="P45" s="670">
        <f>O45+N45*CH4_GWP+M45*N2O_GWP</f>
        <v>2.2853842586061002</v>
      </c>
      <c r="Q45" s="669">
        <f>H45*'BC_OC Ratios'!$C$6/100</f>
        <v>1.2673532640000004E-4</v>
      </c>
      <c r="R45" s="669">
        <f>I45*'BC_OC Ratios'!$C$7/100</f>
        <v>2.7963449164799999E-4</v>
      </c>
    </row>
    <row r="46" spans="2:18">
      <c r="B46" s="669"/>
      <c r="C46" s="669">
        <f t="shared" ref="C46:I46" si="13">C26+C36</f>
        <v>6.2261839999999999E-2</v>
      </c>
      <c r="D46" s="669">
        <f t="shared" si="13"/>
        <v>2.3500000000000005E-3</v>
      </c>
      <c r="E46" s="669">
        <f t="shared" si="13"/>
        <v>6.0740000000000013E-3</v>
      </c>
      <c r="F46" s="669">
        <f t="shared" si="13"/>
        <v>1.2245223999999997E-3</v>
      </c>
      <c r="G46" s="669">
        <f t="shared" si="13"/>
        <v>3.2776000000000007E-4</v>
      </c>
      <c r="H46" s="669">
        <f t="shared" si="13"/>
        <v>3.1116800000000007E-4</v>
      </c>
      <c r="I46" s="669">
        <f t="shared" si="13"/>
        <v>1.8686400000000005E-4</v>
      </c>
      <c r="K46" s="669"/>
      <c r="L46" s="670">
        <f t="shared" si="11"/>
        <v>7.5665221044176718</v>
      </c>
      <c r="M46" s="669">
        <f t="shared" si="11"/>
        <v>4.9004080000000002E-4</v>
      </c>
      <c r="N46" s="669">
        <f t="shared" si="11"/>
        <v>4.6999999999999997E-5</v>
      </c>
      <c r="O46" s="670">
        <f>L46+D46*VOC_C_Ratio/CO2_C_Ratio+E46*CO_C_Ratio/CO2_C_Ratio</f>
        <v>7.5833825032635271</v>
      </c>
      <c r="P46" s="670">
        <f>O46+N46*CH4_GWP+M46*N2O_GWP</f>
        <v>7.7305896616635268</v>
      </c>
      <c r="Q46" s="669">
        <f>H46*'BC_OC Ratios'!$C$6/100</f>
        <v>6.2233600000000013E-5</v>
      </c>
      <c r="R46" s="669">
        <f>I46*'BC_OC Ratios'!$C$7/100</f>
        <v>7.9977792000000003E-5</v>
      </c>
    </row>
    <row r="47" spans="2:18" ht="15.75" thickBot="1">
      <c r="B47" s="1077" t="s">
        <v>1050</v>
      </c>
      <c r="C47" s="1077">
        <f t="shared" ref="C47:I47" si="14">SUM(C44:C46)</f>
        <v>25.524400705170816</v>
      </c>
      <c r="D47" s="1077">
        <f t="shared" si="14"/>
        <v>1.1288229348958327</v>
      </c>
      <c r="E47" s="1077">
        <f t="shared" si="14"/>
        <v>2.4599835767708313</v>
      </c>
      <c r="F47" s="1077">
        <f t="shared" si="14"/>
        <v>3.5681827510962473E-2</v>
      </c>
      <c r="G47" s="1077">
        <f t="shared" si="14"/>
        <v>9.1147747391499959E-2</v>
      </c>
      <c r="H47" s="1077">
        <f t="shared" si="14"/>
        <v>8.734682151685412E-2</v>
      </c>
      <c r="I47" s="1077">
        <f t="shared" si="14"/>
        <v>9.0998800191499959E-2</v>
      </c>
      <c r="K47" s="1077" t="s">
        <v>1050</v>
      </c>
      <c r="L47" s="1078">
        <f>SUM(L44:L46)</f>
        <v>1441.9490648439551</v>
      </c>
      <c r="M47" s="1077">
        <f>SUM(M44:M46)</f>
        <v>6.4969662396129127E-2</v>
      </c>
      <c r="N47" s="1077">
        <f>SUM(N44:N46)</f>
        <v>2.2155100297916654E-2</v>
      </c>
      <c r="O47" s="1078">
        <f>L47+D47*VOC_C_Ratio/CO2_C_Ratio+E47*CO_C_Ratio/CO2_C_Ratio</f>
        <v>1449.3289170778451</v>
      </c>
      <c r="P47" s="1078">
        <f>O47+N47*CH4_GWP+M47*N2O_GWP</f>
        <v>1469.2437539793393</v>
      </c>
      <c r="Q47" s="1077">
        <v>9.2045762809681783E-2</v>
      </c>
      <c r="R47" s="1077">
        <v>0.19697793241271899</v>
      </c>
    </row>
    <row r="48" spans="2:18">
      <c r="B48" s="669" t="s">
        <v>1136</v>
      </c>
      <c r="C48" s="670">
        <f>C47*1000000/SUM($D$59:$F$59)</f>
        <v>56142.684146748441</v>
      </c>
      <c r="D48" s="670">
        <f t="shared" ref="D48:I48" si="15">D47*1000000/SUM($D$59:$F$59)</f>
        <v>2482.9240938308717</v>
      </c>
      <c r="E48" s="670">
        <f t="shared" si="15"/>
        <v>5410.903964097949</v>
      </c>
      <c r="F48" s="670">
        <f t="shared" si="15"/>
        <v>78.484646705961453</v>
      </c>
      <c r="G48" s="670">
        <f t="shared" si="15"/>
        <v>200.4857724809155</v>
      </c>
      <c r="H48" s="670">
        <f t="shared" si="15"/>
        <v>192.12537321785996</v>
      </c>
      <c r="I48" s="670">
        <f t="shared" si="15"/>
        <v>200.1581528160805</v>
      </c>
      <c r="K48" s="669" t="s">
        <v>1136</v>
      </c>
      <c r="L48" s="670">
        <f t="shared" ref="L48:Q48" si="16">L47*1000000/SUM($D$59:$F$59)</f>
        <v>3171666.666666667</v>
      </c>
      <c r="M48" s="670">
        <f t="shared" si="16"/>
        <v>142.90526454115022</v>
      </c>
      <c r="N48" s="670">
        <f t="shared" si="16"/>
        <v>48.731674942459449</v>
      </c>
      <c r="O48" s="670">
        <f t="shared" si="16"/>
        <v>3187899.1619092696</v>
      </c>
      <c r="P48" s="670">
        <f t="shared" si="16"/>
        <v>3231703.2226160932</v>
      </c>
      <c r="Q48" s="670">
        <f t="shared" si="16"/>
        <v>202.46101948335263</v>
      </c>
      <c r="R48" s="670">
        <f t="shared" ref="R48" si="17">R47*1000000/SUM($D$59:$F$59)</f>
        <v>433.26658169437462</v>
      </c>
    </row>
    <row r="49" spans="2:18">
      <c r="B49" s="1075" t="s">
        <v>1137</v>
      </c>
      <c r="C49" s="1076">
        <f>C48/(lbperkg*Fuel_Specs!$P$13)*1000</f>
        <v>1384.2263969852261</v>
      </c>
      <c r="D49" s="1076">
        <f>D48/(lbperkg*Fuel_Specs!$P$13)*1000</f>
        <v>61.217754808582086</v>
      </c>
      <c r="E49" s="1076">
        <f>E48/(lbperkg*Fuel_Specs!$P$13)*1000</f>
        <v>133.40858586452472</v>
      </c>
      <c r="F49" s="1076">
        <f>F48/(lbperkg*Fuel_Specs!$P$13)*1000</f>
        <v>1.9350788331473716</v>
      </c>
      <c r="G49" s="1076">
        <f>G48/(lbperkg*Fuel_Specs!$P$13)*1000</f>
        <v>4.9430785632312908</v>
      </c>
      <c r="H49" s="1076">
        <f>H48/(lbperkg*Fuel_Specs!$P$13)*1000</f>
        <v>4.7369486724870571</v>
      </c>
      <c r="I49" s="1076">
        <f>I48/(lbperkg*Fuel_Specs!$P$13)*1000</f>
        <v>4.9350009339706258</v>
      </c>
      <c r="K49" s="1075" t="s">
        <v>1137</v>
      </c>
      <c r="L49" s="1076">
        <f>L48/(lbperkg*Fuel_Specs!$P$13)*1000</f>
        <v>78199.052809134562</v>
      </c>
      <c r="M49" s="1512">
        <f>M48/(lbperkg*Fuel_Specs!$P$13)*1000</f>
        <v>3.5234018902438509</v>
      </c>
      <c r="N49" s="1512">
        <f>N48/(lbperkg*Fuel_Specs!$P$13)*1000</f>
        <v>1.2015042004108141</v>
      </c>
      <c r="O49" s="1076">
        <f>O48/(lbperkg*Fuel_Specs!$P$13)*1000</f>
        <v>78599.273225119934</v>
      </c>
      <c r="P49" s="1076">
        <f>P48/(lbperkg*Fuel_Specs!$P$13)*1000</f>
        <v>79679.284593422868</v>
      </c>
      <c r="Q49" s="1076">
        <f>Q48/(lbperkg*Fuel_Specs!$P$13)*1000</f>
        <v>4.9917792814618736</v>
      </c>
      <c r="R49" s="1076">
        <f>R48/(lbperkg*Fuel_Specs!$P$13)*1000</f>
        <v>10.68240766232841</v>
      </c>
    </row>
    <row r="50" spans="2:18">
      <c r="H50" s="570"/>
      <c r="L50" s="1076">
        <f>L48/(lbperkg*Fuel_Specs!$P$13)*1000</f>
        <v>78199.052809134562</v>
      </c>
      <c r="M50" s="568" t="s">
        <v>1704</v>
      </c>
      <c r="O50" s="1523">
        <f>Fuel_Specs!K13</f>
        <v>78127.079070403168</v>
      </c>
    </row>
    <row r="51" spans="2:18">
      <c r="H51" s="570"/>
    </row>
    <row r="52" spans="2:18">
      <c r="H52" s="570"/>
    </row>
    <row r="53" spans="2:18">
      <c r="H53" s="570"/>
    </row>
    <row r="54" spans="2:18">
      <c r="H54" s="570"/>
    </row>
    <row r="55" spans="2:18" ht="18.75">
      <c r="B55" s="569" t="s">
        <v>983</v>
      </c>
      <c r="G55" s="705"/>
      <c r="H55" s="704"/>
    </row>
    <row r="56" spans="2:18" ht="36" customHeight="1" thickBot="1">
      <c r="B56" s="1951" t="s">
        <v>984</v>
      </c>
      <c r="C56" s="1951"/>
      <c r="D56" s="631" t="s">
        <v>946</v>
      </c>
      <c r="E56" s="631" t="s">
        <v>947</v>
      </c>
      <c r="F56" s="631" t="s">
        <v>985</v>
      </c>
      <c r="G56" s="705"/>
      <c r="H56" s="704"/>
    </row>
    <row r="57" spans="2:18" ht="30.75" customHeight="1" thickTop="1">
      <c r="B57" s="1952" t="s">
        <v>1138</v>
      </c>
      <c r="C57" s="1952"/>
      <c r="D57" s="573">
        <f>($C$17*D$17*$K$6+$C$18*D$18*$L$6+$C$19*D$19*$M$6)*'EF Marine Vessels spec. TOTE'!$C$111/1000000</f>
        <v>62.240639552285828</v>
      </c>
      <c r="E57" s="573">
        <f>($C$17*E$17*$K$6+$C$18*E$18*$L$6+$C$19*E$19*$M$6)*'EF Marine Vessels spec. TOTE'!$C$112/1000000</f>
        <v>0.83682753547030997</v>
      </c>
      <c r="F57" s="573">
        <f>($C$17*F$17*$K$6+$C$18*F$18*$L$6+$C$19*F$19*$M$6)*'EF Marine Vessels spec. TOTE'!$C$113/1000000</f>
        <v>0.73967481959366632</v>
      </c>
      <c r="G57" s="705"/>
      <c r="H57" s="704"/>
    </row>
    <row r="58" spans="2:18" ht="30.75" customHeight="1">
      <c r="B58" s="1952" t="s">
        <v>1139</v>
      </c>
      <c r="C58" s="1952"/>
      <c r="D58" s="573">
        <f>($C$17*D$17*(1-$K$6)+$C$18*D$18*(1-$L$6)+$C$19*D$19*(1-$M$6))*'EF Marine Vessels spec. TOTE'!$C$111/1000000</f>
        <v>387.88417965055152</v>
      </c>
      <c r="E58" s="573">
        <f>($C$17*E$17*(1-$K$6)+$C$18*E$18*(1-$L$6)+$C$19*E$19*(1-$M$6))*'EF Marine Vessels spec. TOTE'!$C$112/1000000</f>
        <v>2.1934959537572252</v>
      </c>
      <c r="F58" s="573">
        <f>($C$17*F$17*(1-$K$6)+$C$18*F$18*(1-$L$6)+$C$19*F$19*(1-$M$6))*'EF Marine Vessels spec. TOTE'!$C$113/1000000</f>
        <v>0.73967481959366632</v>
      </c>
      <c r="G58" s="705"/>
      <c r="H58" s="704"/>
    </row>
    <row r="59" spans="2:18" ht="30.75" customHeight="1">
      <c r="B59" s="1953" t="s">
        <v>1140</v>
      </c>
      <c r="C59" s="1953"/>
      <c r="D59" s="1079">
        <f>($C$17*D17+$C$18*D18+$C$19*D19)*'EF Marine Vessels spec. TOTE'!$C$111/1000000</f>
        <v>450.12481920283733</v>
      </c>
      <c r="E59" s="1079">
        <f>($C$17*E17+$C$18*E18+$C$19*E19)*'EF Marine Vessels spec. TOTE'!$C$112/1000000</f>
        <v>3.030323489227535</v>
      </c>
      <c r="F59" s="1079">
        <f>($C$17*F17+$C$18*F18+$C$19*F19)*'EF Marine Vessels spec. TOTE'!$C$113/1000000</f>
        <v>1.4793496391873326</v>
      </c>
      <c r="G59" s="705"/>
      <c r="H59" s="704"/>
    </row>
    <row r="60" spans="2:18">
      <c r="D60" s="574"/>
      <c r="E60" s="574"/>
      <c r="F60" s="574"/>
      <c r="H60" s="571"/>
      <c r="I60" s="572"/>
    </row>
    <row r="62" spans="2:18" ht="18.75">
      <c r="B62" s="569"/>
    </row>
    <row r="63" spans="2:18" ht="15.75">
      <c r="B63" s="1080" t="s">
        <v>987</v>
      </c>
      <c r="C63" s="1950" t="s">
        <v>986</v>
      </c>
      <c r="D63" s="1950"/>
      <c r="E63" s="1950"/>
      <c r="F63" s="1950"/>
      <c r="G63" s="1950"/>
      <c r="H63" s="1950"/>
      <c r="I63" s="1950"/>
      <c r="J63" s="1950"/>
      <c r="K63" s="1950"/>
      <c r="L63" s="1950"/>
    </row>
    <row r="64" spans="2:18" ht="18.75" thickBot="1">
      <c r="B64" s="1081" t="s">
        <v>946</v>
      </c>
      <c r="C64" s="1074" t="s">
        <v>1166</v>
      </c>
      <c r="D64" s="1074" t="s">
        <v>116</v>
      </c>
      <c r="E64" s="1074" t="s">
        <v>862</v>
      </c>
      <c r="F64" s="1074" t="s">
        <v>1167</v>
      </c>
      <c r="G64" s="1074" t="s">
        <v>864</v>
      </c>
      <c r="H64" s="1074" t="s">
        <v>865</v>
      </c>
      <c r="I64" s="1074" t="s">
        <v>866</v>
      </c>
      <c r="J64" s="1074" t="s">
        <v>1161</v>
      </c>
      <c r="K64" s="1074" t="s">
        <v>1162</v>
      </c>
      <c r="L64" s="1074" t="s">
        <v>1163</v>
      </c>
    </row>
    <row r="65" spans="2:12" ht="15.75" thickTop="1">
      <c r="B65" s="568" t="s">
        <v>960</v>
      </c>
      <c r="C65" s="575">
        <f>VLOOKUP($G$11,'EF Marine Vessels spec. TOTE'!$D$8:$K$17,2,FALSE)*VLOOKUP($G$17,'EF Marine Vessels spec. TOTE'!$B$98:$L$106,2,FALSE)</f>
        <v>11.467999999999998</v>
      </c>
      <c r="D65" s="575">
        <f>VLOOKUP($G$11,'EF Marine Vessels spec. TOTE'!$D$8:$K$17,3,FALSE)*VLOOKUP($G$17,'EF Marine Vessels spec. TOTE'!$B$98:$L$106,3,FALSE)</f>
        <v>0.5</v>
      </c>
      <c r="E65" s="575">
        <f>VLOOKUP($G$11,'EF Marine Vessels spec. TOTE'!$D$8:$K$17,4,FALSE)*VLOOKUP($G$17,'EF Marine Vessels spec. TOTE'!$B$98:$L$106,4,FALSE)</f>
        <v>1.1000000000000001</v>
      </c>
      <c r="F65" s="575">
        <f>VLOOKUP($G$11,'EF Marine Vessels spec. TOTE'!$D$8:$K$17,5,FALSE)*VLOOKUP($G$17,'EF Marine Vessels spec. TOTE'!$B$98:$L$106,5,FALSE)</f>
        <v>1.5539999999999998E-2</v>
      </c>
      <c r="G65" s="575">
        <f>VLOOKUP($G$11,'EF Marine Vessels spec. TOTE'!$D$8:$K$17,6,FALSE)*VLOOKUP($G$17,'EF Marine Vessels spec. TOTE'!$B$98:$L$106,6,FALSE)</f>
        <v>4.0800000000000003E-2</v>
      </c>
      <c r="H65" s="575">
        <f>VLOOKUP($G$11,'EF Marine Vessels spec. TOTE'!$D$8:$K$17,7,FALSE)*VLOOKUP($G$17,'EF Marine Vessels spec. TOTE'!$B$98:$L$106,7,FALSE)</f>
        <v>3.9100000000000003E-2</v>
      </c>
      <c r="I65" s="575">
        <f>VLOOKUP($G$11,'EF Marine Vessels spec. TOTE'!$D$8:$K$17,8,FALSE)*VLOOKUP($G$17,'EF Marine Vessels spec. TOTE'!$B$98:$L$106,8,FALSE)</f>
        <v>4.0800000000000003E-2</v>
      </c>
      <c r="J65" s="576">
        <f>VLOOKUP($G$11,'EF Marine Vessels spec. TOTE'!$P$8:$S$17,2,FALSE)*VLOOKUP($G$17,'EF Marine Vessels spec. TOTE'!$B$98:$L$106,9,FALSE)</f>
        <v>648</v>
      </c>
      <c r="K65" s="575">
        <f>VLOOKUP($G$11,'EF Marine Vessels spec. TOTE'!$P$8:$S$17,3,FALSE)*VLOOKUP($G$17,'EF Marine Vessels spec. TOTE'!$B$98:$L$106,10,FALSE)</f>
        <v>2.9139999999999999E-2</v>
      </c>
      <c r="L65" s="575">
        <f>VLOOKUP($G$11,'EF Marine Vessels spec. TOTE'!$P$8:$S$17,4,FALSE)*VLOOKUP($G$17,'EF Marine Vessels spec. TOTE'!$B$98:$L$106,11,FALSE)</f>
        <v>0.01</v>
      </c>
    </row>
    <row r="66" spans="2:12">
      <c r="B66" s="568" t="s">
        <v>1335</v>
      </c>
      <c r="C66" s="575">
        <f>VLOOKUP($G$11,'EF Marine Vessels spec. TOTE'!$D$8:$K$17,2,FALSE)*VLOOKUP($G$18,'EF Marine Vessels spec. TOTE'!$B$98:$L$106,2,FALSE)*VLOOKUP(IF($D$18/$D$11&lt;0.02,0.02,$D$18/$D$11),'EF Marine Vessels spec. TOTE'!$B$28:$F$46,2,TRUE)</f>
        <v>53.096839999999993</v>
      </c>
      <c r="D66" s="575">
        <f>VLOOKUP($G$11,'EF Marine Vessels spec. TOTE'!$D$8:$K$17,3,FALSE)*VLOOKUP($G$18,'EF Marine Vessels spec. TOTE'!$B$98:$L$106,3,FALSE)*VLOOKUP(IF($D$18/$D$11&lt;0.02,0.02,$D$18/$D$11),'EF Marine Vessels spec. TOTE'!$B$28:$F$46,3,TRUE)</f>
        <v>10.59</v>
      </c>
      <c r="E66" s="575">
        <f>VLOOKUP($G$11,'EF Marine Vessels spec. TOTE'!$D$8:$K$17,4,FALSE)*VLOOKUP($G$18,'EF Marine Vessels spec. TOTE'!$B$98:$L$106,4,FALSE)*VLOOKUP(IF($D$18/$D$11&lt;0.02,0.02,$D$18/$D$11),'EF Marine Vessels spec. TOTE'!$B$28:$F$46,4,TRUE)</f>
        <v>10.648</v>
      </c>
      <c r="F66" s="575">
        <f>VLOOKUP($G$11,'EF Marine Vessels spec. TOTE'!$D$8:$K$17,5,FALSE)*VLOOKUP($G$18,'EF Marine Vessels spec. TOTE'!$B$98:$L$106,5,FALSE)</f>
        <v>1.5539999999999998E-2</v>
      </c>
      <c r="G66" s="575">
        <f>VLOOKUP($G$11,'EF Marine Vessels spec. TOTE'!$D$8:$K$17,6,FALSE)*VLOOKUP($G$18,'EF Marine Vessels spec. TOTE'!$B$98:$L$106,6,FALSE)*VLOOKUP(IF($D$18/$D$11&lt;0.02,0.02,$D$18/$D$11),'EF Marine Vessels spec. TOTE'!$B$28:$F$46,5,TRUE)</f>
        <v>0.29743200000000003</v>
      </c>
      <c r="H66" s="575">
        <f>VLOOKUP($G$11,'EF Marine Vessels spec. TOTE'!$D$8:$K$17,7,FALSE)*VLOOKUP($G$18,'EF Marine Vessels spec. TOTE'!$B$98:$L$106,7,FALSE)*VLOOKUP(IF($D$18/$D$11&lt;0.02,0.02,$D$18/$D$11),'EF Marine Vessels spec. TOTE'!$B$28:$F$46,5,TRUE)</f>
        <v>0.28503900000000004</v>
      </c>
      <c r="I66" s="575">
        <f>VLOOKUP($G$11,'EF Marine Vessels spec. TOTE'!$D$8:$K$17,8,FALSE)*VLOOKUP($G$18,'EF Marine Vessels spec. TOTE'!$B$98:$L$106,8,FALSE)*VLOOKUP(IF($D$18/$D$11&lt;0.02,0.02,$D$18/$D$11),'EF Marine Vessels spec. TOTE'!$B$28:$F$46,5,TRUE)</f>
        <v>0.29743200000000003</v>
      </c>
      <c r="J66" s="576">
        <f>VLOOKUP($G$11,'EF Marine Vessels spec. TOTE'!$P$8:$S$17,2,FALSE)*VLOOKUP($G$17,'EF Marine Vessels spec. TOTE'!$B$98:$L$106,9,FALSE)</f>
        <v>648</v>
      </c>
      <c r="K66" s="575">
        <f>VLOOKUP($G$11,'EF Marine Vessels spec. TOTE'!$P$8:$S$17,3,FALSE)*VLOOKUP($G$17,'EF Marine Vessels spec. TOTE'!$B$98:$L$106,10,FALSE)</f>
        <v>2.9139999999999999E-2</v>
      </c>
      <c r="L66" s="575">
        <f>VLOOKUP($G$11,'EF Marine Vessels spec. TOTE'!$P$8:$S$17,4,FALSE)*VLOOKUP($G$17,'EF Marine Vessels spec. TOTE'!$B$98:$L$106,11,FALSE)</f>
        <v>0.01</v>
      </c>
    </row>
    <row r="67" spans="2:12">
      <c r="B67" s="568" t="s">
        <v>961</v>
      </c>
      <c r="C67" s="575">
        <f>VLOOKUP($G$11,'EF Marine Vessels spec. TOTE'!$D$8:$K$17,2,FALSE)*VLOOKUP($G$19,'EF Marine Vessels spec. TOTE'!$B$98:$L$106,2,FALSE)*VLOOKUP(IF($D$19/$D$11&lt;0.02,0.02,$D$19/$D$11),'EF Marine Vessels spec. TOTE'!$B$28:$F$46,2,TRUE)</f>
        <v>53.096839999999993</v>
      </c>
      <c r="D67" s="575">
        <f>VLOOKUP($G$11,'EF Marine Vessels spec. TOTE'!$D$8:$K$17,3,FALSE)*VLOOKUP($G$19,'EF Marine Vessels spec. TOTE'!$B$98:$L$106,3,FALSE)*VLOOKUP(IF($D$19/$D$11&lt;0.02,0.02,$D$19/$D$11),'EF Marine Vessels spec. TOTE'!$B$28:$F$46,3,TRUE)</f>
        <v>10.59</v>
      </c>
      <c r="E67" s="575">
        <f>VLOOKUP($G$11,'EF Marine Vessels spec. TOTE'!$D$8:$K$17,4,FALSE)*VLOOKUP($G$19,'EF Marine Vessels spec. TOTE'!$B$98:$L$106,4,FALSE)*VLOOKUP(IF($D$19/$D$11&lt;0.02,0.02,$D$19/$D$11),'EF Marine Vessels spec. TOTE'!$B$28:$F$46,4,TRUE)</f>
        <v>10.648</v>
      </c>
      <c r="F67" s="575">
        <f>VLOOKUP($G$11,'EF Marine Vessels spec. TOTE'!$D$8:$K$17,5,FALSE)*VLOOKUP($G$19,'EF Marine Vessels spec. TOTE'!$B$98:$L$106,5,FALSE)</f>
        <v>1.5539999999999998E-2</v>
      </c>
      <c r="G67" s="575">
        <f>VLOOKUP($G$11,'EF Marine Vessels spec. TOTE'!$D$8:$K$17,6,FALSE)*VLOOKUP($G$19,'EF Marine Vessels spec. TOTE'!$B$98:$L$106,6,FALSE)*VLOOKUP(IF($D$19/$D$11&lt;0.02,0.02,$D$19/$D$11),'EF Marine Vessels spec. TOTE'!$B$28:$F$46,5,TRUE)</f>
        <v>0.29743200000000003</v>
      </c>
      <c r="H67" s="575">
        <f>VLOOKUP($G$11,'EF Marine Vessels spec. TOTE'!$D$8:$K$17,7,FALSE)*VLOOKUP($G$19,'EF Marine Vessels spec. TOTE'!$B$98:$L$106,7,FALSE)*VLOOKUP(IF($D$19/$D$11&lt;0.02,0.02,$D$19/$D$11),'EF Marine Vessels spec. TOTE'!$B$28:$F$46,5,TRUE)</f>
        <v>0.28503900000000004</v>
      </c>
      <c r="I67" s="575">
        <f>VLOOKUP($G$11,'EF Marine Vessels spec. TOTE'!$D$8:$K$17,8,FALSE)*VLOOKUP($G$19,'EF Marine Vessels spec. TOTE'!$B$98:$L$106,8,FALSE)*VLOOKUP(IF($D$19/$D$11&lt;0.02,0.02,$D$19/$D$11),'EF Marine Vessels spec. TOTE'!$B$28:$F$46,5,TRUE)</f>
        <v>0.29743200000000003</v>
      </c>
      <c r="J67" s="576">
        <f>VLOOKUP($G$11,'EF Marine Vessels spec. TOTE'!$P$8:$S$17,2,FALSE)*VLOOKUP($G$17,'EF Marine Vessels spec. TOTE'!$B$98:$L$106,9,FALSE)</f>
        <v>648</v>
      </c>
      <c r="K67" s="575">
        <f>VLOOKUP($G$11,'EF Marine Vessels spec. TOTE'!$P$8:$S$17,3,FALSE)*VLOOKUP($G$17,'EF Marine Vessels spec. TOTE'!$B$98:$L$106,10,FALSE)</f>
        <v>2.9139999999999999E-2</v>
      </c>
      <c r="L67" s="575">
        <f>VLOOKUP($G$11,'EF Marine Vessels spec. TOTE'!$P$8:$S$17,4,FALSE)*VLOOKUP($G$17,'EF Marine Vessels spec. TOTE'!$B$98:$L$106,11,FALSE)</f>
        <v>0.01</v>
      </c>
    </row>
    <row r="68" spans="2:12" ht="18">
      <c r="B68" s="1082" t="s">
        <v>947</v>
      </c>
      <c r="C68" s="1083" t="s">
        <v>1166</v>
      </c>
      <c r="D68" s="1083" t="s">
        <v>116</v>
      </c>
      <c r="E68" s="1083" t="s">
        <v>862</v>
      </c>
      <c r="F68" s="1083" t="s">
        <v>1167</v>
      </c>
      <c r="G68" s="1083" t="s">
        <v>864</v>
      </c>
      <c r="H68" s="1083" t="s">
        <v>865</v>
      </c>
      <c r="I68" s="1083" t="s">
        <v>866</v>
      </c>
      <c r="J68" s="1083" t="s">
        <v>1161</v>
      </c>
      <c r="K68" s="1083" t="s">
        <v>1162</v>
      </c>
      <c r="L68" s="1083" t="s">
        <v>1163</v>
      </c>
    </row>
    <row r="69" spans="2:12">
      <c r="B69" s="568" t="s">
        <v>960</v>
      </c>
      <c r="C69" s="575">
        <f>VLOOKUP($H$11,'EF Marine Vessels spec. TOTE'!$D$51:$K$55,2,FALSE)*VLOOKUP($G17,'EF Marine Vessels spec. TOTE'!$B$98:$L$106,2,FALSE)</f>
        <v>11.467999999999998</v>
      </c>
      <c r="D69" s="575">
        <f>VLOOKUP($H$11,'EF Marine Vessels spec. TOTE'!$D$51:$K$55,3,FALSE)*VLOOKUP($G17,'EF Marine Vessels spec. TOTE'!$B$98:$L$106,3,FALSE)</f>
        <v>0.4</v>
      </c>
      <c r="E69" s="575">
        <f>VLOOKUP($H$11,'EF Marine Vessels spec. TOTE'!$D$51:$K$55,4,FALSE)*VLOOKUP($G17,'EF Marine Vessels spec. TOTE'!$B$98:$L$106,4,FALSE)</f>
        <v>1.1000000000000001</v>
      </c>
      <c r="F69" s="575">
        <f>VLOOKUP($H$11,'EF Marine Vessels spec. TOTE'!$D$51:$K$55,5,FALSE)*VLOOKUP($G17,'EF Marine Vessels spec. TOTE'!$B$98:$L$106,5,FALSE)</f>
        <v>1.6279999999999999E-2</v>
      </c>
      <c r="G69" s="575">
        <f>VLOOKUP($H$11,'EF Marine Vessels spec. TOTE'!$D$51:$K$55,6,FALSE)*VLOOKUP($G17,'EF Marine Vessels spec. TOTE'!$B$98:$L$106,6,FALSE)</f>
        <v>4.0800000000000003E-2</v>
      </c>
      <c r="H69" s="575">
        <f>VLOOKUP($H$11,'EF Marine Vessels spec. TOTE'!$D$51:$K$55,7,FALSE)*VLOOKUP($G17,'EF Marine Vessels spec. TOTE'!$B$98:$L$106,7,FALSE)</f>
        <v>3.9100000000000003E-2</v>
      </c>
      <c r="I69" s="575">
        <f>VLOOKUP($H$11,'EF Marine Vessels spec. TOTE'!$D$51:$K$55,8,FALSE)*VLOOKUP($G17,'EF Marine Vessels spec. TOTE'!$B$98:$L$106,8,FALSE)</f>
        <v>4.0800000000000003E-2</v>
      </c>
      <c r="J69" s="576">
        <f>VLOOKUP($H$11,'EF Marine Vessels spec. TOTE'!$P$51:$S$55,2,FALSE)*VLOOKUP($G17,'EF Marine Vessels spec. TOTE'!$B$98:$L$106,9,FALSE)</f>
        <v>683</v>
      </c>
      <c r="K69" s="575">
        <f>VLOOKUP($H$11,'EF Marine Vessels spec. TOTE'!$P$51:$S$55,3,FALSE)*VLOOKUP($G17,'EF Marine Vessels spec. TOTE'!$B$98:$L$106,10,FALSE)</f>
        <v>2.726E-2</v>
      </c>
      <c r="L69" s="575">
        <f>VLOOKUP($H$11,'EF Marine Vessels spec. TOTE'!$P$51:$S$55,4,FALSE)*VLOOKUP($G17,'EF Marine Vessels spec. TOTE'!$B$98:$L$106,11,FALSE)</f>
        <v>8.0000000000000002E-3</v>
      </c>
    </row>
    <row r="70" spans="2:12">
      <c r="B70" s="568" t="s">
        <v>1335</v>
      </c>
      <c r="C70" s="575">
        <f>VLOOKUP($H$11,'EF Marine Vessels spec. TOTE'!$D$51:$K$55,2,FALSE)*VLOOKUP($G18,'EF Marine Vessels spec. TOTE'!$B$98:$L$106,2,FALSE)</f>
        <v>11.467999999999998</v>
      </c>
      <c r="D70" s="575">
        <f>VLOOKUP($H$11,'EF Marine Vessels spec. TOTE'!$D$51:$K$55,3,FALSE)*VLOOKUP($G18,'EF Marine Vessels spec. TOTE'!$B$98:$L$106,3,FALSE)</f>
        <v>0.4</v>
      </c>
      <c r="E70" s="575">
        <f>VLOOKUP($H$11,'EF Marine Vessels spec. TOTE'!$D$51:$K$55,4,FALSE)*VLOOKUP($G18,'EF Marine Vessels spec. TOTE'!$B$98:$L$106,4,FALSE)</f>
        <v>1.1000000000000001</v>
      </c>
      <c r="F70" s="575">
        <f>VLOOKUP($H$11,'EF Marine Vessels spec. TOTE'!$D$51:$K$55,5,FALSE)*VLOOKUP($G18,'EF Marine Vessels spec. TOTE'!$B$98:$L$106,5,FALSE)</f>
        <v>1.6279999999999999E-2</v>
      </c>
      <c r="G70" s="575">
        <f>VLOOKUP($H$11,'EF Marine Vessels spec. TOTE'!$D$51:$K$55,6,FALSE)*VLOOKUP($G18,'EF Marine Vessels spec. TOTE'!$B$98:$L$106,6,FALSE)</f>
        <v>4.0800000000000003E-2</v>
      </c>
      <c r="H70" s="575">
        <f>VLOOKUP($H$11,'EF Marine Vessels spec. TOTE'!$D$51:$K$55,7,FALSE)*VLOOKUP($G18,'EF Marine Vessels spec. TOTE'!$B$98:$L$106,7,FALSE)</f>
        <v>3.9100000000000003E-2</v>
      </c>
      <c r="I70" s="575">
        <f>VLOOKUP($H$11,'EF Marine Vessels spec. TOTE'!$D$51:$K$55,8,FALSE)*VLOOKUP($G18,'EF Marine Vessels spec. TOTE'!$B$98:$L$106,8,FALSE)</f>
        <v>4.0800000000000003E-2</v>
      </c>
      <c r="J70" s="576">
        <f>VLOOKUP($H$11,'EF Marine Vessels spec. TOTE'!$P$51:$S$55,2,FALSE)*VLOOKUP($G18,'EF Marine Vessels spec. TOTE'!$B$98:$L$106,9,FALSE)</f>
        <v>683</v>
      </c>
      <c r="K70" s="575">
        <f>VLOOKUP($H$11,'EF Marine Vessels spec. TOTE'!$P$51:$S$55,3,FALSE)*VLOOKUP($G18,'EF Marine Vessels spec. TOTE'!$B$98:$L$106,10,FALSE)</f>
        <v>2.726E-2</v>
      </c>
      <c r="L70" s="575">
        <f>VLOOKUP($H$11,'EF Marine Vessels spec. TOTE'!$P$51:$S$55,4,FALSE)*VLOOKUP($G18,'EF Marine Vessels spec. TOTE'!$B$98:$L$106,11,FALSE)</f>
        <v>8.0000000000000002E-3</v>
      </c>
    </row>
    <row r="71" spans="2:12">
      <c r="B71" s="568" t="s">
        <v>961</v>
      </c>
      <c r="C71" s="575">
        <f>VLOOKUP($H$11,'EF Marine Vessels spec. TOTE'!$D$51:$K$55,2,FALSE)*VLOOKUP($G19,'EF Marine Vessels spec. TOTE'!$B$98:$L$106,2,FALSE)</f>
        <v>11.467999999999998</v>
      </c>
      <c r="D71" s="575">
        <f>VLOOKUP($H$11,'EF Marine Vessels spec. TOTE'!$D$51:$K$55,3,FALSE)*VLOOKUP($G19,'EF Marine Vessels spec. TOTE'!$B$98:$L$106,3,FALSE)</f>
        <v>0.4</v>
      </c>
      <c r="E71" s="575">
        <f>VLOOKUP($H$11,'EF Marine Vessels spec. TOTE'!$D$51:$K$55,4,FALSE)*VLOOKUP($G19,'EF Marine Vessels spec. TOTE'!$B$98:$L$106,4,FALSE)</f>
        <v>1.1000000000000001</v>
      </c>
      <c r="F71" s="575">
        <f>VLOOKUP($H$11,'EF Marine Vessels spec. TOTE'!$D$51:$K$55,5,FALSE)*VLOOKUP($G19,'EF Marine Vessels spec. TOTE'!$B$98:$L$106,5,FALSE)</f>
        <v>1.6279999999999999E-2</v>
      </c>
      <c r="G71" s="575">
        <f>VLOOKUP($H$11,'EF Marine Vessels spec. TOTE'!$D$51:$K$55,6,FALSE)*VLOOKUP($G19,'EF Marine Vessels spec. TOTE'!$B$98:$L$106,6,FALSE)</f>
        <v>4.0800000000000003E-2</v>
      </c>
      <c r="H71" s="575">
        <f>VLOOKUP($H$11,'EF Marine Vessels spec. TOTE'!$D$51:$K$55,7,FALSE)*VLOOKUP($G19,'EF Marine Vessels spec. TOTE'!$B$98:$L$106,7,FALSE)</f>
        <v>3.9100000000000003E-2</v>
      </c>
      <c r="I71" s="575">
        <f>VLOOKUP($H$11,'EF Marine Vessels spec. TOTE'!$D$51:$K$55,8,FALSE)*VLOOKUP($G19,'EF Marine Vessels spec. TOTE'!$B$98:$L$106,8,FALSE)</f>
        <v>4.0800000000000003E-2</v>
      </c>
      <c r="J71" s="576">
        <f>VLOOKUP($H$11,'EF Marine Vessels spec. TOTE'!$P$51:$S$55,2,FALSE)*VLOOKUP($G19,'EF Marine Vessels spec. TOTE'!$B$98:$L$106,9,FALSE)</f>
        <v>683</v>
      </c>
      <c r="K71" s="575">
        <f>VLOOKUP($H$11,'EF Marine Vessels spec. TOTE'!$P$51:$S$55,3,FALSE)*VLOOKUP($G19,'EF Marine Vessels spec. TOTE'!$B$98:$L$106,10,FALSE)</f>
        <v>2.726E-2</v>
      </c>
      <c r="L71" s="575">
        <f>VLOOKUP($H$11,'EF Marine Vessels spec. TOTE'!$P$51:$S$55,4,FALSE)*VLOOKUP($G19,'EF Marine Vessels spec. TOTE'!$B$98:$L$106,11,FALSE)</f>
        <v>8.0000000000000002E-3</v>
      </c>
    </row>
    <row r="72" spans="2:12" ht="18">
      <c r="B72" s="1082" t="s">
        <v>985</v>
      </c>
      <c r="C72" s="1083" t="s">
        <v>1166</v>
      </c>
      <c r="D72" s="1083" t="s">
        <v>116</v>
      </c>
      <c r="E72" s="1083" t="s">
        <v>862</v>
      </c>
      <c r="F72" s="1083" t="s">
        <v>1167</v>
      </c>
      <c r="G72" s="1083" t="s">
        <v>864</v>
      </c>
      <c r="H72" s="1083" t="s">
        <v>865</v>
      </c>
      <c r="I72" s="1083" t="s">
        <v>866</v>
      </c>
      <c r="J72" s="1083" t="s">
        <v>1161</v>
      </c>
      <c r="K72" s="1083" t="s">
        <v>1162</v>
      </c>
      <c r="L72" s="1083" t="s">
        <v>1163</v>
      </c>
    </row>
    <row r="73" spans="2:12">
      <c r="B73" s="568" t="s">
        <v>960</v>
      </c>
      <c r="C73" s="575">
        <f>VLOOKUP($I$11,'EF Marine Vessels spec. TOTE'!$D$60:$K$61,2,FALSE)*VLOOKUP($G17,'EF Marine Vessels spec. TOTE'!$B$98:$L$106,2,FALSE)</f>
        <v>1.88</v>
      </c>
      <c r="D73" s="575">
        <f>VLOOKUP($I$11,'EF Marine Vessels spec. TOTE'!$D$60:$K$61,3,FALSE)*VLOOKUP($G17,'EF Marine Vessels spec. TOTE'!$B$98:$L$106,3,FALSE)</f>
        <v>0.1</v>
      </c>
      <c r="E73" s="575">
        <f>VLOOKUP($I$11,'EF Marine Vessels spec. TOTE'!$D$60:$K$61,4,FALSE)*VLOOKUP($G17,'EF Marine Vessels spec. TOTE'!$B$98:$L$106,4,FALSE)</f>
        <v>0.2</v>
      </c>
      <c r="F73" s="575">
        <f>VLOOKUP($I$11,'EF Marine Vessels spec. TOTE'!$D$60:$K$61,5,FALSE)*VLOOKUP($G17,'EF Marine Vessels spec. TOTE'!$B$98:$L$106,5,FALSE)</f>
        <v>0.22199999999999998</v>
      </c>
      <c r="G73" s="575">
        <f>VLOOKUP($I$11,'EF Marine Vessels spec. TOTE'!$D$60:$K$61,6,FALSE)*VLOOKUP($G17,'EF Marine Vessels spec. TOTE'!$B$98:$L$106,6,FALSE)</f>
        <v>2.7200000000000002E-2</v>
      </c>
      <c r="H73" s="575">
        <f>VLOOKUP($I$11,'EF Marine Vessels spec. TOTE'!$D$60:$K$61,7,FALSE)*VLOOKUP($G17,'EF Marine Vessels spec. TOTE'!$B$98:$L$106,7,FALSE)</f>
        <v>2.5500000000000002E-2</v>
      </c>
      <c r="I73" s="575">
        <f>VLOOKUP($I$11,'EF Marine Vessels spec. TOTE'!$D$60:$K$61,8,FALSE)*VLOOKUP($G17,'EF Marine Vessels spec. TOTE'!$B$98:$L$106,8,FALSE)</f>
        <v>0</v>
      </c>
      <c r="J73" s="576">
        <f>VLOOKUP($I$11,'EF Marine Vessels spec. TOTE'!$P$60:$S$61,2,FALSE)*VLOOKUP($G17,'EF Marine Vessels spec. TOTE'!$B$98:$L$106,9,FALSE)</f>
        <v>856.83052208835352</v>
      </c>
      <c r="K73" s="575">
        <f>VLOOKUP($I$11,'EF Marine Vessels spec. TOTE'!$P$60:$S$61,3,FALSE)*VLOOKUP($G17,'EF Marine Vessels spec. TOTE'!$B$98:$L$106,10,FALSE)</f>
        <v>7.0499999999999993E-2</v>
      </c>
      <c r="L73" s="575">
        <f>VLOOKUP($I$11,'EF Marine Vessels spec. TOTE'!$P$60:$S$61,4,FALSE)*VLOOKUP($G17,'EF Marine Vessels spec. TOTE'!$B$98:$L$106,11,FALSE)</f>
        <v>2E-3</v>
      </c>
    </row>
    <row r="74" spans="2:12">
      <c r="B74" s="568" t="s">
        <v>1335</v>
      </c>
      <c r="C74" s="575">
        <f>VLOOKUP($I$11,'EF Marine Vessels spec. TOTE'!$D$60:$K$61,2,FALSE)*VLOOKUP($G18,'EF Marine Vessels spec. TOTE'!$B$98:$L$106,2,FALSE)</f>
        <v>1.88</v>
      </c>
      <c r="D74" s="575">
        <f>VLOOKUP($I$11,'EF Marine Vessels spec. TOTE'!$D$60:$K$61,3,FALSE)*VLOOKUP($G18,'EF Marine Vessels spec. TOTE'!$B$98:$L$106,3,FALSE)</f>
        <v>0.1</v>
      </c>
      <c r="E74" s="575">
        <f>VLOOKUP($I$11,'EF Marine Vessels spec. TOTE'!$D$60:$K$61,4,FALSE)*VLOOKUP($G18,'EF Marine Vessels spec. TOTE'!$B$98:$L$106,4,FALSE)</f>
        <v>0.2</v>
      </c>
      <c r="F74" s="575">
        <f>VLOOKUP($I$11,'EF Marine Vessels spec. TOTE'!$D$60:$K$61,5,FALSE)*VLOOKUP($G18,'EF Marine Vessels spec. TOTE'!$B$98:$L$106,5,FALSE)</f>
        <v>0.22199999999999998</v>
      </c>
      <c r="G74" s="575">
        <f>VLOOKUP($I$11,'EF Marine Vessels spec. TOTE'!$D$60:$K$61,6,FALSE)*VLOOKUP($G18,'EF Marine Vessels spec. TOTE'!$B$98:$L$106,6,FALSE)</f>
        <v>2.7200000000000002E-2</v>
      </c>
      <c r="H74" s="575">
        <f>VLOOKUP($I$11,'EF Marine Vessels spec. TOTE'!$D$60:$K$61,7,FALSE)*VLOOKUP($G18,'EF Marine Vessels spec. TOTE'!$B$98:$L$106,7,FALSE)</f>
        <v>2.5500000000000002E-2</v>
      </c>
      <c r="I74" s="575">
        <f>VLOOKUP($I$11,'EF Marine Vessels spec. TOTE'!$D$60:$K$61,8,FALSE)*VLOOKUP($G18,'EF Marine Vessels spec. TOTE'!$B$98:$L$106,8,FALSE)</f>
        <v>0</v>
      </c>
      <c r="J74" s="576">
        <f>VLOOKUP($I$11,'EF Marine Vessels spec. TOTE'!$P$60:$S$61,2,FALSE)*VLOOKUP($G18,'EF Marine Vessels spec. TOTE'!$B$98:$L$106,9,FALSE)</f>
        <v>856.83052208835352</v>
      </c>
      <c r="K74" s="575">
        <f>VLOOKUP($I$11,'EF Marine Vessels spec. TOTE'!$P$60:$S$61,3,FALSE)*VLOOKUP($G18,'EF Marine Vessels spec. TOTE'!$B$98:$L$106,10,FALSE)</f>
        <v>7.0499999999999993E-2</v>
      </c>
      <c r="L74" s="575">
        <f>VLOOKUP($I$11,'EF Marine Vessels spec. TOTE'!$P$60:$S$61,4,FALSE)*VLOOKUP($G18,'EF Marine Vessels spec. TOTE'!$B$98:$L$106,11,FALSE)</f>
        <v>2E-3</v>
      </c>
    </row>
    <row r="75" spans="2:12">
      <c r="B75" s="1067" t="s">
        <v>961</v>
      </c>
      <c r="C75" s="1084">
        <f>VLOOKUP($I$11,'EF Marine Vessels spec. TOTE'!$D$60:$K$61,2,FALSE)*VLOOKUP($G19,'EF Marine Vessels spec. TOTE'!$B$98:$L$106,2,FALSE)</f>
        <v>1.88</v>
      </c>
      <c r="D75" s="1084">
        <f>VLOOKUP($I$11,'EF Marine Vessels spec. TOTE'!$D$60:$K$61,3,FALSE)*VLOOKUP($G19,'EF Marine Vessels spec. TOTE'!$B$98:$L$106,3,FALSE)</f>
        <v>0.1</v>
      </c>
      <c r="E75" s="1084">
        <f>VLOOKUP($I$11,'EF Marine Vessels spec. TOTE'!$D$60:$K$61,4,FALSE)*VLOOKUP($G19,'EF Marine Vessels spec. TOTE'!$B$98:$L$106,4,FALSE)</f>
        <v>0.2</v>
      </c>
      <c r="F75" s="1084">
        <f>VLOOKUP($I$11,'EF Marine Vessels spec. TOTE'!$D$60:$K$61,5,FALSE)*VLOOKUP($G19,'EF Marine Vessels spec. TOTE'!$B$98:$L$106,5,FALSE)</f>
        <v>0.22199999999999998</v>
      </c>
      <c r="G75" s="1084">
        <f>VLOOKUP($I$11,'EF Marine Vessels spec. TOTE'!$D$60:$K$61,6,FALSE)*VLOOKUP($G19,'EF Marine Vessels spec. TOTE'!$B$98:$L$106,6,FALSE)</f>
        <v>2.7200000000000002E-2</v>
      </c>
      <c r="H75" s="1084">
        <f>VLOOKUP($I$11,'EF Marine Vessels spec. TOTE'!$D$60:$K$61,7,FALSE)*VLOOKUP($G19,'EF Marine Vessels spec. TOTE'!$B$98:$L$106,7,FALSE)</f>
        <v>2.5500000000000002E-2</v>
      </c>
      <c r="I75" s="1084">
        <f>VLOOKUP($I$11,'EF Marine Vessels spec. TOTE'!$D$60:$K$61,8,FALSE)*VLOOKUP($G19,'EF Marine Vessels spec. TOTE'!$B$98:$L$106,8,FALSE)</f>
        <v>0</v>
      </c>
      <c r="J75" s="1085">
        <f>VLOOKUP($I$11,'EF Marine Vessels spec. TOTE'!$P$60:$S$61,2,FALSE)*VLOOKUP($G19,'EF Marine Vessels spec. TOTE'!$B$98:$L$106,9,FALSE)</f>
        <v>856.83052208835352</v>
      </c>
      <c r="K75" s="1084">
        <f>VLOOKUP($I$11,'EF Marine Vessels spec. TOTE'!$P$60:$S$61,3,FALSE)*VLOOKUP($G19,'EF Marine Vessels spec. TOTE'!$B$98:$L$106,10,FALSE)</f>
        <v>7.0499999999999993E-2</v>
      </c>
      <c r="L75" s="1084">
        <f>VLOOKUP($I$11,'EF Marine Vessels spec. TOTE'!$P$60:$S$61,4,FALSE)*VLOOKUP($G19,'EF Marine Vessels spec. TOTE'!$B$98:$L$106,11,FALSE)</f>
        <v>2E-3</v>
      </c>
    </row>
    <row r="78" spans="2:12" ht="15.75">
      <c r="B78" s="1080" t="s">
        <v>988</v>
      </c>
      <c r="C78" s="1950" t="s">
        <v>986</v>
      </c>
      <c r="D78" s="1950"/>
      <c r="E78" s="1950"/>
      <c r="F78" s="1950"/>
      <c r="G78" s="1950"/>
      <c r="H78" s="1950"/>
      <c r="I78" s="1950"/>
      <c r="J78" s="1950"/>
      <c r="K78" s="1950"/>
      <c r="L78" s="1950"/>
    </row>
    <row r="79" spans="2:12" ht="18.75" thickBot="1">
      <c r="B79" s="1081" t="s">
        <v>946</v>
      </c>
      <c r="C79" s="1074" t="s">
        <v>1166</v>
      </c>
      <c r="D79" s="1074" t="s">
        <v>116</v>
      </c>
      <c r="E79" s="1074" t="s">
        <v>862</v>
      </c>
      <c r="F79" s="1074" t="s">
        <v>1167</v>
      </c>
      <c r="G79" s="1074" t="s">
        <v>864</v>
      </c>
      <c r="H79" s="1074" t="s">
        <v>865</v>
      </c>
      <c r="I79" s="1074" t="s">
        <v>866</v>
      </c>
      <c r="J79" s="1074" t="s">
        <v>1161</v>
      </c>
      <c r="K79" s="1074" t="s">
        <v>1162</v>
      </c>
      <c r="L79" s="1074" t="s">
        <v>1163</v>
      </c>
    </row>
    <row r="80" spans="2:12" ht="15.75" thickTop="1">
      <c r="B80" s="568" t="s">
        <v>960</v>
      </c>
      <c r="C80" s="575">
        <f>VLOOKUP($G$11,'EF Marine Vessels spec. TOTE'!$D$8:$K$17,2,FALSE)*VLOOKUP($H$17,'EF Marine Vessels spec. TOTE'!$B$98:$L$106,2,FALSE)</f>
        <v>11.467999999999998</v>
      </c>
      <c r="D80" s="575">
        <f>VLOOKUP($G$11,'EF Marine Vessels spec. TOTE'!$D$8:$K$17,3,FALSE)*VLOOKUP($H$17,'EF Marine Vessels spec. TOTE'!$B$98:$L$106,3,FALSE)</f>
        <v>0.5</v>
      </c>
      <c r="E80" s="575">
        <f>VLOOKUP($G$11,'EF Marine Vessels spec. TOTE'!$D$8:$K$17,4,FALSE)*VLOOKUP($H$17,'EF Marine Vessels spec. TOTE'!$B$98:$L$106,4,FALSE)</f>
        <v>1.1000000000000001</v>
      </c>
      <c r="F80" s="575">
        <f>VLOOKUP($G$11,'EF Marine Vessels spec. TOTE'!$D$8:$K$17,5,FALSE)*VLOOKUP($H$17,'EF Marine Vessels spec. TOTE'!$B$98:$L$106,5,FALSE)</f>
        <v>1.5539999999999998E-2</v>
      </c>
      <c r="G80" s="575">
        <f>VLOOKUP($G$11,'EF Marine Vessels spec. TOTE'!$D$8:$K$17,6,FALSE)*VLOOKUP($H$17,'EF Marine Vessels spec. TOTE'!$B$98:$L$106,6,FALSE)</f>
        <v>4.0800000000000003E-2</v>
      </c>
      <c r="H80" s="575">
        <f>VLOOKUP($G$11,'EF Marine Vessels spec. TOTE'!$D$8:$K$17,7,FALSE)*VLOOKUP($H$17,'EF Marine Vessels spec. TOTE'!$B$98:$L$106,7,FALSE)</f>
        <v>3.9100000000000003E-2</v>
      </c>
      <c r="I80" s="575">
        <f>VLOOKUP($G$11,'EF Marine Vessels spec. TOTE'!$D$8:$K$17,8,FALSE)*VLOOKUP($H$17,'EF Marine Vessels spec. TOTE'!$B$98:$L$106,8,FALSE)</f>
        <v>4.0800000000000003E-2</v>
      </c>
      <c r="J80" s="576">
        <f>VLOOKUP($G$11,'EF Marine Vessels spec. TOTE'!$P$8:$S$17,2,FALSE)*VLOOKUP($G$17,'EF Marine Vessels spec. TOTE'!$B$98:$L$106,9,FALSE)</f>
        <v>648</v>
      </c>
      <c r="K80" s="575">
        <f>VLOOKUP($G$11,'EF Marine Vessels spec. TOTE'!$P$8:$S$17,3,FALSE)*VLOOKUP($G$17,'EF Marine Vessels spec. TOTE'!$B$98:$L$106,10,FALSE)</f>
        <v>2.9139999999999999E-2</v>
      </c>
      <c r="L80" s="1522">
        <f>VLOOKUP($G$11,'EF Marine Vessels spec. TOTE'!$P$8:$S$17,4,FALSE)*VLOOKUP($G$17,'EF Marine Vessels spec. TOTE'!$B$98:$L$106,11,FALSE)</f>
        <v>0.01</v>
      </c>
    </row>
    <row r="81" spans="2:12">
      <c r="B81" s="568" t="s">
        <v>1335</v>
      </c>
      <c r="C81" s="575">
        <f>VLOOKUP($G$11,'EF Marine Vessels spec. TOTE'!$D$8:$K$17,2,FALSE)*VLOOKUP($H$18,'EF Marine Vessels spec. TOTE'!$B$98:$L$106,2,FALSE)*VLOOKUP(IF($D$18/$D$11&lt;0.02,0.02,$D$18/$D$11),'EF Marine Vessels spec. TOTE'!$B$28:$F$46,2,TRUE)</f>
        <v>53.096839999999993</v>
      </c>
      <c r="D81" s="575">
        <f>VLOOKUP($G$11,'EF Marine Vessels spec. TOTE'!$D$8:$K$17,3,FALSE)*VLOOKUP($H$18,'EF Marine Vessels spec. TOTE'!$B$98:$L$106,3,FALSE)*VLOOKUP(IF($D$18/$D$11&lt;0.02,0.02,$D$18/$D$11),'EF Marine Vessels spec. TOTE'!$B$28:$F$46,3,TRUE)</f>
        <v>10.59</v>
      </c>
      <c r="E81" s="575">
        <f>VLOOKUP($G$11,'EF Marine Vessels spec. TOTE'!$D$8:$K$17,4,FALSE)*VLOOKUP($H$18,'EF Marine Vessels spec. TOTE'!$B$98:$L$106,4,FALSE)*VLOOKUP(IF($D$18/$D$11&lt;0.02,0.02,$D$18/$D$11),'EF Marine Vessels spec. TOTE'!$B$28:$F$46,4,TRUE)</f>
        <v>10.648</v>
      </c>
      <c r="F81" s="575">
        <f>VLOOKUP($G$11,'EF Marine Vessels spec. TOTE'!$D$8:$K$17,5,FALSE)*VLOOKUP($H$18,'EF Marine Vessels spec. TOTE'!$B$98:$L$106,5,FALSE)</f>
        <v>1.5539999999999998E-2</v>
      </c>
      <c r="G81" s="575">
        <f>VLOOKUP($G$11,'EF Marine Vessels spec. TOTE'!$D$8:$K$17,6,FALSE)*VLOOKUP($H$18,'EF Marine Vessels spec. TOTE'!$B$98:$L$106,6,FALSE)*VLOOKUP(IF($D$18/$D$11&lt;0.02,0.02,$D$18/$D$11),'EF Marine Vessels spec. TOTE'!$B$28:$F$46,5,TRUE)</f>
        <v>0.29743200000000003</v>
      </c>
      <c r="H81" s="575">
        <f>VLOOKUP($G$11,'EF Marine Vessels spec. TOTE'!$D$8:$K$17,7,FALSE)*VLOOKUP($H$18,'EF Marine Vessels spec. TOTE'!$B$98:$L$106,7,FALSE)*VLOOKUP(IF($D$18/$D$11&lt;0.02,0.02,$D$18/$D$11),'EF Marine Vessels spec. TOTE'!$B$28:$F$46,5,TRUE)</f>
        <v>0.28503900000000004</v>
      </c>
      <c r="I81" s="575">
        <f>VLOOKUP($G$11,'EF Marine Vessels spec. TOTE'!$D$8:$K$17,8,FALSE)*VLOOKUP($H$18,'EF Marine Vessels spec. TOTE'!$B$98:$L$106,8,FALSE)*VLOOKUP(IF($D$18/$D$11&lt;0.02,0.02,$D$18/$D$11),'EF Marine Vessels spec. TOTE'!$B$28:$F$46,5,TRUE)</f>
        <v>0.29743200000000003</v>
      </c>
      <c r="J81" s="576">
        <f>VLOOKUP($G$11,'EF Marine Vessels spec. TOTE'!$P$8:$S$17,2,FALSE)*VLOOKUP($G$17,'EF Marine Vessels spec. TOTE'!$B$98:$L$106,9,FALSE)</f>
        <v>648</v>
      </c>
      <c r="K81" s="575">
        <f>VLOOKUP($G$11,'EF Marine Vessels spec. TOTE'!$P$8:$S$17,3,FALSE)*VLOOKUP($G$17,'EF Marine Vessels spec. TOTE'!$B$98:$L$106,10,FALSE)</f>
        <v>2.9139999999999999E-2</v>
      </c>
      <c r="L81" s="1522">
        <f>VLOOKUP($G$11,'EF Marine Vessels spec. TOTE'!$P$8:$S$17,4,FALSE)*VLOOKUP($G$17,'EF Marine Vessels spec. TOTE'!$B$98:$L$106,11,FALSE)</f>
        <v>0.01</v>
      </c>
    </row>
    <row r="82" spans="2:12">
      <c r="B82" s="568" t="s">
        <v>961</v>
      </c>
      <c r="C82" s="575">
        <f>VLOOKUP($G$11,'EF Marine Vessels spec. TOTE'!$D$8:$K$17,2,FALSE)*VLOOKUP($H$19,'EF Marine Vessels spec. TOTE'!$B$98:$L$106,2,FALSE)*VLOOKUP(IF($D$19/$D$11&lt;0.02,0.02,$D$19/$D$11),'EF Marine Vessels spec. TOTE'!$B$28:$F$46,2,TRUE)</f>
        <v>53.096839999999993</v>
      </c>
      <c r="D82" s="575">
        <f>VLOOKUP($G$11,'EF Marine Vessels spec. TOTE'!$D$8:$K$17,3,FALSE)*VLOOKUP($H$19,'EF Marine Vessels spec. TOTE'!$B$98:$L$106,3,FALSE)*VLOOKUP(IF($D$19/$D$11&lt;0.02,0.02,$D$19/$D$11),'EF Marine Vessels spec. TOTE'!$B$28:$F$46,3,TRUE)</f>
        <v>10.59</v>
      </c>
      <c r="E82" s="575">
        <f>VLOOKUP($G$11,'EF Marine Vessels spec. TOTE'!$D$8:$K$17,4,FALSE)*VLOOKUP($H$19,'EF Marine Vessels spec. TOTE'!$B$98:$L$106,4,FALSE)*VLOOKUP(IF($D$19/$D$11&lt;0.02,0.02,$D$19/$D$11),'EF Marine Vessels spec. TOTE'!$B$28:$F$46,4,TRUE)</f>
        <v>10.648</v>
      </c>
      <c r="F82" s="575">
        <f>VLOOKUP($G$11,'EF Marine Vessels spec. TOTE'!$D$8:$K$17,5,FALSE)*VLOOKUP($H$19,'EF Marine Vessels spec. TOTE'!$B$98:$L$106,5,FALSE)</f>
        <v>1.5539999999999998E-2</v>
      </c>
      <c r="G82" s="575">
        <f>VLOOKUP($G$11,'EF Marine Vessels spec. TOTE'!$D$8:$K$17,6,FALSE)*VLOOKUP($H$19,'EF Marine Vessels spec. TOTE'!$B$98:$L$106,6,FALSE)*VLOOKUP(IF($D$19/$D$11&lt;0.02,0.02,$D$19/$D$11),'EF Marine Vessels spec. TOTE'!$B$28:$F$46,5,TRUE)</f>
        <v>0.29743200000000003</v>
      </c>
      <c r="H82" s="575">
        <f>VLOOKUP($G$11,'EF Marine Vessels spec. TOTE'!$D$8:$K$17,7,FALSE)*VLOOKUP($H$19,'EF Marine Vessels spec. TOTE'!$B$98:$L$106,7,FALSE)*VLOOKUP(IF($D$19/$D$11&lt;0.02,0.02,$D$19/$D$11),'EF Marine Vessels spec. TOTE'!$B$28:$F$46,5,TRUE)</f>
        <v>0.28503900000000004</v>
      </c>
      <c r="I82" s="575">
        <f>VLOOKUP($G$11,'EF Marine Vessels spec. TOTE'!$D$8:$K$17,8,FALSE)*VLOOKUP($H$19,'EF Marine Vessels spec. TOTE'!$B$98:$L$106,8,FALSE)*VLOOKUP(IF($D$19/$D$11&lt;0.02,0.02,$D$19/$D$11),'EF Marine Vessels spec. TOTE'!$B$28:$F$46,5,TRUE)</f>
        <v>0.29743200000000003</v>
      </c>
      <c r="J82" s="576">
        <f>VLOOKUP($G$11,'EF Marine Vessels spec. TOTE'!$P$8:$S$17,2,FALSE)*VLOOKUP($G$17,'EF Marine Vessels spec. TOTE'!$B$98:$L$106,9,FALSE)</f>
        <v>648</v>
      </c>
      <c r="K82" s="575">
        <f>VLOOKUP($G$11,'EF Marine Vessels spec. TOTE'!$P$8:$S$17,3,FALSE)*VLOOKUP($G$17,'EF Marine Vessels spec. TOTE'!$B$98:$L$106,10,FALSE)</f>
        <v>2.9139999999999999E-2</v>
      </c>
      <c r="L82" s="1522">
        <f>VLOOKUP($G$11,'EF Marine Vessels spec. TOTE'!$P$8:$S$17,4,FALSE)*VLOOKUP($G$17,'EF Marine Vessels spec. TOTE'!$B$98:$L$106,11,FALSE)</f>
        <v>0.01</v>
      </c>
    </row>
    <row r="83" spans="2:12" ht="18">
      <c r="B83" s="1082" t="s">
        <v>947</v>
      </c>
      <c r="C83" s="1083" t="s">
        <v>1166</v>
      </c>
      <c r="D83" s="1083" t="s">
        <v>116</v>
      </c>
      <c r="E83" s="1083" t="s">
        <v>862</v>
      </c>
      <c r="F83" s="1083" t="s">
        <v>1167</v>
      </c>
      <c r="G83" s="1083" t="s">
        <v>864</v>
      </c>
      <c r="H83" s="1083" t="s">
        <v>865</v>
      </c>
      <c r="I83" s="1083" t="s">
        <v>866</v>
      </c>
      <c r="J83" s="1083" t="s">
        <v>1161</v>
      </c>
      <c r="K83" s="1083" t="s">
        <v>1162</v>
      </c>
      <c r="L83" s="1083" t="s">
        <v>1163</v>
      </c>
    </row>
    <row r="84" spans="2:12">
      <c r="B84" s="568" t="s">
        <v>960</v>
      </c>
      <c r="C84" s="575">
        <f>VLOOKUP($H$11,'EF Marine Vessels spec. TOTE'!$D$51:$K$55,2,FALSE)*VLOOKUP($H17,'EF Marine Vessels spec. TOTE'!$B$98:$L$106,2,FALSE)</f>
        <v>11.467999999999998</v>
      </c>
      <c r="D84" s="575">
        <f>VLOOKUP($H$11,'EF Marine Vessels spec. TOTE'!$D$51:$K$55,3,FALSE)*VLOOKUP($H17,'EF Marine Vessels spec. TOTE'!$B$98:$L$106,3,FALSE)</f>
        <v>0.4</v>
      </c>
      <c r="E84" s="575">
        <f>VLOOKUP($H$11,'EF Marine Vessels spec. TOTE'!$D$51:$K$55,4,FALSE)*VLOOKUP($H17,'EF Marine Vessels spec. TOTE'!$B$98:$L$106,4,FALSE)</f>
        <v>1.1000000000000001</v>
      </c>
      <c r="F84" s="575">
        <f>VLOOKUP($H$11,'EF Marine Vessels spec. TOTE'!$D$51:$K$55,5,FALSE)*VLOOKUP($H17,'EF Marine Vessels spec. TOTE'!$B$98:$L$106,5,FALSE)</f>
        <v>1.6279999999999999E-2</v>
      </c>
      <c r="G84" s="575">
        <f>VLOOKUP($H$11,'EF Marine Vessels spec. TOTE'!$D$51:$K$55,6,FALSE)*VLOOKUP($H17,'EF Marine Vessels spec. TOTE'!$B$98:$L$106,6,FALSE)</f>
        <v>4.0800000000000003E-2</v>
      </c>
      <c r="H84" s="575">
        <f>VLOOKUP($H$11,'EF Marine Vessels spec. TOTE'!$D$51:$K$55,7,FALSE)*VLOOKUP($H17,'EF Marine Vessels spec. TOTE'!$B$98:$L$106,7,FALSE)</f>
        <v>3.9100000000000003E-2</v>
      </c>
      <c r="I84" s="575">
        <f>VLOOKUP($H$11,'EF Marine Vessels spec. TOTE'!$D$51:$K$55,8,FALSE)*VLOOKUP($H17,'EF Marine Vessels spec. TOTE'!$B$98:$L$106,8,FALSE)</f>
        <v>4.0800000000000003E-2</v>
      </c>
      <c r="J84" s="576">
        <f>VLOOKUP($H$11,'EF Marine Vessels spec. TOTE'!$P$51:$S$55,2,FALSE)*VLOOKUP($H17,'EF Marine Vessels spec. TOTE'!$B$98:$L$106,9,FALSE)</f>
        <v>683</v>
      </c>
      <c r="K84" s="575">
        <f>VLOOKUP($H$11,'EF Marine Vessels spec. TOTE'!$P$51:$S$55,3,FALSE)*VLOOKUP($H17,'EF Marine Vessels spec. TOTE'!$B$98:$L$106,10,FALSE)</f>
        <v>2.726E-2</v>
      </c>
      <c r="L84" s="1522">
        <f>VLOOKUP($H$11,'EF Marine Vessels spec. TOTE'!$P$51:$S$55,4,FALSE)*VLOOKUP($H17,'EF Marine Vessels spec. TOTE'!$B$98:$L$106,11,FALSE)</f>
        <v>8.0000000000000002E-3</v>
      </c>
    </row>
    <row r="85" spans="2:12">
      <c r="B85" s="568" t="s">
        <v>1335</v>
      </c>
      <c r="C85" s="575">
        <f>VLOOKUP($H$11,'EF Marine Vessels spec. TOTE'!$D$51:$K$55,2,FALSE)*VLOOKUP($H18,'EF Marine Vessels spec. TOTE'!$B$98:$L$106,2,FALSE)</f>
        <v>11.467999999999998</v>
      </c>
      <c r="D85" s="575">
        <f>VLOOKUP($H$11,'EF Marine Vessels spec. TOTE'!$D$51:$K$55,3,FALSE)*VLOOKUP($H18,'EF Marine Vessels spec. TOTE'!$B$98:$L$106,3,FALSE)</f>
        <v>0.4</v>
      </c>
      <c r="E85" s="575">
        <f>VLOOKUP($H$11,'EF Marine Vessels spec. TOTE'!$D$51:$K$55,4,FALSE)*VLOOKUP($H18,'EF Marine Vessels spec. TOTE'!$B$98:$L$106,4,FALSE)</f>
        <v>1.1000000000000001</v>
      </c>
      <c r="F85" s="575">
        <f>VLOOKUP($H$11,'EF Marine Vessels spec. TOTE'!$D$51:$K$55,5,FALSE)*VLOOKUP($H18,'EF Marine Vessels spec. TOTE'!$B$98:$L$106,5,FALSE)</f>
        <v>1.6279999999999999E-2</v>
      </c>
      <c r="G85" s="575">
        <f>VLOOKUP($H$11,'EF Marine Vessels spec. TOTE'!$D$51:$K$55,6,FALSE)*VLOOKUP($H18,'EF Marine Vessels spec. TOTE'!$B$98:$L$106,6,FALSE)</f>
        <v>4.0800000000000003E-2</v>
      </c>
      <c r="H85" s="575">
        <f>VLOOKUP($H$11,'EF Marine Vessels spec. TOTE'!$D$51:$K$55,7,FALSE)*VLOOKUP($H18,'EF Marine Vessels spec. TOTE'!$B$98:$L$106,7,FALSE)</f>
        <v>3.9100000000000003E-2</v>
      </c>
      <c r="I85" s="575">
        <f>VLOOKUP($H$11,'EF Marine Vessels spec. TOTE'!$D$51:$K$55,8,FALSE)*VLOOKUP($H18,'EF Marine Vessels spec. TOTE'!$B$98:$L$106,8,FALSE)</f>
        <v>4.0800000000000003E-2</v>
      </c>
      <c r="J85" s="576">
        <f>VLOOKUP($H$11,'EF Marine Vessels spec. TOTE'!$P$51:$S$55,2,FALSE)*VLOOKUP($H18,'EF Marine Vessels spec. TOTE'!$B$98:$L$106,9,FALSE)</f>
        <v>683</v>
      </c>
      <c r="K85" s="575">
        <f>VLOOKUP($H$11,'EF Marine Vessels spec. TOTE'!$P$51:$S$55,3,FALSE)*VLOOKUP($H18,'EF Marine Vessels spec. TOTE'!$B$98:$L$106,10,FALSE)</f>
        <v>2.726E-2</v>
      </c>
      <c r="L85" s="1522">
        <f>VLOOKUP($H$11,'EF Marine Vessels spec. TOTE'!$P$51:$S$55,4,FALSE)*VLOOKUP($H18,'EF Marine Vessels spec. TOTE'!$B$98:$L$106,11,FALSE)</f>
        <v>8.0000000000000002E-3</v>
      </c>
    </row>
    <row r="86" spans="2:12">
      <c r="B86" s="568" t="s">
        <v>961</v>
      </c>
      <c r="C86" s="575">
        <f>VLOOKUP($H$11,'EF Marine Vessels spec. TOTE'!$D$51:$K$55,2,FALSE)*VLOOKUP($H19,'EF Marine Vessels spec. TOTE'!$B$98:$L$106,2,FALSE)</f>
        <v>11.467999999999998</v>
      </c>
      <c r="D86" s="575">
        <f>VLOOKUP($H$11,'EF Marine Vessels spec. TOTE'!$D$51:$K$55,3,FALSE)*VLOOKUP($H19,'EF Marine Vessels spec. TOTE'!$B$98:$L$106,3,FALSE)</f>
        <v>0.4</v>
      </c>
      <c r="E86" s="575">
        <f>VLOOKUP($H$11,'EF Marine Vessels spec. TOTE'!$D$51:$K$55,4,FALSE)*VLOOKUP($H19,'EF Marine Vessels spec. TOTE'!$B$98:$L$106,4,FALSE)</f>
        <v>1.1000000000000001</v>
      </c>
      <c r="F86" s="575">
        <f>VLOOKUP($H$11,'EF Marine Vessels spec. TOTE'!$D$51:$K$55,5,FALSE)*VLOOKUP($H19,'EF Marine Vessels spec. TOTE'!$B$98:$L$106,5,FALSE)</f>
        <v>1.6279999999999999E-2</v>
      </c>
      <c r="G86" s="575">
        <f>VLOOKUP($H$11,'EF Marine Vessels spec. TOTE'!$D$51:$K$55,6,FALSE)*VLOOKUP($H19,'EF Marine Vessels spec. TOTE'!$B$98:$L$106,6,FALSE)</f>
        <v>4.0800000000000003E-2</v>
      </c>
      <c r="H86" s="575">
        <f>VLOOKUP($H$11,'EF Marine Vessels spec. TOTE'!$D$51:$K$55,7,FALSE)*VLOOKUP($H19,'EF Marine Vessels spec. TOTE'!$B$98:$L$106,7,FALSE)</f>
        <v>3.9100000000000003E-2</v>
      </c>
      <c r="I86" s="575">
        <f>VLOOKUP($H$11,'EF Marine Vessels spec. TOTE'!$D$51:$K$55,8,FALSE)*VLOOKUP($H19,'EF Marine Vessels spec. TOTE'!$B$98:$L$106,8,FALSE)</f>
        <v>4.0800000000000003E-2</v>
      </c>
      <c r="J86" s="576">
        <f>VLOOKUP($H$11,'EF Marine Vessels spec. TOTE'!$P$51:$S$55,2,FALSE)*VLOOKUP($H19,'EF Marine Vessels spec. TOTE'!$B$98:$L$106,9,FALSE)</f>
        <v>683</v>
      </c>
      <c r="K86" s="575">
        <f>VLOOKUP($H$11,'EF Marine Vessels spec. TOTE'!$P$51:$S$55,3,FALSE)*VLOOKUP($H19,'EF Marine Vessels spec. TOTE'!$B$98:$L$106,10,FALSE)</f>
        <v>2.726E-2</v>
      </c>
      <c r="L86" s="1522">
        <f>VLOOKUP($H$11,'EF Marine Vessels spec. TOTE'!$P$51:$S$55,4,FALSE)*VLOOKUP($H19,'EF Marine Vessels spec. TOTE'!$B$98:$L$106,11,FALSE)</f>
        <v>8.0000000000000002E-3</v>
      </c>
    </row>
    <row r="87" spans="2:12" ht="18">
      <c r="B87" s="1082" t="s">
        <v>985</v>
      </c>
      <c r="C87" s="1083" t="s">
        <v>1166</v>
      </c>
      <c r="D87" s="1083" t="s">
        <v>116</v>
      </c>
      <c r="E87" s="1083" t="s">
        <v>862</v>
      </c>
      <c r="F87" s="1083" t="s">
        <v>1167</v>
      </c>
      <c r="G87" s="1083" t="s">
        <v>864</v>
      </c>
      <c r="H87" s="1083" t="s">
        <v>865</v>
      </c>
      <c r="I87" s="1083" t="s">
        <v>866</v>
      </c>
      <c r="J87" s="1083" t="s">
        <v>1161</v>
      </c>
      <c r="K87" s="1083" t="s">
        <v>1162</v>
      </c>
      <c r="L87" s="1083" t="s">
        <v>1163</v>
      </c>
    </row>
    <row r="88" spans="2:12">
      <c r="B88" s="568" t="s">
        <v>960</v>
      </c>
      <c r="C88" s="575">
        <f>VLOOKUP($I$11,'EF Marine Vessels spec. TOTE'!$D$60:$K$61,2,FALSE)*VLOOKUP($H17,'EF Marine Vessels spec. TOTE'!$B$98:$L$106,2,FALSE)</f>
        <v>1.88</v>
      </c>
      <c r="D88" s="575">
        <f>VLOOKUP($I$11,'EF Marine Vessels spec. TOTE'!$D$60:$K$61,3,FALSE)*VLOOKUP($H17,'EF Marine Vessels spec. TOTE'!$B$98:$L$106,3,FALSE)</f>
        <v>0.1</v>
      </c>
      <c r="E88" s="575">
        <f>VLOOKUP($I$11,'EF Marine Vessels spec. TOTE'!$D$60:$K$61,4,FALSE)*VLOOKUP($H17,'EF Marine Vessels spec. TOTE'!$B$98:$L$106,4,FALSE)</f>
        <v>0.2</v>
      </c>
      <c r="F88" s="575">
        <f>VLOOKUP($I$11,'EF Marine Vessels spec. TOTE'!$D$60:$K$61,5,FALSE)*VLOOKUP($H17,'EF Marine Vessels spec. TOTE'!$B$98:$L$106,5,FALSE)</f>
        <v>0.22199999999999998</v>
      </c>
      <c r="G88" s="575">
        <f>VLOOKUP($I$11,'EF Marine Vessels spec. TOTE'!$D$60:$K$61,6,FALSE)*VLOOKUP($H17,'EF Marine Vessels spec. TOTE'!$B$98:$L$106,6,FALSE)</f>
        <v>2.7200000000000002E-2</v>
      </c>
      <c r="H88" s="575">
        <f>VLOOKUP($I$11,'EF Marine Vessels spec. TOTE'!$D$60:$K$61,7,FALSE)*VLOOKUP($H17,'EF Marine Vessels spec. TOTE'!$B$98:$L$106,7,FALSE)</f>
        <v>2.5500000000000002E-2</v>
      </c>
      <c r="I88" s="575">
        <f>VLOOKUP($I$11,'EF Marine Vessels spec. TOTE'!$D$60:$K$61,8,FALSE)*VLOOKUP($H17,'EF Marine Vessels spec. TOTE'!$B$98:$L$106,8,FALSE)</f>
        <v>0</v>
      </c>
      <c r="J88" s="576">
        <f>VLOOKUP($I$11,'EF Marine Vessels spec. TOTE'!$P$60:$S$61,2,FALSE)*VLOOKUP($H17,'EF Marine Vessels spec. TOTE'!$B$98:$L$106,9,FALSE)</f>
        <v>856.83052208835352</v>
      </c>
      <c r="K88" s="575">
        <f>VLOOKUP($I$11,'EF Marine Vessels spec. TOTE'!$P$60:$S$61,3,FALSE)*VLOOKUP($H17,'EF Marine Vessels spec. TOTE'!$B$98:$L$106,10,FALSE)</f>
        <v>7.0499999999999993E-2</v>
      </c>
      <c r="L88" s="575">
        <f>VLOOKUP($I$11,'EF Marine Vessels spec. TOTE'!$P$60:$S$61,4,FALSE)*VLOOKUP($H17,'EF Marine Vessels spec. TOTE'!$B$98:$L$106,11,FALSE)</f>
        <v>2E-3</v>
      </c>
    </row>
    <row r="89" spans="2:12">
      <c r="B89" s="568" t="s">
        <v>1335</v>
      </c>
      <c r="C89" s="575">
        <f>VLOOKUP($I$11,'EF Marine Vessels spec. TOTE'!$D$60:$K$61,2,FALSE)*VLOOKUP($H18,'EF Marine Vessels spec. TOTE'!$B$98:$L$106,2,FALSE)</f>
        <v>1.88</v>
      </c>
      <c r="D89" s="575">
        <f>VLOOKUP($I$11,'EF Marine Vessels spec. TOTE'!$D$60:$K$61,3,FALSE)*VLOOKUP($H18,'EF Marine Vessels spec. TOTE'!$B$98:$L$106,3,FALSE)</f>
        <v>0.1</v>
      </c>
      <c r="E89" s="575">
        <f>VLOOKUP($I$11,'EF Marine Vessels spec. TOTE'!$D$60:$K$61,4,FALSE)*VLOOKUP($H18,'EF Marine Vessels spec. TOTE'!$B$98:$L$106,4,FALSE)</f>
        <v>0.2</v>
      </c>
      <c r="F89" s="575">
        <f>VLOOKUP($I$11,'EF Marine Vessels spec. TOTE'!$D$60:$K$61,5,FALSE)*VLOOKUP($H18,'EF Marine Vessels spec. TOTE'!$B$98:$L$106,5,FALSE)</f>
        <v>0.22199999999999998</v>
      </c>
      <c r="G89" s="575">
        <f>VLOOKUP($I$11,'EF Marine Vessels spec. TOTE'!$D$60:$K$61,6,FALSE)*VLOOKUP($H18,'EF Marine Vessels spec. TOTE'!$B$98:$L$106,6,FALSE)</f>
        <v>2.7200000000000002E-2</v>
      </c>
      <c r="H89" s="575">
        <f>VLOOKUP($I$11,'EF Marine Vessels spec. TOTE'!$D$60:$K$61,7,FALSE)*VLOOKUP($H18,'EF Marine Vessels spec. TOTE'!$B$98:$L$106,7,FALSE)</f>
        <v>2.5500000000000002E-2</v>
      </c>
      <c r="I89" s="575">
        <f>VLOOKUP($I$11,'EF Marine Vessels spec. TOTE'!$D$60:$K$61,8,FALSE)*VLOOKUP($H18,'EF Marine Vessels spec. TOTE'!$B$98:$L$106,8,FALSE)</f>
        <v>0</v>
      </c>
      <c r="J89" s="576">
        <f>VLOOKUP($I$11,'EF Marine Vessels spec. TOTE'!$P$60:$S$61,2,FALSE)*VLOOKUP($H18,'EF Marine Vessels spec. TOTE'!$B$98:$L$106,9,FALSE)</f>
        <v>856.83052208835352</v>
      </c>
      <c r="K89" s="575">
        <f>VLOOKUP($I$11,'EF Marine Vessels spec. TOTE'!$P$60:$S$61,3,FALSE)*VLOOKUP($H18,'EF Marine Vessels spec. TOTE'!$B$98:$L$106,10,FALSE)</f>
        <v>7.0499999999999993E-2</v>
      </c>
      <c r="L89" s="575">
        <f>VLOOKUP($I$11,'EF Marine Vessels spec. TOTE'!$P$60:$S$61,4,FALSE)*VLOOKUP($H18,'EF Marine Vessels spec. TOTE'!$B$98:$L$106,11,FALSE)</f>
        <v>2E-3</v>
      </c>
    </row>
    <row r="90" spans="2:12">
      <c r="B90" s="1067" t="s">
        <v>961</v>
      </c>
      <c r="C90" s="1084">
        <f>VLOOKUP($I$11,'EF Marine Vessels spec. TOTE'!$D$60:$K$61,2,FALSE)*VLOOKUP($H19,'EF Marine Vessels spec. TOTE'!$B$98:$L$106,2,FALSE)</f>
        <v>1.88</v>
      </c>
      <c r="D90" s="1084">
        <f>VLOOKUP($I$11,'EF Marine Vessels spec. TOTE'!$D$60:$K$61,3,FALSE)*VLOOKUP($H19,'EF Marine Vessels spec. TOTE'!$B$98:$L$106,3,FALSE)</f>
        <v>0.1</v>
      </c>
      <c r="E90" s="1084">
        <f>VLOOKUP($I$11,'EF Marine Vessels spec. TOTE'!$D$60:$K$61,4,FALSE)*VLOOKUP($H19,'EF Marine Vessels spec. TOTE'!$B$98:$L$106,4,FALSE)</f>
        <v>0.2</v>
      </c>
      <c r="F90" s="1084">
        <f>VLOOKUP($I$11,'EF Marine Vessels spec. TOTE'!$D$60:$K$61,5,FALSE)*VLOOKUP($H19,'EF Marine Vessels spec. TOTE'!$B$98:$L$106,5,FALSE)</f>
        <v>0.22199999999999998</v>
      </c>
      <c r="G90" s="1084">
        <f>VLOOKUP($I$11,'EF Marine Vessels spec. TOTE'!$D$60:$K$61,6,FALSE)*VLOOKUP($H19,'EF Marine Vessels spec. TOTE'!$B$98:$L$106,6,FALSE)</f>
        <v>2.7200000000000002E-2</v>
      </c>
      <c r="H90" s="1084">
        <f>VLOOKUP($I$11,'EF Marine Vessels spec. TOTE'!$D$60:$K$61,7,FALSE)*VLOOKUP($H19,'EF Marine Vessels spec. TOTE'!$B$98:$L$106,7,FALSE)</f>
        <v>2.5500000000000002E-2</v>
      </c>
      <c r="I90" s="1084">
        <f>VLOOKUP($I$11,'EF Marine Vessels spec. TOTE'!$D$60:$K$61,8,FALSE)*VLOOKUP($H19,'EF Marine Vessels spec. TOTE'!$B$98:$L$106,8,FALSE)</f>
        <v>0</v>
      </c>
      <c r="J90" s="1085">
        <f>VLOOKUP($I$11,'EF Marine Vessels spec. TOTE'!$P$60:$S$61,2,FALSE)*VLOOKUP($H19,'EF Marine Vessels spec. TOTE'!$B$98:$L$106,9,FALSE)</f>
        <v>856.83052208835352</v>
      </c>
      <c r="K90" s="1084">
        <f>VLOOKUP($I$11,'EF Marine Vessels spec. TOTE'!$P$60:$S$61,3,FALSE)*VLOOKUP($H19,'EF Marine Vessels spec. TOTE'!$B$98:$L$106,10,FALSE)</f>
        <v>7.0499999999999993E-2</v>
      </c>
      <c r="L90" s="1084">
        <f>VLOOKUP($I$11,'EF Marine Vessels spec. TOTE'!$P$60:$S$61,4,FALSE)*VLOOKUP($H19,'EF Marine Vessels spec. TOTE'!$B$98:$L$106,11,FALSE)</f>
        <v>2E-3</v>
      </c>
    </row>
  </sheetData>
  <mergeCells count="16">
    <mergeCell ref="C32:I32"/>
    <mergeCell ref="L32:P32"/>
    <mergeCell ref="L42:P42"/>
    <mergeCell ref="L22:P22"/>
    <mergeCell ref="B1:AL1"/>
    <mergeCell ref="B2:AL2"/>
    <mergeCell ref="K4:M4"/>
    <mergeCell ref="B13:AL13"/>
    <mergeCell ref="C22:I22"/>
    <mergeCell ref="C42:I42"/>
    <mergeCell ref="C63:L63"/>
    <mergeCell ref="C78:L78"/>
    <mergeCell ref="B56:C56"/>
    <mergeCell ref="B57:C57"/>
    <mergeCell ref="B58:C58"/>
    <mergeCell ref="B59:C59"/>
  </mergeCells>
  <pageMargins left="0.7" right="0.7" top="0.75" bottom="0.75" header="0.3" footer="0.3"/>
  <pageSetup paperSize="17" scale="44" fitToHeight="0" orientation="landscape" r:id="rId1"/>
  <headerFooter>
    <oddFooter>&amp;C&amp;P</oddFooter>
  </headerFooter>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'EF Marine Vessels spec. TOTE'!$B$98:$B$106</xm:f>
          </x14:formula1>
          <xm:sqref>G17:H20</xm:sqref>
        </x14:dataValidation>
        <x14:dataValidation type="list" allowBlank="1" showInputMessage="1" showErrorMessage="1">
          <x14:formula1>
            <xm:f>'EF Marine Vessels spec. TOTE'!$B$69:$B$93</xm:f>
          </x14:formula1>
          <xm:sqref>B6</xm:sqref>
        </x14:dataValidation>
        <x14:dataValidation type="list" allowBlank="1" showInputMessage="1" showErrorMessage="1">
          <x14:formula1>
            <xm:f>'EF Marine Vessels spec. TOTE'!$D$8:$D$17</xm:f>
          </x14:formula1>
          <xm:sqref>G11</xm:sqref>
        </x14:dataValidation>
        <x14:dataValidation type="list" allowBlank="1" showInputMessage="1" showErrorMessage="1">
          <x14:formula1>
            <xm:f>'EF Marine Vessels spec. TOTE'!$D$51:$D$55</xm:f>
          </x14:formula1>
          <xm:sqref>H11</xm:sqref>
        </x14:dataValidation>
        <x14:dataValidation type="list" allowBlank="1" showInputMessage="1" showErrorMessage="1">
          <x14:formula1>
            <xm:f>'EF Marine Vessels spec. TOTE'!$D$60:$D$61</xm:f>
          </x14:formula1>
          <xm:sqref>I11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AH89"/>
  <sheetViews>
    <sheetView topLeftCell="A13" zoomScale="70" zoomScaleNormal="70" zoomScaleSheetLayoutView="100" zoomScalePageLayoutView="85" workbookViewId="0">
      <selection activeCell="B17" sqref="B17"/>
    </sheetView>
  </sheetViews>
  <sheetFormatPr defaultColWidth="9.140625" defaultRowHeight="15"/>
  <cols>
    <col min="1" max="1" width="7.28515625" style="711" customWidth="1"/>
    <col min="2" max="2" width="25.28515625" style="710" customWidth="1"/>
    <col min="3" max="7" width="14.7109375" style="710" customWidth="1"/>
    <col min="8" max="8" width="16.7109375" style="710" customWidth="1"/>
    <col min="9" max="14" width="14.7109375" style="710" customWidth="1"/>
    <col min="15" max="15" width="2.7109375" style="710" customWidth="1"/>
    <col min="16" max="21" width="7.85546875" style="710" customWidth="1"/>
    <col min="22" max="22" width="9.140625" style="710"/>
    <col min="23" max="16384" width="9.140625" style="711"/>
  </cols>
  <sheetData>
    <row r="1" spans="2:34" ht="28.5" customHeight="1">
      <c r="B1" s="808" t="s">
        <v>588</v>
      </c>
      <c r="C1" s="709"/>
      <c r="D1" s="709"/>
      <c r="E1" s="709"/>
      <c r="F1" s="709"/>
      <c r="G1" s="709"/>
      <c r="H1" s="709"/>
      <c r="I1" s="709"/>
      <c r="J1" s="709"/>
      <c r="K1" s="709"/>
      <c r="L1" s="709"/>
      <c r="M1" s="709"/>
      <c r="N1" s="709"/>
    </row>
    <row r="3" spans="2:34" s="710" customFormat="1">
      <c r="B3" s="712" t="s">
        <v>589</v>
      </c>
      <c r="C3" s="713"/>
      <c r="D3" s="714"/>
      <c r="E3" s="714"/>
      <c r="F3" s="714"/>
      <c r="G3" s="714"/>
      <c r="H3" s="714"/>
      <c r="I3" s="714"/>
      <c r="J3" s="714"/>
      <c r="K3" s="714"/>
      <c r="L3" s="714"/>
      <c r="W3" s="711"/>
      <c r="X3" s="711"/>
      <c r="Y3" s="711"/>
      <c r="Z3" s="711"/>
      <c r="AA3" s="711"/>
      <c r="AB3" s="711"/>
      <c r="AC3" s="711"/>
      <c r="AD3" s="711"/>
      <c r="AE3" s="711"/>
      <c r="AF3" s="711"/>
      <c r="AG3" s="711"/>
      <c r="AH3" s="711"/>
    </row>
    <row r="4" spans="2:34" s="710" customFormat="1">
      <c r="B4" s="1958" t="s">
        <v>212</v>
      </c>
      <c r="C4" s="1958" t="s">
        <v>590</v>
      </c>
      <c r="D4" s="715"/>
      <c r="E4" s="716"/>
      <c r="F4" s="716"/>
      <c r="G4" s="716"/>
      <c r="H4" s="716"/>
      <c r="I4" s="716"/>
      <c r="J4" s="716"/>
      <c r="K4" s="716"/>
      <c r="L4" s="717"/>
      <c r="M4" s="1961" t="s">
        <v>591</v>
      </c>
      <c r="N4" s="1961" t="s">
        <v>592</v>
      </c>
      <c r="W4" s="711"/>
      <c r="X4" s="711"/>
      <c r="Y4" s="711"/>
      <c r="Z4" s="711"/>
      <c r="AA4" s="711"/>
      <c r="AB4" s="711"/>
      <c r="AC4" s="711"/>
      <c r="AD4" s="711"/>
      <c r="AE4" s="711"/>
      <c r="AF4" s="711"/>
      <c r="AG4" s="711"/>
      <c r="AH4" s="711"/>
    </row>
    <row r="5" spans="2:34" s="710" customFormat="1" ht="17.25">
      <c r="B5" s="1959"/>
      <c r="C5" s="1959"/>
      <c r="D5" s="718" t="s">
        <v>593</v>
      </c>
      <c r="E5" s="719"/>
      <c r="F5" s="719"/>
      <c r="G5" s="719"/>
      <c r="H5" s="719"/>
      <c r="I5" s="719"/>
      <c r="J5" s="719"/>
      <c r="K5" s="719"/>
      <c r="L5" s="719"/>
      <c r="M5" s="1962"/>
      <c r="N5" s="1962"/>
      <c r="O5" s="720"/>
      <c r="W5" s="711"/>
      <c r="X5" s="711"/>
      <c r="Y5" s="711"/>
      <c r="Z5" s="711"/>
      <c r="AA5" s="711"/>
      <c r="AB5" s="711"/>
      <c r="AC5" s="711"/>
      <c r="AD5" s="711"/>
      <c r="AE5" s="711"/>
      <c r="AF5" s="711"/>
      <c r="AG5" s="711"/>
      <c r="AH5" s="711"/>
    </row>
    <row r="6" spans="2:34" s="710" customFormat="1" ht="30.75" thickBot="1">
      <c r="B6" s="1960"/>
      <c r="C6" s="1960"/>
      <c r="D6" s="721" t="s">
        <v>594</v>
      </c>
      <c r="E6" s="722" t="s">
        <v>595</v>
      </c>
      <c r="F6" s="722" t="s">
        <v>210</v>
      </c>
      <c r="G6" s="722" t="s">
        <v>233</v>
      </c>
      <c r="H6" s="722" t="s">
        <v>596</v>
      </c>
      <c r="I6" s="722" t="s">
        <v>597</v>
      </c>
      <c r="J6" s="722" t="s">
        <v>598</v>
      </c>
      <c r="K6" s="722" t="s">
        <v>193</v>
      </c>
      <c r="L6" s="722" t="s">
        <v>599</v>
      </c>
      <c r="M6" s="1963"/>
      <c r="N6" s="1963"/>
      <c r="O6" s="720"/>
      <c r="V6" s="710" t="s">
        <v>600</v>
      </c>
      <c r="W6" s="711"/>
      <c r="X6" s="711"/>
      <c r="Y6" s="711"/>
      <c r="Z6" s="711"/>
      <c r="AA6" s="711"/>
      <c r="AB6" s="711"/>
      <c r="AC6" s="711"/>
      <c r="AD6" s="711"/>
      <c r="AE6" s="711"/>
      <c r="AF6" s="711"/>
      <c r="AG6" s="711"/>
      <c r="AH6" s="711"/>
    </row>
    <row r="7" spans="2:34" s="710" customFormat="1" ht="15.75" thickTop="1">
      <c r="B7" s="723" t="s">
        <v>601</v>
      </c>
      <c r="C7" s="724" t="s">
        <v>602</v>
      </c>
      <c r="D7" s="725">
        <v>39</v>
      </c>
      <c r="E7" s="726">
        <v>9</v>
      </c>
      <c r="F7" s="726">
        <v>12</v>
      </c>
      <c r="G7" s="726">
        <v>36</v>
      </c>
      <c r="H7" s="726"/>
      <c r="I7" s="726"/>
      <c r="J7" s="726">
        <v>112</v>
      </c>
      <c r="K7" s="726">
        <v>185</v>
      </c>
      <c r="L7" s="726">
        <v>30</v>
      </c>
      <c r="M7" s="809">
        <v>1.3699999999999999E-3</v>
      </c>
      <c r="N7" s="727">
        <v>0.75</v>
      </c>
      <c r="V7" s="806">
        <f t="shared" ref="V7:V16" si="0">1-N7</f>
        <v>0.25</v>
      </c>
      <c r="W7" s="711"/>
      <c r="X7" s="711"/>
      <c r="Y7" s="711"/>
      <c r="Z7" s="711"/>
      <c r="AA7" s="711"/>
      <c r="AB7" s="711"/>
      <c r="AC7" s="711"/>
      <c r="AD7" s="711"/>
      <c r="AE7" s="711"/>
      <c r="AF7" s="711"/>
      <c r="AG7" s="711"/>
      <c r="AH7" s="711"/>
    </row>
    <row r="8" spans="2:34" s="710" customFormat="1">
      <c r="B8" s="723"/>
      <c r="C8" s="724" t="s">
        <v>603</v>
      </c>
      <c r="D8" s="725"/>
      <c r="E8" s="726"/>
      <c r="F8" s="726"/>
      <c r="G8" s="726"/>
      <c r="H8" s="726">
        <v>33</v>
      </c>
      <c r="I8" s="726">
        <v>244</v>
      </c>
      <c r="J8" s="726"/>
      <c r="K8" s="726"/>
      <c r="L8" s="726"/>
      <c r="M8" s="810">
        <v>5.3699999999999998E-3</v>
      </c>
      <c r="N8" s="729">
        <v>0.75</v>
      </c>
      <c r="V8" s="806">
        <f t="shared" si="0"/>
        <v>0.25</v>
      </c>
      <c r="W8" s="711"/>
      <c r="X8" s="711"/>
      <c r="Y8" s="711"/>
      <c r="Z8" s="711"/>
      <c r="AA8" s="711"/>
      <c r="AB8" s="711"/>
      <c r="AC8" s="711"/>
      <c r="AD8" s="711"/>
      <c r="AE8" s="711"/>
      <c r="AF8" s="711"/>
      <c r="AG8" s="711"/>
      <c r="AH8" s="711"/>
    </row>
    <row r="9" spans="2:34">
      <c r="B9" s="730"/>
      <c r="C9" s="731" t="s">
        <v>604</v>
      </c>
      <c r="D9" s="732"/>
      <c r="E9" s="733"/>
      <c r="F9" s="733"/>
      <c r="G9" s="733"/>
      <c r="H9" s="733"/>
      <c r="I9" s="733"/>
      <c r="J9" s="733"/>
      <c r="K9" s="733"/>
      <c r="L9" s="733"/>
      <c r="M9" s="811">
        <v>5.0199999999999995E-4</v>
      </c>
      <c r="N9" s="735">
        <v>0</v>
      </c>
      <c r="V9" s="806">
        <f t="shared" si="0"/>
        <v>1</v>
      </c>
    </row>
    <row r="10" spans="2:34" s="710" customFormat="1">
      <c r="B10" s="736" t="s">
        <v>605</v>
      </c>
      <c r="C10" s="737" t="s">
        <v>603</v>
      </c>
      <c r="D10" s="738"/>
      <c r="E10" s="738"/>
      <c r="F10" s="738"/>
      <c r="G10" s="738"/>
      <c r="H10" s="738">
        <v>1</v>
      </c>
      <c r="I10" s="738"/>
      <c r="J10" s="738"/>
      <c r="K10" s="738"/>
      <c r="L10" s="738"/>
      <c r="M10" s="812">
        <v>4.9299999999999997E-2</v>
      </c>
      <c r="N10" s="740">
        <v>0.75</v>
      </c>
      <c r="V10" s="806">
        <f t="shared" si="0"/>
        <v>0.25</v>
      </c>
      <c r="W10" s="711"/>
      <c r="X10" s="711"/>
      <c r="Y10" s="711"/>
      <c r="Z10" s="711"/>
      <c r="AA10" s="711"/>
      <c r="AB10" s="711"/>
      <c r="AC10" s="711"/>
      <c r="AD10" s="711"/>
      <c r="AE10" s="711"/>
      <c r="AF10" s="711"/>
      <c r="AG10" s="711"/>
      <c r="AH10" s="711"/>
    </row>
    <row r="11" spans="2:34" s="710" customFormat="1">
      <c r="B11" s="730"/>
      <c r="C11" s="731" t="s">
        <v>604</v>
      </c>
      <c r="D11" s="732"/>
      <c r="E11" s="733"/>
      <c r="F11" s="733"/>
      <c r="G11" s="733"/>
      <c r="H11" s="733"/>
      <c r="I11" s="733"/>
      <c r="J11" s="733"/>
      <c r="K11" s="733"/>
      <c r="L11" s="733"/>
      <c r="M11" s="811">
        <v>9.8200000000000006E-3</v>
      </c>
      <c r="N11" s="735">
        <v>0</v>
      </c>
      <c r="V11" s="806">
        <f t="shared" si="0"/>
        <v>1</v>
      </c>
      <c r="W11" s="711"/>
      <c r="X11" s="711"/>
      <c r="Y11" s="711"/>
      <c r="Z11" s="711"/>
      <c r="AA11" s="711"/>
      <c r="AB11" s="711"/>
      <c r="AC11" s="711"/>
      <c r="AD11" s="711"/>
      <c r="AE11" s="711"/>
      <c r="AF11" s="711"/>
      <c r="AG11" s="711"/>
      <c r="AH11" s="711"/>
    </row>
    <row r="12" spans="2:34" s="710" customFormat="1">
      <c r="B12" s="736" t="s">
        <v>606</v>
      </c>
      <c r="C12" s="737" t="s">
        <v>602</v>
      </c>
      <c r="D12" s="725">
        <v>0</v>
      </c>
      <c r="E12" s="726">
        <v>7</v>
      </c>
      <c r="F12" s="726">
        <v>2</v>
      </c>
      <c r="G12" s="726">
        <v>15</v>
      </c>
      <c r="H12" s="726"/>
      <c r="I12" s="726"/>
      <c r="J12" s="726">
        <v>28</v>
      </c>
      <c r="K12" s="726">
        <v>77</v>
      </c>
      <c r="L12" s="726">
        <v>15</v>
      </c>
      <c r="M12" s="812">
        <v>5.5900000000000004E-4</v>
      </c>
      <c r="N12" s="740">
        <v>0.3</v>
      </c>
      <c r="V12" s="806">
        <f t="shared" si="0"/>
        <v>0.7</v>
      </c>
      <c r="W12" s="711"/>
      <c r="X12" s="711"/>
      <c r="Y12" s="711"/>
      <c r="Z12" s="711"/>
      <c r="AA12" s="711"/>
      <c r="AB12" s="711"/>
      <c r="AC12" s="711"/>
      <c r="AD12" s="711"/>
      <c r="AE12" s="711"/>
      <c r="AF12" s="711"/>
      <c r="AG12" s="711"/>
      <c r="AH12" s="711"/>
    </row>
    <row r="13" spans="2:34" s="710" customFormat="1">
      <c r="B13" s="723"/>
      <c r="C13" s="724" t="s">
        <v>603</v>
      </c>
      <c r="D13" s="725"/>
      <c r="E13" s="726"/>
      <c r="F13" s="726"/>
      <c r="G13" s="726"/>
      <c r="H13" s="726">
        <v>6</v>
      </c>
      <c r="I13" s="726">
        <v>114</v>
      </c>
      <c r="J13" s="726"/>
      <c r="K13" s="726"/>
      <c r="L13" s="726"/>
      <c r="M13" s="810">
        <v>5.5900000000000004E-4</v>
      </c>
      <c r="N13" s="729">
        <v>0.3</v>
      </c>
      <c r="V13" s="806">
        <f t="shared" si="0"/>
        <v>0.7</v>
      </c>
      <c r="W13" s="711"/>
      <c r="X13" s="711"/>
      <c r="Y13" s="711"/>
      <c r="Z13" s="711"/>
      <c r="AA13" s="711"/>
      <c r="AB13" s="711"/>
      <c r="AC13" s="711"/>
      <c r="AD13" s="711"/>
      <c r="AE13" s="711"/>
      <c r="AF13" s="711"/>
      <c r="AG13" s="711"/>
      <c r="AH13" s="711"/>
    </row>
    <row r="14" spans="2:34" s="710" customFormat="1">
      <c r="B14" s="730"/>
      <c r="C14" s="731" t="s">
        <v>604</v>
      </c>
      <c r="D14" s="725"/>
      <c r="E14" s="726"/>
      <c r="F14" s="726"/>
      <c r="G14" s="726"/>
      <c r="H14" s="726"/>
      <c r="I14" s="726"/>
      <c r="J14" s="726"/>
      <c r="K14" s="726"/>
      <c r="L14" s="726"/>
      <c r="M14" s="811">
        <v>5.5900000000000004E-4</v>
      </c>
      <c r="N14" s="735">
        <v>0.3</v>
      </c>
      <c r="V14" s="806">
        <f t="shared" si="0"/>
        <v>0.7</v>
      </c>
      <c r="W14" s="711"/>
      <c r="X14" s="711"/>
      <c r="Y14" s="711"/>
      <c r="Z14" s="711"/>
      <c r="AA14" s="711"/>
      <c r="AB14" s="711"/>
      <c r="AC14" s="711"/>
      <c r="AD14" s="711"/>
      <c r="AE14" s="711"/>
      <c r="AF14" s="711"/>
      <c r="AG14" s="711"/>
      <c r="AH14" s="711"/>
    </row>
    <row r="15" spans="2:34" s="710" customFormat="1">
      <c r="B15" s="741" t="s">
        <v>607</v>
      </c>
      <c r="C15" s="742" t="s">
        <v>602</v>
      </c>
      <c r="D15" s="743">
        <v>0</v>
      </c>
      <c r="E15" s="738">
        <v>2</v>
      </c>
      <c r="F15" s="738">
        <v>0</v>
      </c>
      <c r="G15" s="738">
        <v>0</v>
      </c>
      <c r="H15" s="738">
        <v>0</v>
      </c>
      <c r="I15" s="738">
        <v>0</v>
      </c>
      <c r="J15" s="738">
        <v>1</v>
      </c>
      <c r="K15" s="738">
        <v>1</v>
      </c>
      <c r="L15" s="738">
        <v>0</v>
      </c>
      <c r="M15" s="813">
        <v>1.6549999999999999E-2</v>
      </c>
      <c r="N15" s="744">
        <v>0.75</v>
      </c>
      <c r="V15" s="806">
        <f t="shared" si="0"/>
        <v>0.25</v>
      </c>
      <c r="W15" s="711"/>
      <c r="X15" s="711"/>
      <c r="Y15" s="711"/>
      <c r="Z15" s="711"/>
      <c r="AA15" s="711"/>
      <c r="AB15" s="711"/>
      <c r="AC15" s="711"/>
      <c r="AD15" s="711"/>
      <c r="AE15" s="711"/>
      <c r="AF15" s="711"/>
      <c r="AG15" s="711"/>
      <c r="AH15" s="711"/>
    </row>
    <row r="16" spans="2:34" s="710" customFormat="1">
      <c r="B16" s="742" t="s">
        <v>608</v>
      </c>
      <c r="C16" s="737" t="s">
        <v>602</v>
      </c>
      <c r="D16" s="745">
        <v>3</v>
      </c>
      <c r="E16" s="746">
        <v>0</v>
      </c>
      <c r="F16" s="746">
        <v>1</v>
      </c>
      <c r="G16" s="746">
        <v>3</v>
      </c>
      <c r="H16" s="746">
        <v>1</v>
      </c>
      <c r="I16" s="746">
        <v>19</v>
      </c>
      <c r="J16" s="746">
        <v>8</v>
      </c>
      <c r="K16" s="746">
        <v>9</v>
      </c>
      <c r="L16" s="746">
        <v>2</v>
      </c>
      <c r="M16" s="813">
        <v>2.2030000000000001E-2</v>
      </c>
      <c r="N16" s="744">
        <v>0.75</v>
      </c>
      <c r="V16" s="806">
        <f t="shared" si="0"/>
        <v>0.25</v>
      </c>
      <c r="W16" s="711"/>
      <c r="X16" s="711"/>
      <c r="Y16" s="711"/>
      <c r="Z16" s="711"/>
      <c r="AA16" s="711"/>
      <c r="AB16" s="711"/>
      <c r="AC16" s="711"/>
      <c r="AD16" s="711"/>
      <c r="AE16" s="711"/>
      <c r="AF16" s="711"/>
      <c r="AG16" s="711"/>
      <c r="AH16" s="711"/>
    </row>
    <row r="17" spans="2:34" s="710" customFormat="1">
      <c r="B17" s="741" t="s">
        <v>609</v>
      </c>
      <c r="C17" s="742" t="s">
        <v>603</v>
      </c>
      <c r="D17" s="738"/>
      <c r="E17" s="738"/>
      <c r="F17" s="738"/>
      <c r="G17" s="738"/>
      <c r="H17" s="738"/>
      <c r="I17" s="738">
        <v>4</v>
      </c>
      <c r="J17" s="738"/>
      <c r="K17" s="738"/>
      <c r="L17" s="738"/>
      <c r="M17" s="813">
        <v>4.9299999999999997E-2</v>
      </c>
      <c r="N17" s="744">
        <v>0.75</v>
      </c>
      <c r="V17" s="806">
        <f>1-N17</f>
        <v>0.25</v>
      </c>
      <c r="W17" s="711"/>
      <c r="X17" s="711"/>
      <c r="Y17" s="711"/>
      <c r="Z17" s="711"/>
      <c r="AA17" s="711"/>
      <c r="AB17" s="711"/>
      <c r="AC17" s="711"/>
      <c r="AD17" s="711"/>
      <c r="AE17" s="711"/>
      <c r="AF17" s="711"/>
      <c r="AG17" s="711"/>
      <c r="AH17" s="711"/>
    </row>
    <row r="18" spans="2:34" s="710" customFormat="1">
      <c r="C18" s="747"/>
      <c r="D18" s="748"/>
      <c r="E18" s="748"/>
      <c r="F18" s="748"/>
      <c r="G18" s="748"/>
      <c r="H18" s="748"/>
      <c r="I18" s="748"/>
      <c r="J18" s="749"/>
      <c r="K18" s="749"/>
      <c r="L18" s="749"/>
      <c r="W18" s="711"/>
      <c r="X18" s="711"/>
      <c r="Y18" s="711"/>
      <c r="Z18" s="711"/>
      <c r="AA18" s="711"/>
      <c r="AB18" s="711"/>
      <c r="AC18" s="711"/>
      <c r="AD18" s="711"/>
      <c r="AE18" s="711"/>
      <c r="AF18" s="711"/>
      <c r="AG18" s="711"/>
      <c r="AH18" s="711"/>
    </row>
    <row r="19" spans="2:34" s="710" customFormat="1">
      <c r="B19" s="750" t="s">
        <v>610</v>
      </c>
      <c r="C19" s="713"/>
      <c r="D19" s="714"/>
      <c r="E19" s="714"/>
      <c r="F19" s="714"/>
      <c r="G19" s="714"/>
      <c r="H19" s="714"/>
      <c r="I19" s="714"/>
      <c r="J19" s="714"/>
      <c r="K19" s="714"/>
      <c r="L19" s="714"/>
      <c r="W19" s="711"/>
      <c r="X19" s="711"/>
      <c r="Y19" s="711"/>
      <c r="Z19" s="711"/>
      <c r="AA19" s="711"/>
      <c r="AB19" s="711"/>
      <c r="AC19" s="711"/>
      <c r="AD19" s="711"/>
      <c r="AE19" s="711"/>
      <c r="AF19" s="711"/>
      <c r="AG19" s="711"/>
      <c r="AH19" s="711"/>
    </row>
    <row r="20" spans="2:34" s="710" customFormat="1">
      <c r="B20" s="1964" t="s">
        <v>305</v>
      </c>
      <c r="C20" s="1961" t="s">
        <v>611</v>
      </c>
      <c r="D20" s="751" t="s">
        <v>612</v>
      </c>
      <c r="E20" s="752"/>
      <c r="F20" s="752"/>
      <c r="G20" s="752"/>
      <c r="H20" s="752"/>
      <c r="I20" s="752"/>
      <c r="J20" s="752"/>
      <c r="K20" s="752"/>
      <c r="L20" s="752"/>
      <c r="W20" s="711"/>
      <c r="X20" s="711"/>
      <c r="Y20" s="711"/>
      <c r="Z20" s="711"/>
      <c r="AA20" s="711"/>
      <c r="AB20" s="711"/>
      <c r="AC20" s="711"/>
      <c r="AD20" s="711"/>
      <c r="AE20" s="711"/>
      <c r="AF20" s="711"/>
      <c r="AG20" s="711"/>
      <c r="AH20" s="711"/>
    </row>
    <row r="21" spans="2:34" s="710" customFormat="1" ht="30.75" thickBot="1">
      <c r="B21" s="1965"/>
      <c r="C21" s="1963"/>
      <c r="D21" s="721" t="s">
        <v>594</v>
      </c>
      <c r="E21" s="721" t="s">
        <v>595</v>
      </c>
      <c r="F21" s="721" t="s">
        <v>210</v>
      </c>
      <c r="G21" s="721" t="s">
        <v>233</v>
      </c>
      <c r="H21" s="721" t="s">
        <v>596</v>
      </c>
      <c r="I21" s="721" t="s">
        <v>597</v>
      </c>
      <c r="J21" s="721" t="s">
        <v>598</v>
      </c>
      <c r="K21" s="721" t="s">
        <v>193</v>
      </c>
      <c r="L21" s="721" t="s">
        <v>599</v>
      </c>
      <c r="W21" s="711"/>
      <c r="X21" s="711"/>
      <c r="Y21" s="711"/>
      <c r="Z21" s="711"/>
      <c r="AA21" s="711"/>
      <c r="AB21" s="711"/>
      <c r="AC21" s="711"/>
      <c r="AD21" s="711"/>
      <c r="AE21" s="711"/>
      <c r="AF21" s="711"/>
      <c r="AG21" s="711"/>
      <c r="AH21" s="711"/>
    </row>
    <row r="22" spans="2:34" s="710" customFormat="1" ht="18" thickTop="1">
      <c r="B22" s="753" t="s">
        <v>613</v>
      </c>
      <c r="C22" s="754" t="s">
        <v>614</v>
      </c>
      <c r="D22" s="755">
        <v>1</v>
      </c>
      <c r="E22" s="756">
        <v>1</v>
      </c>
      <c r="F22" s="756">
        <v>1</v>
      </c>
      <c r="G22" s="756">
        <v>1</v>
      </c>
      <c r="H22" s="756">
        <v>1</v>
      </c>
      <c r="I22" s="756">
        <v>1</v>
      </c>
      <c r="J22" s="756">
        <v>1</v>
      </c>
      <c r="K22" s="756">
        <v>1</v>
      </c>
      <c r="L22" s="756">
        <v>1</v>
      </c>
      <c r="W22" s="711"/>
      <c r="X22" s="711"/>
      <c r="Y22" s="711"/>
      <c r="Z22" s="711"/>
      <c r="AA22" s="711"/>
      <c r="AB22" s="711"/>
      <c r="AC22" s="711"/>
      <c r="AD22" s="711"/>
      <c r="AE22" s="711"/>
      <c r="AF22" s="711"/>
      <c r="AG22" s="711"/>
      <c r="AH22" s="711"/>
    </row>
    <row r="23" spans="2:34" s="710" customFormat="1" ht="17.25">
      <c r="B23" s="723" t="s">
        <v>615</v>
      </c>
      <c r="C23" s="739" t="s">
        <v>616</v>
      </c>
      <c r="D23" s="757">
        <v>69.570096902141458</v>
      </c>
      <c r="E23" s="758">
        <v>5.7132249104838347E-10</v>
      </c>
      <c r="F23" s="759">
        <v>0</v>
      </c>
      <c r="G23" s="760">
        <v>1184.6065810272216</v>
      </c>
      <c r="H23" s="760">
        <v>210669.44943680742</v>
      </c>
      <c r="I23" s="760">
        <v>27.397993260482984</v>
      </c>
      <c r="J23" s="759">
        <v>0</v>
      </c>
      <c r="K23" s="760">
        <v>1184.6065810272216</v>
      </c>
      <c r="L23" s="760">
        <v>1184.6065810272216</v>
      </c>
      <c r="W23" s="711"/>
      <c r="X23" s="711"/>
      <c r="Y23" s="711"/>
      <c r="Z23" s="711"/>
      <c r="AA23" s="711"/>
      <c r="AB23" s="711"/>
      <c r="AC23" s="711"/>
      <c r="AD23" s="711"/>
      <c r="AE23" s="711"/>
      <c r="AF23" s="711"/>
      <c r="AG23" s="711"/>
      <c r="AH23" s="711"/>
    </row>
    <row r="24" spans="2:34" s="710" customFormat="1" ht="17.25">
      <c r="B24" s="723" t="s">
        <v>617</v>
      </c>
      <c r="C24" s="728">
        <v>2148878</v>
      </c>
      <c r="D24" s="757">
        <v>3127.561499613279</v>
      </c>
      <c r="E24" s="761">
        <v>3.4777836219078537E-4</v>
      </c>
      <c r="F24" s="762">
        <v>0</v>
      </c>
      <c r="G24" s="760">
        <v>21.678400856086583</v>
      </c>
      <c r="H24" s="763">
        <v>1.0245251980768076E-2</v>
      </c>
      <c r="I24" s="764">
        <v>0.21061090039571473</v>
      </c>
      <c r="J24" s="762">
        <v>0</v>
      </c>
      <c r="K24" s="760">
        <v>21.678400856086583</v>
      </c>
      <c r="L24" s="760">
        <v>166.1943691893475</v>
      </c>
      <c r="W24" s="711"/>
      <c r="X24" s="711"/>
      <c r="Y24" s="711"/>
      <c r="Z24" s="711"/>
      <c r="AA24" s="711"/>
      <c r="AB24" s="711"/>
      <c r="AC24" s="711"/>
      <c r="AD24" s="711"/>
      <c r="AE24" s="711"/>
      <c r="AF24" s="711"/>
      <c r="AG24" s="711"/>
      <c r="AH24" s="711"/>
    </row>
    <row r="25" spans="2:34" s="710" customFormat="1" ht="17.25">
      <c r="B25" s="723" t="s">
        <v>618</v>
      </c>
      <c r="C25" s="728" t="s">
        <v>619</v>
      </c>
      <c r="D25" s="765">
        <v>4.0366459713277907</v>
      </c>
      <c r="E25" s="766">
        <v>4.0366459713277907</v>
      </c>
      <c r="F25" s="762">
        <v>0</v>
      </c>
      <c r="G25" s="766">
        <v>4.0366459713277907</v>
      </c>
      <c r="H25" s="766">
        <v>4.0366459713277907</v>
      </c>
      <c r="I25" s="766">
        <v>4.0366459713277907</v>
      </c>
      <c r="J25" s="762">
        <v>0</v>
      </c>
      <c r="K25" s="766">
        <v>4.0366459713277907</v>
      </c>
      <c r="L25" s="766">
        <v>4.0366459713277907</v>
      </c>
      <c r="W25" s="711"/>
      <c r="X25" s="711"/>
      <c r="Y25" s="711"/>
      <c r="Z25" s="711"/>
      <c r="AA25" s="711"/>
      <c r="AB25" s="711"/>
      <c r="AC25" s="711"/>
      <c r="AD25" s="711"/>
      <c r="AE25" s="711"/>
      <c r="AF25" s="711"/>
      <c r="AG25" s="711"/>
      <c r="AH25" s="711"/>
    </row>
    <row r="26" spans="2:34" s="710" customFormat="1" ht="17.25">
      <c r="B26" s="723" t="s">
        <v>620</v>
      </c>
      <c r="C26" s="728" t="s">
        <v>621</v>
      </c>
      <c r="D26" s="767">
        <v>0.19505940264134292</v>
      </c>
      <c r="E26" s="768">
        <v>0.19505940264134292</v>
      </c>
      <c r="F26" s="762">
        <v>0</v>
      </c>
      <c r="G26" s="768">
        <v>0.19505940264134292</v>
      </c>
      <c r="H26" s="768">
        <v>0.19505940264134292</v>
      </c>
      <c r="I26" s="768">
        <v>0.19505940264134292</v>
      </c>
      <c r="J26" s="762">
        <v>0</v>
      </c>
      <c r="K26" s="768">
        <v>0.19505940264134292</v>
      </c>
      <c r="L26" s="768">
        <v>0.19505940264134292</v>
      </c>
      <c r="W26" s="711"/>
      <c r="X26" s="711"/>
      <c r="Y26" s="711"/>
      <c r="Z26" s="711"/>
      <c r="AA26" s="711"/>
      <c r="AB26" s="711"/>
      <c r="AC26" s="711"/>
      <c r="AD26" s="711"/>
      <c r="AE26" s="711"/>
      <c r="AF26" s="711"/>
      <c r="AG26" s="711"/>
      <c r="AH26" s="711"/>
    </row>
    <row r="27" spans="2:34" s="710" customFormat="1" ht="17.25">
      <c r="B27" s="723" t="s">
        <v>622</v>
      </c>
      <c r="C27" s="769" t="s">
        <v>623</v>
      </c>
      <c r="D27" s="765">
        <v>1.3356150764191952</v>
      </c>
      <c r="E27" s="766">
        <v>1.3356150764191952</v>
      </c>
      <c r="F27" s="762">
        <v>0</v>
      </c>
      <c r="G27" s="766">
        <v>1.3356150764191952</v>
      </c>
      <c r="H27" s="766">
        <v>1.3356150764191952</v>
      </c>
      <c r="I27" s="766">
        <v>1.3356150764191952</v>
      </c>
      <c r="J27" s="762">
        <v>0</v>
      </c>
      <c r="K27" s="766">
        <v>1.3356150764191952</v>
      </c>
      <c r="L27" s="766">
        <v>1.3356150764191952</v>
      </c>
      <c r="W27" s="711"/>
      <c r="X27" s="711"/>
      <c r="Y27" s="711"/>
      <c r="Z27" s="711"/>
      <c r="AA27" s="711"/>
      <c r="AB27" s="711"/>
      <c r="AC27" s="711"/>
      <c r="AD27" s="711"/>
      <c r="AE27" s="711"/>
      <c r="AF27" s="711"/>
      <c r="AG27" s="711"/>
      <c r="AH27" s="711"/>
    </row>
    <row r="28" spans="2:34" s="710" customFormat="1" ht="17.25">
      <c r="B28" s="723" t="s">
        <v>624</v>
      </c>
      <c r="C28" s="769" t="s">
        <v>625</v>
      </c>
      <c r="D28" s="767">
        <v>0.22350556552653869</v>
      </c>
      <c r="E28" s="768">
        <v>0.22350556552653869</v>
      </c>
      <c r="F28" s="762">
        <v>0</v>
      </c>
      <c r="G28" s="768">
        <v>0.22350556552653869</v>
      </c>
      <c r="H28" s="768">
        <v>0.22350556552653869</v>
      </c>
      <c r="I28" s="768">
        <v>0.22350556552653869</v>
      </c>
      <c r="J28" s="762">
        <v>0</v>
      </c>
      <c r="K28" s="768">
        <v>0.22350556552653869</v>
      </c>
      <c r="L28" s="768">
        <v>0.22350556552653869</v>
      </c>
      <c r="W28" s="711"/>
      <c r="X28" s="711"/>
      <c r="Y28" s="711"/>
      <c r="Z28" s="711"/>
      <c r="AA28" s="711"/>
      <c r="AB28" s="711"/>
      <c r="AC28" s="711"/>
      <c r="AD28" s="711"/>
      <c r="AE28" s="711"/>
      <c r="AF28" s="711"/>
      <c r="AG28" s="711"/>
      <c r="AH28" s="711"/>
    </row>
    <row r="29" spans="2:34" s="710" customFormat="1" ht="17.25">
      <c r="B29" s="730" t="s">
        <v>626</v>
      </c>
      <c r="C29" s="770" t="s">
        <v>627</v>
      </c>
      <c r="D29" s="771">
        <v>3.4812685054739663</v>
      </c>
      <c r="E29" s="772">
        <v>3.4812685054739663</v>
      </c>
      <c r="F29" s="773">
        <v>0</v>
      </c>
      <c r="G29" s="772">
        <v>3.4812685054739663</v>
      </c>
      <c r="H29" s="772">
        <v>3.4812685054739663</v>
      </c>
      <c r="I29" s="772">
        <v>3.4812685054739663</v>
      </c>
      <c r="J29" s="773">
        <v>0</v>
      </c>
      <c r="K29" s="772">
        <v>3.4812685054739663</v>
      </c>
      <c r="L29" s="772">
        <v>3.4812685054739663</v>
      </c>
      <c r="W29" s="711"/>
      <c r="X29" s="711"/>
      <c r="Y29" s="711"/>
      <c r="Z29" s="711"/>
      <c r="AA29" s="711"/>
      <c r="AB29" s="711"/>
      <c r="AC29" s="711"/>
      <c r="AD29" s="711"/>
      <c r="AE29" s="711"/>
      <c r="AF29" s="711"/>
      <c r="AG29" s="711"/>
      <c r="AH29" s="711"/>
    </row>
    <row r="30" spans="2:34" s="710" customFormat="1">
      <c r="W30" s="711"/>
      <c r="X30" s="711"/>
      <c r="Y30" s="711"/>
      <c r="Z30" s="711"/>
      <c r="AA30" s="711"/>
      <c r="AB30" s="711"/>
      <c r="AC30" s="711"/>
      <c r="AD30" s="711"/>
      <c r="AE30" s="711"/>
      <c r="AF30" s="711"/>
      <c r="AG30" s="711"/>
      <c r="AH30" s="711"/>
    </row>
    <row r="31" spans="2:34" s="710" customFormat="1">
      <c r="B31" s="750" t="s">
        <v>628</v>
      </c>
      <c r="W31" s="711"/>
      <c r="X31" s="711"/>
      <c r="Y31" s="711"/>
      <c r="Z31" s="711"/>
      <c r="AA31" s="711"/>
      <c r="AB31" s="711"/>
      <c r="AC31" s="711"/>
      <c r="AD31" s="711"/>
      <c r="AE31" s="711"/>
      <c r="AF31" s="711"/>
      <c r="AG31" s="711"/>
      <c r="AH31" s="711"/>
    </row>
    <row r="32" spans="2:34" s="710" customFormat="1" ht="30.75" thickBot="1">
      <c r="B32" s="774" t="s">
        <v>305</v>
      </c>
      <c r="C32" s="775" t="s">
        <v>611</v>
      </c>
      <c r="D32" s="721" t="s">
        <v>594</v>
      </c>
      <c r="E32" s="776" t="s">
        <v>595</v>
      </c>
      <c r="F32" s="776" t="s">
        <v>210</v>
      </c>
      <c r="G32" s="776" t="s">
        <v>233</v>
      </c>
      <c r="H32" s="776" t="s">
        <v>596</v>
      </c>
      <c r="I32" s="776" t="s">
        <v>597</v>
      </c>
      <c r="J32" s="776" t="s">
        <v>598</v>
      </c>
      <c r="K32" s="776" t="s">
        <v>193</v>
      </c>
      <c r="L32" s="776" t="s">
        <v>599</v>
      </c>
      <c r="M32" s="776" t="s">
        <v>200</v>
      </c>
      <c r="W32" s="711"/>
      <c r="X32" s="711"/>
      <c r="Y32" s="711"/>
      <c r="Z32" s="711"/>
      <c r="AA32" s="711"/>
      <c r="AB32" s="711"/>
      <c r="AC32" s="711"/>
      <c r="AD32" s="711"/>
      <c r="AE32" s="711"/>
      <c r="AF32" s="711"/>
      <c r="AG32" s="711"/>
      <c r="AH32" s="711"/>
    </row>
    <row r="33" spans="2:33" s="710" customFormat="1" ht="18" thickTop="1">
      <c r="B33" s="777" t="s">
        <v>629</v>
      </c>
      <c r="C33" s="778"/>
      <c r="D33" s="709"/>
      <c r="E33" s="777"/>
      <c r="F33" s="719"/>
      <c r="G33" s="719"/>
      <c r="H33" s="719"/>
      <c r="I33" s="719"/>
      <c r="J33" s="719"/>
      <c r="K33" s="719"/>
      <c r="L33" s="719"/>
      <c r="M33" s="719"/>
      <c r="N33" s="720"/>
      <c r="V33" s="711"/>
      <c r="W33" s="711"/>
      <c r="X33" s="711"/>
      <c r="Y33" s="711"/>
      <c r="Z33" s="711"/>
      <c r="AA33" s="711"/>
      <c r="AB33" s="711"/>
      <c r="AC33" s="711"/>
      <c r="AD33" s="711"/>
      <c r="AE33" s="711"/>
      <c r="AF33" s="711"/>
      <c r="AG33" s="711"/>
    </row>
    <row r="34" spans="2:33" s="710" customFormat="1" ht="15.75" thickBot="1">
      <c r="B34" s="718" t="s">
        <v>630</v>
      </c>
      <c r="C34" s="778"/>
      <c r="D34" s="779"/>
      <c r="E34" s="718"/>
      <c r="F34" s="780"/>
      <c r="G34" s="780"/>
      <c r="H34" s="780"/>
      <c r="I34" s="780"/>
      <c r="J34" s="780"/>
      <c r="K34" s="780"/>
      <c r="L34" s="780"/>
      <c r="M34" s="780"/>
      <c r="V34" s="711"/>
      <c r="W34" s="711"/>
      <c r="X34" s="711"/>
      <c r="Y34" s="711"/>
      <c r="Z34" s="711"/>
      <c r="AA34" s="711"/>
      <c r="AB34" s="711"/>
      <c r="AC34" s="711"/>
      <c r="AD34" s="711"/>
      <c r="AE34" s="711"/>
      <c r="AF34" s="711"/>
      <c r="AG34" s="711"/>
    </row>
    <row r="35" spans="2:33" s="710" customFormat="1" ht="18" thickTop="1">
      <c r="B35" s="741" t="s">
        <v>631</v>
      </c>
      <c r="C35" s="754" t="s">
        <v>614</v>
      </c>
      <c r="D35" s="814">
        <f>SUMPRODUCT(D$7:D$17,$M$7:$M$17,$V$7:$V$17)*D22</f>
        <v>2.9880000000000004E-2</v>
      </c>
      <c r="E35" s="814">
        <f t="shared" ref="E35:L35" si="1">SUMPRODUCT(E$7:E$17,$M$7:$M$17,$V$7:$V$17)*E22</f>
        <v>1.4096599999999999E-2</v>
      </c>
      <c r="F35" s="814">
        <f t="shared" si="1"/>
        <v>1.0400100000000001E-2</v>
      </c>
      <c r="G35" s="814">
        <f t="shared" si="1"/>
        <v>3.4722000000000003E-2</v>
      </c>
      <c r="H35" s="814">
        <f t="shared" si="1"/>
        <v>6.4482799999999993E-2</v>
      </c>
      <c r="I35" s="814">
        <f t="shared" si="1"/>
        <v>0.5261207</v>
      </c>
      <c r="J35" s="814">
        <f t="shared" si="1"/>
        <v>9.7513900000000001E-2</v>
      </c>
      <c r="K35" s="814">
        <f t="shared" si="1"/>
        <v>0.14719760000000001</v>
      </c>
      <c r="L35" s="814">
        <f t="shared" si="1"/>
        <v>2.71595E-2</v>
      </c>
      <c r="M35" s="814">
        <f t="shared" ref="M35:M43" si="2">SUM(D35:L35)</f>
        <v>0.95157320000000001</v>
      </c>
      <c r="V35" s="711"/>
      <c r="W35" s="711"/>
      <c r="X35" s="711"/>
      <c r="Y35" s="711"/>
      <c r="Z35" s="711"/>
      <c r="AA35" s="711"/>
      <c r="AB35" s="711"/>
      <c r="AC35" s="711"/>
      <c r="AD35" s="711"/>
      <c r="AE35" s="711"/>
      <c r="AF35" s="711"/>
      <c r="AG35" s="711"/>
    </row>
    <row r="36" spans="2:33" s="710" customFormat="1">
      <c r="B36" s="723" t="s">
        <v>632</v>
      </c>
      <c r="C36" s="739" t="s">
        <v>616</v>
      </c>
      <c r="D36" s="814">
        <f>SUMPRODUCT(D$7:D$17,$M$7:$M$17,$V$7:$V$17)*D23/10^6</f>
        <v>2.078754495435987E-6</v>
      </c>
      <c r="E36" s="814">
        <f t="shared" ref="E36:L42" si="3">SUMPRODUCT(E$7:E$17,$M$7:$M$17,$V$7:$V$17)*E23/10^6</f>
        <v>8.0537046273126413E-18</v>
      </c>
      <c r="F36" s="814">
        <f t="shared" si="3"/>
        <v>0</v>
      </c>
      <c r="G36" s="814">
        <f t="shared" si="3"/>
        <v>4.1131909706427195E-5</v>
      </c>
      <c r="H36" s="814">
        <f t="shared" si="3"/>
        <v>1.3584555974143764E-2</v>
      </c>
      <c r="I36" s="814">
        <f t="shared" si="3"/>
        <v>1.4414651392800589E-5</v>
      </c>
      <c r="J36" s="814">
        <f t="shared" si="3"/>
        <v>0</v>
      </c>
      <c r="K36" s="814">
        <f t="shared" si="3"/>
        <v>1.7437124567141256E-4</v>
      </c>
      <c r="L36" s="814">
        <f t="shared" si="3"/>
        <v>3.217332243740883E-5</v>
      </c>
      <c r="M36" s="814">
        <f t="shared" si="2"/>
        <v>1.3848725857847256E-2</v>
      </c>
      <c r="V36" s="711"/>
      <c r="W36" s="711"/>
      <c r="X36" s="711"/>
      <c r="Y36" s="711"/>
      <c r="Z36" s="711"/>
      <c r="AA36" s="711"/>
      <c r="AB36" s="711"/>
      <c r="AC36" s="711"/>
      <c r="AD36" s="711"/>
      <c r="AE36" s="711"/>
      <c r="AF36" s="711"/>
      <c r="AG36" s="711"/>
    </row>
    <row r="37" spans="2:33" s="710" customFormat="1">
      <c r="B37" s="730" t="s">
        <v>633</v>
      </c>
      <c r="C37" s="734">
        <v>2148878</v>
      </c>
      <c r="D37" s="814">
        <f t="shared" ref="D37:D42" si="4">SUMPRODUCT(D$7:D$17,$M$7:$M$17,$V$7:$V$17)*D24/10^6</f>
        <v>9.3451537608444792E-5</v>
      </c>
      <c r="E37" s="814">
        <f t="shared" si="3"/>
        <v>4.9024924604586243E-12</v>
      </c>
      <c r="F37" s="814">
        <f t="shared" si="3"/>
        <v>0</v>
      </c>
      <c r="G37" s="814">
        <f t="shared" si="3"/>
        <v>7.5271743452503839E-7</v>
      </c>
      <c r="H37" s="814">
        <f t="shared" si="3"/>
        <v>6.606425344254717E-10</v>
      </c>
      <c r="I37" s="814">
        <f t="shared" si="3"/>
        <v>1.1080675434382371E-7</v>
      </c>
      <c r="J37" s="814">
        <f t="shared" si="3"/>
        <v>0</v>
      </c>
      <c r="K37" s="814">
        <f t="shared" si="3"/>
        <v>3.1910085778538906E-6</v>
      </c>
      <c r="L37" s="814">
        <f t="shared" si="3"/>
        <v>4.5137559699980832E-6</v>
      </c>
      <c r="M37" s="814">
        <f t="shared" si="2"/>
        <v>1.0202049189019251E-4</v>
      </c>
      <c r="V37" s="711"/>
      <c r="W37" s="711"/>
      <c r="X37" s="711"/>
      <c r="Y37" s="711"/>
      <c r="Z37" s="711"/>
      <c r="AA37" s="711"/>
      <c r="AB37" s="711"/>
      <c r="AC37" s="711"/>
      <c r="AD37" s="711"/>
      <c r="AE37" s="711"/>
      <c r="AF37" s="711"/>
      <c r="AG37" s="711"/>
    </row>
    <row r="38" spans="2:33" s="710" customFormat="1">
      <c r="B38" s="723" t="s">
        <v>221</v>
      </c>
      <c r="C38" s="739" t="s">
        <v>619</v>
      </c>
      <c r="D38" s="814">
        <f t="shared" si="4"/>
        <v>1.2061498162327441E-7</v>
      </c>
      <c r="E38" s="814">
        <f t="shared" si="3"/>
        <v>5.6902983599419331E-8</v>
      </c>
      <c r="F38" s="814">
        <f t="shared" si="3"/>
        <v>0</v>
      </c>
      <c r="G38" s="814">
        <f t="shared" si="3"/>
        <v>1.4016042141644356E-7</v>
      </c>
      <c r="H38" s="814">
        <f t="shared" si="3"/>
        <v>2.6029423483993562E-7</v>
      </c>
      <c r="I38" s="814">
        <f t="shared" si="3"/>
        <v>2.1237630040871571E-6</v>
      </c>
      <c r="J38" s="814">
        <f t="shared" si="3"/>
        <v>0</v>
      </c>
      <c r="K38" s="814">
        <f t="shared" si="3"/>
        <v>5.9418459902911972E-7</v>
      </c>
      <c r="L38" s="814">
        <f t="shared" si="3"/>
        <v>1.0963328625827713E-7</v>
      </c>
      <c r="M38" s="814">
        <f t="shared" si="2"/>
        <v>3.4055535108536269E-6</v>
      </c>
      <c r="V38" s="711"/>
      <c r="W38" s="711"/>
      <c r="X38" s="711"/>
      <c r="Y38" s="711"/>
      <c r="Z38" s="711"/>
      <c r="AA38" s="711"/>
      <c r="AB38" s="711"/>
      <c r="AC38" s="711"/>
      <c r="AD38" s="711"/>
      <c r="AE38" s="711"/>
      <c r="AF38" s="711"/>
      <c r="AG38" s="711"/>
    </row>
    <row r="39" spans="2:33" s="710" customFormat="1">
      <c r="B39" s="723" t="s">
        <v>634</v>
      </c>
      <c r="C39" s="728" t="s">
        <v>621</v>
      </c>
      <c r="D39" s="814">
        <f t="shared" si="4"/>
        <v>5.8283749509233268E-9</v>
      </c>
      <c r="E39" s="814">
        <f t="shared" si="3"/>
        <v>2.7496743752739546E-9</v>
      </c>
      <c r="F39" s="814">
        <f t="shared" si="3"/>
        <v>0</v>
      </c>
      <c r="G39" s="814">
        <f t="shared" si="3"/>
        <v>6.7728525785127096E-9</v>
      </c>
      <c r="H39" s="814">
        <f t="shared" si="3"/>
        <v>1.2577976448641186E-8</v>
      </c>
      <c r="I39" s="814">
        <f t="shared" si="3"/>
        <v>1.0262478945924518E-7</v>
      </c>
      <c r="J39" s="814">
        <f t="shared" si="3"/>
        <v>0</v>
      </c>
      <c r="K39" s="814">
        <f t="shared" si="3"/>
        <v>2.871227592623934E-8</v>
      </c>
      <c r="L39" s="814">
        <f t="shared" si="3"/>
        <v>5.2977158460375535E-9</v>
      </c>
      <c r="M39" s="814">
        <f t="shared" si="2"/>
        <v>1.6456365958487323E-7</v>
      </c>
      <c r="V39" s="711"/>
      <c r="W39" s="711"/>
      <c r="X39" s="711"/>
      <c r="Y39" s="711"/>
      <c r="Z39" s="711"/>
      <c r="AA39" s="711"/>
      <c r="AB39" s="711"/>
      <c r="AC39" s="711"/>
      <c r="AD39" s="711"/>
      <c r="AE39" s="711"/>
      <c r="AF39" s="711"/>
      <c r="AG39" s="711"/>
    </row>
    <row r="40" spans="2:33" s="710" customFormat="1">
      <c r="B40" s="723" t="s">
        <v>635</v>
      </c>
      <c r="C40" s="769" t="s">
        <v>623</v>
      </c>
      <c r="D40" s="814">
        <f t="shared" si="4"/>
        <v>3.9908178483405554E-8</v>
      </c>
      <c r="E40" s="814">
        <f t="shared" si="3"/>
        <v>1.8827631486250824E-8</v>
      </c>
      <c r="F40" s="814">
        <f t="shared" si="3"/>
        <v>0</v>
      </c>
      <c r="G40" s="814">
        <f t="shared" si="3"/>
        <v>4.6375226683427299E-8</v>
      </c>
      <c r="H40" s="814">
        <f t="shared" si="3"/>
        <v>8.6124199849723671E-8</v>
      </c>
      <c r="I40" s="814">
        <f t="shared" si="3"/>
        <v>7.0269473893622047E-7</v>
      </c>
      <c r="J40" s="814">
        <f t="shared" si="3"/>
        <v>0</v>
      </c>
      <c r="K40" s="814">
        <f t="shared" si="3"/>
        <v>1.9659933377272215E-7</v>
      </c>
      <c r="L40" s="814">
        <f t="shared" si="3"/>
        <v>3.6274637668007133E-8</v>
      </c>
      <c r="M40" s="814">
        <f t="shared" si="2"/>
        <v>1.1268039468797571E-6</v>
      </c>
      <c r="V40" s="711"/>
      <c r="W40" s="711"/>
      <c r="X40" s="711"/>
      <c r="Y40" s="711"/>
      <c r="Z40" s="711"/>
      <c r="AA40" s="711"/>
      <c r="AB40" s="711"/>
      <c r="AC40" s="711"/>
      <c r="AD40" s="711"/>
      <c r="AE40" s="711"/>
      <c r="AF40" s="711"/>
      <c r="AG40" s="711"/>
    </row>
    <row r="41" spans="2:33" s="710" customFormat="1">
      <c r="B41" s="723" t="s">
        <v>636</v>
      </c>
      <c r="C41" s="769" t="s">
        <v>625</v>
      </c>
      <c r="D41" s="814">
        <f t="shared" si="4"/>
        <v>6.6783462979329772E-9</v>
      </c>
      <c r="E41" s="814">
        <f t="shared" si="3"/>
        <v>3.1506685550014051E-9</v>
      </c>
      <c r="F41" s="814">
        <f t="shared" si="3"/>
        <v>0</v>
      </c>
      <c r="G41" s="814">
        <f t="shared" si="3"/>
        <v>7.7605602462124777E-9</v>
      </c>
      <c r="H41" s="814">
        <f t="shared" si="3"/>
        <v>1.4412264680734686E-8</v>
      </c>
      <c r="I41" s="814">
        <f t="shared" si="3"/>
        <v>1.175909045887184E-7</v>
      </c>
      <c r="J41" s="814">
        <f t="shared" si="3"/>
        <v>0</v>
      </c>
      <c r="K41" s="814">
        <f t="shared" si="3"/>
        <v>3.2899482832149232E-8</v>
      </c>
      <c r="L41" s="814">
        <f t="shared" si="3"/>
        <v>6.0702994069180277E-9</v>
      </c>
      <c r="M41" s="814">
        <f t="shared" si="2"/>
        <v>1.885625266076672E-7</v>
      </c>
      <c r="V41" s="711"/>
      <c r="W41" s="711"/>
      <c r="X41" s="711"/>
      <c r="Y41" s="711"/>
      <c r="Z41" s="711"/>
      <c r="AA41" s="711"/>
      <c r="AB41" s="711"/>
      <c r="AC41" s="711"/>
      <c r="AD41" s="711"/>
      <c r="AE41" s="711"/>
      <c r="AF41" s="711"/>
      <c r="AG41" s="711"/>
    </row>
    <row r="42" spans="2:33" s="710" customFormat="1">
      <c r="B42" s="730" t="s">
        <v>637</v>
      </c>
      <c r="C42" s="770" t="s">
        <v>627</v>
      </c>
      <c r="D42" s="814">
        <f t="shared" si="4"/>
        <v>1.0402030294356213E-7</v>
      </c>
      <c r="E42" s="814">
        <f t="shared" si="3"/>
        <v>4.9074049614264309E-8</v>
      </c>
      <c r="F42" s="814">
        <f t="shared" si="3"/>
        <v>0</v>
      </c>
      <c r="G42" s="814">
        <f t="shared" si="3"/>
        <v>1.2087660504706708E-7</v>
      </c>
      <c r="H42" s="814">
        <f t="shared" si="3"/>
        <v>2.2448194078477664E-7</v>
      </c>
      <c r="I42" s="814">
        <f t="shared" si="3"/>
        <v>1.8315674229879169E-6</v>
      </c>
      <c r="J42" s="814">
        <f t="shared" si="3"/>
        <v>0</v>
      </c>
      <c r="K42" s="814">
        <f t="shared" si="3"/>
        <v>5.1243436896135477E-7</v>
      </c>
      <c r="L42" s="814">
        <f t="shared" si="3"/>
        <v>9.4549511974420187E-8</v>
      </c>
      <c r="M42" s="814">
        <f t="shared" si="2"/>
        <v>2.9370042023133622E-6</v>
      </c>
      <c r="V42" s="711"/>
      <c r="W42" s="711"/>
      <c r="X42" s="711"/>
      <c r="Y42" s="711"/>
      <c r="Z42" s="711"/>
      <c r="AA42" s="711"/>
      <c r="AB42" s="711"/>
      <c r="AC42" s="711"/>
      <c r="AD42" s="711"/>
      <c r="AE42" s="711"/>
      <c r="AF42" s="711"/>
      <c r="AG42" s="711"/>
    </row>
    <row r="43" spans="2:33" s="710" customFormat="1">
      <c r="B43" s="730" t="s">
        <v>638</v>
      </c>
      <c r="C43" s="734" t="s">
        <v>639</v>
      </c>
      <c r="D43" s="814">
        <f t="shared" ref="D43:L43" si="5">SUM(D38:D42)</f>
        <v>2.7705018429909839E-7</v>
      </c>
      <c r="E43" s="814">
        <f t="shared" si="5"/>
        <v>1.3070500763020985E-7</v>
      </c>
      <c r="F43" s="814">
        <f t="shared" si="5"/>
        <v>0</v>
      </c>
      <c r="G43" s="814">
        <f t="shared" si="5"/>
        <v>3.2194566597166314E-7</v>
      </c>
      <c r="H43" s="814">
        <f t="shared" si="5"/>
        <v>5.9789061660381186E-7</v>
      </c>
      <c r="I43" s="814">
        <f t="shared" si="5"/>
        <v>4.8782408600592581E-6</v>
      </c>
      <c r="J43" s="814">
        <f t="shared" si="5"/>
        <v>0</v>
      </c>
      <c r="K43" s="814">
        <f t="shared" si="5"/>
        <v>1.3648300605215853E-6</v>
      </c>
      <c r="L43" s="814">
        <f t="shared" si="5"/>
        <v>2.5182545115366E-7</v>
      </c>
      <c r="M43" s="814">
        <f t="shared" si="2"/>
        <v>7.822487846239287E-6</v>
      </c>
      <c r="N43" s="781"/>
      <c r="V43" s="711"/>
      <c r="W43" s="711"/>
      <c r="X43" s="711"/>
      <c r="Y43" s="711"/>
      <c r="Z43" s="711"/>
      <c r="AA43" s="711"/>
      <c r="AB43" s="711"/>
      <c r="AC43" s="711"/>
      <c r="AD43" s="711"/>
      <c r="AE43" s="711"/>
      <c r="AF43" s="711"/>
      <c r="AG43" s="711"/>
    </row>
    <row r="44" spans="2:33" s="710" customFormat="1" ht="17.25">
      <c r="B44" s="782" t="s">
        <v>640</v>
      </c>
      <c r="C44" s="783"/>
      <c r="D44" s="716"/>
      <c r="E44" s="782"/>
      <c r="F44" s="784"/>
      <c r="G44" s="784"/>
      <c r="H44" s="784"/>
      <c r="I44" s="784"/>
      <c r="J44" s="784"/>
      <c r="K44" s="784"/>
      <c r="L44" s="784"/>
      <c r="M44" s="785"/>
      <c r="N44" s="781"/>
      <c r="V44" s="711"/>
      <c r="W44" s="711"/>
      <c r="X44" s="711"/>
      <c r="Y44" s="711"/>
      <c r="Z44" s="711"/>
      <c r="AA44" s="711"/>
      <c r="AB44" s="711"/>
      <c r="AC44" s="711"/>
      <c r="AD44" s="711"/>
      <c r="AE44" s="711"/>
      <c r="AF44" s="711"/>
      <c r="AG44" s="711"/>
    </row>
    <row r="45" spans="2:33" s="710" customFormat="1" ht="15.75" thickBot="1">
      <c r="B45" s="718" t="s">
        <v>641</v>
      </c>
      <c r="C45" s="786"/>
      <c r="D45" s="779"/>
      <c r="E45" s="718"/>
      <c r="F45" s="780"/>
      <c r="G45" s="780"/>
      <c r="H45" s="780"/>
      <c r="I45" s="780"/>
      <c r="J45" s="780"/>
      <c r="K45" s="780"/>
      <c r="L45" s="780"/>
      <c r="M45" s="780"/>
      <c r="N45" s="781"/>
      <c r="V45" s="711"/>
      <c r="W45" s="711"/>
      <c r="X45" s="711"/>
      <c r="Y45" s="711"/>
      <c r="Z45" s="711"/>
      <c r="AA45" s="711"/>
      <c r="AB45" s="711"/>
      <c r="AC45" s="711"/>
      <c r="AD45" s="711"/>
      <c r="AE45" s="711"/>
      <c r="AF45" s="711"/>
      <c r="AG45" s="711"/>
    </row>
    <row r="46" spans="2:33" s="710" customFormat="1" ht="18" thickTop="1">
      <c r="B46" s="741" t="s">
        <v>631</v>
      </c>
      <c r="C46" s="754" t="s">
        <v>614</v>
      </c>
      <c r="D46" s="814">
        <f>(D35*0.4535924)*24</f>
        <v>0.32528018188800006</v>
      </c>
      <c r="E46" s="814">
        <f t="shared" ref="E46:M46" si="6">(E35*0.4535924)*24</f>
        <v>0.15345865502015998</v>
      </c>
      <c r="F46" s="814">
        <f t="shared" si="6"/>
        <v>0.11321775166176001</v>
      </c>
      <c r="G46" s="814">
        <f t="shared" si="6"/>
        <v>0.37799124750720003</v>
      </c>
      <c r="H46" s="814">
        <f t="shared" si="6"/>
        <v>0.70197379225727996</v>
      </c>
      <c r="I46" s="814">
        <f t="shared" si="6"/>
        <v>5.72746442406432</v>
      </c>
      <c r="J46" s="814">
        <f t="shared" si="6"/>
        <v>1.06155753442464</v>
      </c>
      <c r="K46" s="814">
        <f t="shared" si="6"/>
        <v>1.6024251037977604</v>
      </c>
      <c r="L46" s="814">
        <f t="shared" si="6"/>
        <v>0.29566422690719996</v>
      </c>
      <c r="M46" s="814">
        <f t="shared" si="6"/>
        <v>10.359032917528321</v>
      </c>
      <c r="N46" s="781"/>
      <c r="V46" s="711"/>
      <c r="W46" s="711"/>
      <c r="X46" s="711"/>
      <c r="Y46" s="711"/>
      <c r="Z46" s="711"/>
      <c r="AA46" s="711"/>
      <c r="AB46" s="711"/>
      <c r="AC46" s="711"/>
      <c r="AD46" s="711"/>
      <c r="AE46" s="711"/>
      <c r="AF46" s="711"/>
      <c r="AG46" s="711"/>
    </row>
    <row r="47" spans="2:33" s="710" customFormat="1">
      <c r="B47" s="723" t="s">
        <v>632</v>
      </c>
      <c r="C47" s="739" t="s">
        <v>616</v>
      </c>
      <c r="D47" s="814">
        <f t="shared" ref="D47:M54" si="7">(D36*0.4535924)*24</f>
        <v>2.2629773774294363E-5</v>
      </c>
      <c r="E47" s="814">
        <f t="shared" si="7"/>
        <v>8.7674381059052326E-17</v>
      </c>
      <c r="F47" s="814">
        <f t="shared" si="7"/>
        <v>0</v>
      </c>
      <c r="G47" s="814">
        <f t="shared" si="7"/>
        <v>4.4777091936771857E-4</v>
      </c>
      <c r="H47" s="814">
        <f t="shared" si="7"/>
        <v>0.14788443233390899</v>
      </c>
      <c r="I47" s="814">
        <f t="shared" si="7"/>
        <v>1.5692103169017031E-4</v>
      </c>
      <c r="J47" s="814">
        <f t="shared" si="7"/>
        <v>0</v>
      </c>
      <c r="K47" s="814">
        <f t="shared" si="7"/>
        <v>1.8982433235620554E-3</v>
      </c>
      <c r="L47" s="814">
        <f t="shared" si="7"/>
        <v>3.5024578896859489E-4</v>
      </c>
      <c r="M47" s="814">
        <f t="shared" si="7"/>
        <v>0.1507602431712719</v>
      </c>
      <c r="N47" s="781"/>
      <c r="V47" s="711"/>
      <c r="W47" s="711"/>
      <c r="X47" s="711"/>
      <c r="Y47" s="711"/>
      <c r="Z47" s="711"/>
      <c r="AA47" s="711"/>
      <c r="AB47" s="711"/>
      <c r="AC47" s="711"/>
      <c r="AD47" s="711"/>
      <c r="AE47" s="711"/>
      <c r="AF47" s="711"/>
      <c r="AG47" s="711"/>
    </row>
    <row r="48" spans="2:33" s="710" customFormat="1">
      <c r="B48" s="730" t="s">
        <v>633</v>
      </c>
      <c r="C48" s="734">
        <v>2148878</v>
      </c>
      <c r="D48" s="814">
        <f t="shared" si="7"/>
        <v>1.0173337734601135E-3</v>
      </c>
      <c r="E48" s="814">
        <f t="shared" si="7"/>
        <v>5.3369599706911977E-11</v>
      </c>
      <c r="F48" s="814">
        <f t="shared" si="7"/>
        <v>0</v>
      </c>
      <c r="G48" s="814">
        <f t="shared" si="7"/>
        <v>8.19424578355332E-6</v>
      </c>
      <c r="H48" s="814">
        <f t="shared" si="7"/>
        <v>7.1918983855711758E-9</v>
      </c>
      <c r="I48" s="814">
        <f t="shared" si="7"/>
        <v>1.2062664393366102E-6</v>
      </c>
      <c r="J48" s="814">
        <f t="shared" si="7"/>
        <v>0</v>
      </c>
      <c r="K48" s="814">
        <f t="shared" si="7"/>
        <v>3.4738013741983996E-5</v>
      </c>
      <c r="L48" s="814">
        <f t="shared" si="7"/>
        <v>4.9137729682698203E-5</v>
      </c>
      <c r="M48" s="814">
        <f t="shared" si="7"/>
        <v>1.110617274375671E-3</v>
      </c>
      <c r="N48" s="781"/>
      <c r="V48" s="711"/>
      <c r="W48" s="711"/>
      <c r="X48" s="711"/>
      <c r="Y48" s="711"/>
      <c r="Z48" s="711"/>
      <c r="AA48" s="711"/>
      <c r="AB48" s="711"/>
      <c r="AC48" s="711"/>
      <c r="AD48" s="711"/>
      <c r="AE48" s="711"/>
      <c r="AF48" s="711"/>
      <c r="AG48" s="711"/>
    </row>
    <row r="49" spans="2:33" s="710" customFormat="1">
      <c r="B49" s="723" t="s">
        <v>221</v>
      </c>
      <c r="C49" s="739" t="s">
        <v>619</v>
      </c>
      <c r="D49" s="814">
        <f t="shared" si="7"/>
        <v>1.3130409357709665E-6</v>
      </c>
      <c r="E49" s="814">
        <f t="shared" si="7"/>
        <v>6.1945826155251002E-7</v>
      </c>
      <c r="F49" s="814">
        <f t="shared" si="7"/>
        <v>0</v>
      </c>
      <c r="G49" s="814">
        <f t="shared" si="7"/>
        <v>1.5258168464471048E-6</v>
      </c>
      <c r="H49" s="814">
        <f t="shared" si="7"/>
        <v>2.8336196804930406E-6</v>
      </c>
      <c r="I49" s="814">
        <f t="shared" si="7"/>
        <v>2.3119746193322484E-5</v>
      </c>
      <c r="J49" s="814">
        <f t="shared" si="7"/>
        <v>0</v>
      </c>
      <c r="K49" s="814">
        <f t="shared" si="7"/>
        <v>6.468422839599746E-6</v>
      </c>
      <c r="L49" s="814">
        <f t="shared" si="7"/>
        <v>1.1934918104106948E-6</v>
      </c>
      <c r="M49" s="814">
        <f t="shared" si="7"/>
        <v>3.707359656759654E-5</v>
      </c>
      <c r="N49" s="781"/>
      <c r="V49" s="711"/>
      <c r="W49" s="711"/>
      <c r="X49" s="711"/>
      <c r="Y49" s="711"/>
      <c r="Z49" s="711"/>
      <c r="AA49" s="711"/>
      <c r="AB49" s="711"/>
      <c r="AC49" s="711"/>
      <c r="AD49" s="711"/>
      <c r="AE49" s="711"/>
      <c r="AF49" s="711"/>
      <c r="AG49" s="711"/>
    </row>
    <row r="50" spans="2:33" s="710" customFormat="1">
      <c r="B50" s="723" t="s">
        <v>634</v>
      </c>
      <c r="C50" s="728" t="s">
        <v>621</v>
      </c>
      <c r="D50" s="814">
        <f t="shared" si="7"/>
        <v>6.3448957970140667E-8</v>
      </c>
      <c r="E50" s="814">
        <f t="shared" si="7"/>
        <v>2.9933553578376326E-8</v>
      </c>
      <c r="F50" s="814">
        <f t="shared" si="7"/>
        <v>0</v>
      </c>
      <c r="G50" s="814">
        <f t="shared" si="7"/>
        <v>7.3730746942410437E-8</v>
      </c>
      <c r="H50" s="814">
        <f t="shared" si="7"/>
        <v>1.3692658858758316E-7</v>
      </c>
      <c r="I50" s="814">
        <f t="shared" si="7"/>
        <v>1.1171957892075294E-6</v>
      </c>
      <c r="J50" s="814">
        <f t="shared" si="7"/>
        <v>0</v>
      </c>
      <c r="K50" s="814">
        <f t="shared" si="7"/>
        <v>3.1256808352428304E-7</v>
      </c>
      <c r="L50" s="814">
        <f t="shared" si="7"/>
        <v>5.767208748293291E-8</v>
      </c>
      <c r="M50" s="814">
        <f t="shared" si="7"/>
        <v>1.7914758072932557E-6</v>
      </c>
      <c r="N50" s="781"/>
      <c r="V50" s="711"/>
      <c r="W50" s="711"/>
      <c r="X50" s="711"/>
      <c r="Y50" s="711"/>
      <c r="Z50" s="711"/>
      <c r="AA50" s="711"/>
      <c r="AB50" s="711"/>
      <c r="AC50" s="711"/>
      <c r="AD50" s="711"/>
      <c r="AE50" s="711"/>
      <c r="AF50" s="711"/>
      <c r="AG50" s="711"/>
    </row>
    <row r="51" spans="2:33" s="710" customFormat="1">
      <c r="B51" s="723" t="s">
        <v>635</v>
      </c>
      <c r="C51" s="769" t="s">
        <v>623</v>
      </c>
      <c r="D51" s="814">
        <f t="shared" si="7"/>
        <v>4.3444911498999082E-7</v>
      </c>
      <c r="E51" s="814">
        <f t="shared" si="7"/>
        <v>2.0496169325193788E-7</v>
      </c>
      <c r="F51" s="814">
        <f t="shared" si="7"/>
        <v>0</v>
      </c>
      <c r="G51" s="814">
        <f t="shared" si="7"/>
        <v>5.0485080892511593E-7</v>
      </c>
      <c r="H51" s="814">
        <f t="shared" si="7"/>
        <v>9.3756678018997924E-7</v>
      </c>
      <c r="I51" s="814">
        <f t="shared" si="7"/>
        <v>7.6496878344348891E-6</v>
      </c>
      <c r="J51" s="814">
        <f t="shared" si="7"/>
        <v>0</v>
      </c>
      <c r="K51" s="814">
        <f t="shared" si="7"/>
        <v>2.1402231274648822E-6</v>
      </c>
      <c r="L51" s="814">
        <f t="shared" si="7"/>
        <v>3.9489359901508215E-7</v>
      </c>
      <c r="M51" s="814">
        <f t="shared" si="7"/>
        <v>1.2266632958271876E-5</v>
      </c>
      <c r="N51" s="781"/>
      <c r="V51" s="711"/>
      <c r="W51" s="711"/>
      <c r="X51" s="711"/>
      <c r="Y51" s="711"/>
      <c r="Z51" s="711"/>
      <c r="AA51" s="711"/>
      <c r="AB51" s="711"/>
      <c r="AC51" s="711"/>
      <c r="AD51" s="711"/>
      <c r="AE51" s="711"/>
      <c r="AF51" s="711"/>
      <c r="AG51" s="711"/>
    </row>
    <row r="52" spans="2:33" s="710" customFormat="1">
      <c r="B52" s="723" t="s">
        <v>636</v>
      </c>
      <c r="C52" s="769" t="s">
        <v>625</v>
      </c>
      <c r="D52" s="814">
        <f t="shared" si="7"/>
        <v>7.270193100745283E-8</v>
      </c>
      <c r="E52" s="814">
        <f t="shared" si="7"/>
        <v>3.4298863475222866E-8</v>
      </c>
      <c r="F52" s="814">
        <f t="shared" si="7"/>
        <v>0</v>
      </c>
      <c r="G52" s="814">
        <f t="shared" si="7"/>
        <v>8.4483147538178602E-8</v>
      </c>
      <c r="H52" s="814">
        <f t="shared" si="7"/>
        <v>1.5689504942327231E-7</v>
      </c>
      <c r="I52" s="814">
        <f t="shared" si="7"/>
        <v>1.2801201751336271E-6</v>
      </c>
      <c r="J52" s="814">
        <f t="shared" si="7"/>
        <v>0</v>
      </c>
      <c r="K52" s="814">
        <f t="shared" si="7"/>
        <v>3.5815092903824089E-7</v>
      </c>
      <c r="L52" s="814">
        <f t="shared" si="7"/>
        <v>6.6082600240860597E-8</v>
      </c>
      <c r="M52" s="814">
        <f t="shared" si="7"/>
        <v>2.0527326958568551E-6</v>
      </c>
      <c r="N52" s="781"/>
      <c r="V52" s="711"/>
      <c r="W52" s="711"/>
      <c r="X52" s="711"/>
      <c r="Y52" s="711"/>
      <c r="Z52" s="711"/>
      <c r="AA52" s="711"/>
      <c r="AB52" s="711"/>
      <c r="AC52" s="711"/>
      <c r="AD52" s="711"/>
      <c r="AE52" s="711"/>
      <c r="AF52" s="711"/>
      <c r="AG52" s="711"/>
    </row>
    <row r="53" spans="2:33" s="710" customFormat="1">
      <c r="B53" s="730" t="s">
        <v>637</v>
      </c>
      <c r="C53" s="770" t="s">
        <v>627</v>
      </c>
      <c r="D53" s="814">
        <f t="shared" si="7"/>
        <v>1.1323876526615379E-6</v>
      </c>
      <c r="E53" s="814">
        <f t="shared" si="7"/>
        <v>5.3423078261407736E-7</v>
      </c>
      <c r="F53" s="814">
        <f t="shared" si="7"/>
        <v>0</v>
      </c>
      <c r="G53" s="814">
        <f t="shared" si="7"/>
        <v>1.3158890252916303E-6</v>
      </c>
      <c r="H53" s="814">
        <f t="shared" si="7"/>
        <v>2.4437592546533932E-6</v>
      </c>
      <c r="I53" s="814">
        <f t="shared" si="7"/>
        <v>1.9938841515717706E-5</v>
      </c>
      <c r="J53" s="814">
        <f t="shared" si="7"/>
        <v>0</v>
      </c>
      <c r="K53" s="814">
        <f t="shared" si="7"/>
        <v>5.5784720462319943E-6</v>
      </c>
      <c r="L53" s="814">
        <f t="shared" si="7"/>
        <v>1.0292865613273438E-6</v>
      </c>
      <c r="M53" s="814">
        <f t="shared" si="7"/>
        <v>3.1972866838497688E-5</v>
      </c>
      <c r="N53" s="781"/>
      <c r="V53" s="711"/>
      <c r="W53" s="711"/>
      <c r="X53" s="711"/>
      <c r="Y53" s="711"/>
      <c r="Z53" s="711"/>
      <c r="AA53" s="711"/>
      <c r="AB53" s="711"/>
      <c r="AC53" s="711"/>
      <c r="AD53" s="711"/>
      <c r="AE53" s="711"/>
      <c r="AF53" s="711"/>
      <c r="AG53" s="711"/>
    </row>
    <row r="54" spans="2:33" s="710" customFormat="1">
      <c r="B54" s="730" t="s">
        <v>638</v>
      </c>
      <c r="C54" s="734" t="s">
        <v>639</v>
      </c>
      <c r="D54" s="814">
        <f t="shared" si="7"/>
        <v>3.0160285924000884E-6</v>
      </c>
      <c r="E54" s="814">
        <f t="shared" si="7"/>
        <v>1.4228831544721248E-6</v>
      </c>
      <c r="F54" s="814">
        <f t="shared" si="7"/>
        <v>0</v>
      </c>
      <c r="G54" s="814">
        <f t="shared" si="7"/>
        <v>3.5047705751444407E-6</v>
      </c>
      <c r="H54" s="814">
        <f t="shared" si="7"/>
        <v>6.508767353347269E-6</v>
      </c>
      <c r="I54" s="814">
        <f t="shared" si="7"/>
        <v>5.3105591507816226E-5</v>
      </c>
      <c r="J54" s="814">
        <f t="shared" si="7"/>
        <v>0</v>
      </c>
      <c r="K54" s="814">
        <f t="shared" si="7"/>
        <v>1.4857837025859147E-5</v>
      </c>
      <c r="L54" s="814">
        <f t="shared" si="7"/>
        <v>2.7414266584769139E-6</v>
      </c>
      <c r="M54" s="814">
        <f t="shared" si="7"/>
        <v>8.5157304867516226E-5</v>
      </c>
      <c r="N54" s="781"/>
      <c r="V54" s="711"/>
      <c r="W54" s="711"/>
      <c r="X54" s="711"/>
      <c r="Y54" s="711"/>
      <c r="Z54" s="711"/>
      <c r="AA54" s="711"/>
      <c r="AB54" s="711"/>
      <c r="AC54" s="711"/>
      <c r="AD54" s="711"/>
      <c r="AE54" s="711"/>
      <c r="AF54" s="711"/>
      <c r="AG54" s="711"/>
    </row>
    <row r="55" spans="2:33" s="710" customFormat="1">
      <c r="B55" s="723"/>
      <c r="C55" s="787"/>
      <c r="D55" s="815"/>
      <c r="E55" s="816"/>
      <c r="F55" s="816"/>
      <c r="G55" s="816"/>
      <c r="H55" s="816"/>
      <c r="I55" s="816"/>
      <c r="J55" s="816"/>
      <c r="K55" s="816"/>
      <c r="L55" s="816"/>
      <c r="M55" s="817"/>
      <c r="N55" s="781" t="s">
        <v>1296</v>
      </c>
      <c r="V55" s="711"/>
      <c r="W55" s="711"/>
      <c r="X55" s="711"/>
      <c r="Y55" s="711"/>
      <c r="Z55" s="711"/>
      <c r="AA55" s="711"/>
      <c r="AB55" s="711"/>
      <c r="AC55" s="711"/>
      <c r="AD55" s="711"/>
      <c r="AE55" s="711"/>
      <c r="AF55" s="711"/>
      <c r="AG55" s="711"/>
    </row>
    <row r="56" spans="2:33" s="710" customFormat="1" ht="18" thickBot="1">
      <c r="B56" s="782" t="s">
        <v>642</v>
      </c>
      <c r="C56" s="783"/>
      <c r="D56" s="716"/>
      <c r="E56" s="782"/>
      <c r="F56" s="784"/>
      <c r="G56" s="784"/>
      <c r="H56" s="784"/>
      <c r="I56" s="784"/>
      <c r="J56" s="784"/>
      <c r="K56" s="784"/>
      <c r="L56" s="784"/>
      <c r="M56" s="785"/>
      <c r="N56" s="781" t="s">
        <v>1297</v>
      </c>
      <c r="V56" s="711"/>
      <c r="W56" s="711"/>
      <c r="X56" s="711"/>
      <c r="Y56" s="711"/>
      <c r="Z56" s="711"/>
      <c r="AA56" s="711"/>
      <c r="AB56" s="711"/>
      <c r="AC56" s="711"/>
      <c r="AD56" s="711"/>
      <c r="AE56" s="711"/>
      <c r="AF56" s="711"/>
      <c r="AG56" s="711"/>
    </row>
    <row r="57" spans="2:33" s="710" customFormat="1" ht="15.75" thickBot="1">
      <c r="B57" s="718" t="s">
        <v>643</v>
      </c>
      <c r="C57" s="786"/>
      <c r="D57" s="779"/>
      <c r="E57" s="718"/>
      <c r="F57" s="780"/>
      <c r="G57" s="780"/>
      <c r="H57" s="780"/>
      <c r="I57" s="780"/>
      <c r="J57" s="780"/>
      <c r="K57" s="780"/>
      <c r="L57" s="780"/>
      <c r="M57" s="788"/>
      <c r="N57" s="789" t="s">
        <v>662</v>
      </c>
      <c r="V57" s="711"/>
      <c r="W57" s="711"/>
      <c r="X57" s="711"/>
      <c r="Y57" s="711"/>
      <c r="Z57" s="711"/>
      <c r="AA57" s="711"/>
      <c r="AB57" s="711"/>
      <c r="AC57" s="711"/>
      <c r="AD57" s="711"/>
      <c r="AE57" s="711"/>
      <c r="AF57" s="711"/>
      <c r="AG57" s="711"/>
    </row>
    <row r="58" spans="2:33" s="710" customFormat="1" ht="18.75" thickTop="1" thickBot="1">
      <c r="B58" s="741" t="s">
        <v>631</v>
      </c>
      <c r="C58" s="754" t="s">
        <v>614</v>
      </c>
      <c r="D58" s="814">
        <f>D35*8760/2000</f>
        <v>0.1308744</v>
      </c>
      <c r="E58" s="814">
        <f t="shared" ref="E58:L58" si="8">E35*8760/2000</f>
        <v>6.1743107999999998E-2</v>
      </c>
      <c r="F58" s="814">
        <f t="shared" si="8"/>
        <v>4.5552438000000001E-2</v>
      </c>
      <c r="G58" s="814">
        <f t="shared" si="8"/>
        <v>0.15208236000000003</v>
      </c>
      <c r="H58" s="814">
        <f t="shared" si="8"/>
        <v>0.28243466399999995</v>
      </c>
      <c r="I58" s="814">
        <f t="shared" si="8"/>
        <v>2.3044086659999996</v>
      </c>
      <c r="J58" s="814">
        <f t="shared" si="8"/>
        <v>0.42711088200000003</v>
      </c>
      <c r="K58" s="814">
        <f t="shared" si="8"/>
        <v>0.64472548800000007</v>
      </c>
      <c r="L58" s="814">
        <f t="shared" si="8"/>
        <v>0.11895860999999999</v>
      </c>
      <c r="M58" s="814">
        <f t="shared" ref="M58:M66" si="9">SUM(D58:L58)</f>
        <v>4.1678906159999993</v>
      </c>
      <c r="N58" s="790">
        <f>IF(scenario="B",2,1)*M58*tonneperton</f>
        <v>7.5621711258278141</v>
      </c>
      <c r="V58" s="711"/>
      <c r="W58" s="711"/>
      <c r="X58" s="711"/>
      <c r="Y58" s="711"/>
      <c r="Z58" s="711"/>
      <c r="AA58" s="711"/>
      <c r="AB58" s="711"/>
      <c r="AC58" s="711"/>
      <c r="AD58" s="711"/>
      <c r="AE58" s="711"/>
      <c r="AF58" s="711"/>
      <c r="AG58" s="711"/>
    </row>
    <row r="59" spans="2:33" s="710" customFormat="1">
      <c r="B59" s="723" t="s">
        <v>632</v>
      </c>
      <c r="C59" s="739" t="s">
        <v>616</v>
      </c>
      <c r="D59" s="814">
        <f t="shared" ref="D59:L65" si="10">D36*8760/2000</f>
        <v>9.1049446900096223E-6</v>
      </c>
      <c r="E59" s="814">
        <f t="shared" si="10"/>
        <v>3.5275226267629371E-17</v>
      </c>
      <c r="F59" s="814">
        <f t="shared" si="10"/>
        <v>0</v>
      </c>
      <c r="G59" s="814">
        <f t="shared" si="10"/>
        <v>1.8015776451415111E-4</v>
      </c>
      <c r="H59" s="814">
        <f t="shared" si="10"/>
        <v>5.9500355166749688E-2</v>
      </c>
      <c r="I59" s="814">
        <f t="shared" si="10"/>
        <v>6.3136173100466578E-5</v>
      </c>
      <c r="J59" s="814">
        <f t="shared" si="10"/>
        <v>0</v>
      </c>
      <c r="K59" s="814">
        <f t="shared" si="10"/>
        <v>7.6374605604078707E-4</v>
      </c>
      <c r="L59" s="814">
        <f t="shared" si="10"/>
        <v>1.4091915227585066E-4</v>
      </c>
      <c r="M59" s="814">
        <f t="shared" si="9"/>
        <v>6.065741925737099E-2</v>
      </c>
      <c r="V59" s="711"/>
      <c r="W59" s="711"/>
      <c r="X59" s="711"/>
      <c r="Y59" s="711"/>
      <c r="Z59" s="711"/>
      <c r="AA59" s="711"/>
      <c r="AB59" s="711"/>
      <c r="AC59" s="711"/>
      <c r="AD59" s="711"/>
      <c r="AE59" s="711"/>
      <c r="AF59" s="711"/>
      <c r="AG59" s="711"/>
    </row>
    <row r="60" spans="2:33" s="710" customFormat="1">
      <c r="B60" s="730" t="s">
        <v>633</v>
      </c>
      <c r="C60" s="734">
        <v>2148878</v>
      </c>
      <c r="D60" s="814">
        <f t="shared" si="10"/>
        <v>4.0931773472498818E-4</v>
      </c>
      <c r="E60" s="814">
        <f t="shared" si="10"/>
        <v>2.1472916976808775E-11</v>
      </c>
      <c r="F60" s="814">
        <f t="shared" si="10"/>
        <v>0</v>
      </c>
      <c r="G60" s="814">
        <f t="shared" si="10"/>
        <v>3.2969023632196682E-6</v>
      </c>
      <c r="H60" s="814">
        <f t="shared" si="10"/>
        <v>2.8936143007835659E-9</v>
      </c>
      <c r="I60" s="814">
        <f t="shared" si="10"/>
        <v>4.8533358402594779E-7</v>
      </c>
      <c r="J60" s="814">
        <f t="shared" si="10"/>
        <v>0</v>
      </c>
      <c r="K60" s="814">
        <f t="shared" si="10"/>
        <v>1.397661757100004E-5</v>
      </c>
      <c r="L60" s="814">
        <f t="shared" si="10"/>
        <v>1.9770251148591604E-5</v>
      </c>
      <c r="M60" s="814">
        <f t="shared" si="9"/>
        <v>4.4684975447904324E-4</v>
      </c>
      <c r="V60" s="711"/>
      <c r="W60" s="711"/>
      <c r="X60" s="711"/>
      <c r="Y60" s="711"/>
      <c r="Z60" s="711"/>
      <c r="AA60" s="711"/>
      <c r="AB60" s="711"/>
      <c r="AC60" s="711"/>
      <c r="AD60" s="711"/>
      <c r="AE60" s="711"/>
      <c r="AF60" s="711"/>
      <c r="AG60" s="711"/>
    </row>
    <row r="61" spans="2:33" s="710" customFormat="1">
      <c r="B61" s="723" t="s">
        <v>221</v>
      </c>
      <c r="C61" s="739" t="s">
        <v>619</v>
      </c>
      <c r="D61" s="814">
        <f t="shared" si="10"/>
        <v>5.2829361950994192E-7</v>
      </c>
      <c r="E61" s="814">
        <f t="shared" si="10"/>
        <v>2.4923506816545669E-7</v>
      </c>
      <c r="F61" s="814">
        <f t="shared" si="10"/>
        <v>0</v>
      </c>
      <c r="G61" s="814">
        <f t="shared" si="10"/>
        <v>6.1390264580402286E-7</v>
      </c>
      <c r="H61" s="814">
        <f t="shared" si="10"/>
        <v>1.1400887485989179E-6</v>
      </c>
      <c r="I61" s="814">
        <f t="shared" si="10"/>
        <v>9.302081957901747E-6</v>
      </c>
      <c r="J61" s="814">
        <f t="shared" si="10"/>
        <v>0</v>
      </c>
      <c r="K61" s="814">
        <f t="shared" si="10"/>
        <v>2.6025285437475442E-6</v>
      </c>
      <c r="L61" s="814">
        <f t="shared" si="10"/>
        <v>4.8019379381125386E-7</v>
      </c>
      <c r="M61" s="814">
        <f t="shared" si="9"/>
        <v>1.4916324377538885E-5</v>
      </c>
      <c r="V61" s="711"/>
      <c r="W61" s="711"/>
      <c r="X61" s="711"/>
      <c r="Y61" s="711"/>
      <c r="Z61" s="711"/>
      <c r="AA61" s="711"/>
      <c r="AB61" s="711"/>
      <c r="AC61" s="711"/>
      <c r="AD61" s="711"/>
      <c r="AE61" s="711"/>
      <c r="AF61" s="711"/>
      <c r="AG61" s="711"/>
    </row>
    <row r="62" spans="2:33" s="710" customFormat="1">
      <c r="B62" s="723" t="s">
        <v>634</v>
      </c>
      <c r="C62" s="728" t="s">
        <v>621</v>
      </c>
      <c r="D62" s="814">
        <f t="shared" si="10"/>
        <v>2.5528282285044172E-8</v>
      </c>
      <c r="E62" s="814">
        <f t="shared" si="10"/>
        <v>1.2043573763699922E-8</v>
      </c>
      <c r="F62" s="814">
        <f t="shared" si="10"/>
        <v>0</v>
      </c>
      <c r="G62" s="814">
        <f t="shared" si="10"/>
        <v>2.9665094293885669E-8</v>
      </c>
      <c r="H62" s="814">
        <f t="shared" si="10"/>
        <v>5.5091536845048394E-8</v>
      </c>
      <c r="I62" s="814">
        <f t="shared" si="10"/>
        <v>4.4949657783149388E-7</v>
      </c>
      <c r="J62" s="814">
        <f t="shared" si="10"/>
        <v>0</v>
      </c>
      <c r="K62" s="814">
        <f t="shared" si="10"/>
        <v>1.2575976855692831E-7</v>
      </c>
      <c r="L62" s="814">
        <f t="shared" si="10"/>
        <v>2.3203995405644484E-8</v>
      </c>
      <c r="M62" s="814">
        <f t="shared" si="9"/>
        <v>7.2078882898174472E-7</v>
      </c>
      <c r="V62" s="711"/>
      <c r="W62" s="711"/>
      <c r="X62" s="711"/>
      <c r="Y62" s="711"/>
      <c r="Z62" s="711"/>
      <c r="AA62" s="711"/>
      <c r="AB62" s="711"/>
      <c r="AC62" s="711"/>
      <c r="AD62" s="711"/>
      <c r="AE62" s="711"/>
      <c r="AF62" s="711"/>
      <c r="AG62" s="711"/>
    </row>
    <row r="63" spans="2:33" s="710" customFormat="1">
      <c r="B63" s="723" t="s">
        <v>635</v>
      </c>
      <c r="C63" s="769" t="s">
        <v>623</v>
      </c>
      <c r="D63" s="814">
        <f t="shared" si="10"/>
        <v>1.7479782175731632E-7</v>
      </c>
      <c r="E63" s="814">
        <f t="shared" si="10"/>
        <v>8.2465025909778609E-8</v>
      </c>
      <c r="F63" s="814">
        <f t="shared" si="10"/>
        <v>0</v>
      </c>
      <c r="G63" s="814">
        <f t="shared" si="10"/>
        <v>2.0312349287341156E-7</v>
      </c>
      <c r="H63" s="814">
        <f t="shared" si="10"/>
        <v>3.7722399534178968E-7</v>
      </c>
      <c r="I63" s="814">
        <f t="shared" si="10"/>
        <v>3.0778029565406456E-6</v>
      </c>
      <c r="J63" s="814">
        <f t="shared" si="10"/>
        <v>0</v>
      </c>
      <c r="K63" s="814">
        <f t="shared" si="10"/>
        <v>8.6110508192452302E-7</v>
      </c>
      <c r="L63" s="814">
        <f t="shared" si="10"/>
        <v>1.5888291298587124E-7</v>
      </c>
      <c r="M63" s="814">
        <f t="shared" si="9"/>
        <v>4.9354012873333357E-6</v>
      </c>
      <c r="V63" s="711"/>
      <c r="W63" s="711"/>
      <c r="X63" s="711"/>
      <c r="Y63" s="711"/>
      <c r="Z63" s="711"/>
      <c r="AA63" s="711"/>
      <c r="AB63" s="711"/>
      <c r="AC63" s="711"/>
      <c r="AD63" s="711"/>
      <c r="AE63" s="711"/>
      <c r="AF63" s="711"/>
      <c r="AG63" s="711"/>
    </row>
    <row r="64" spans="2:33" s="710" customFormat="1">
      <c r="B64" s="723" t="s">
        <v>636</v>
      </c>
      <c r="C64" s="769" t="s">
        <v>625</v>
      </c>
      <c r="D64" s="814">
        <f t="shared" si="10"/>
        <v>2.925115678494644E-8</v>
      </c>
      <c r="E64" s="814">
        <f t="shared" si="10"/>
        <v>1.3799928270906153E-8</v>
      </c>
      <c r="F64" s="814">
        <f t="shared" si="10"/>
        <v>0</v>
      </c>
      <c r="G64" s="814">
        <f t="shared" si="10"/>
        <v>3.3991253878410649E-8</v>
      </c>
      <c r="H64" s="814">
        <f t="shared" si="10"/>
        <v>6.3125719301617916E-8</v>
      </c>
      <c r="I64" s="814">
        <f t="shared" si="10"/>
        <v>5.1504816209858653E-7</v>
      </c>
      <c r="J64" s="814">
        <f t="shared" si="10"/>
        <v>0</v>
      </c>
      <c r="K64" s="814">
        <f t="shared" si="10"/>
        <v>1.4409973480481364E-7</v>
      </c>
      <c r="L64" s="814">
        <f t="shared" si="10"/>
        <v>2.6587911402300963E-8</v>
      </c>
      <c r="M64" s="814">
        <f t="shared" si="9"/>
        <v>8.2590386654158233E-7</v>
      </c>
      <c r="V64" s="711"/>
      <c r="W64" s="711"/>
      <c r="X64" s="711"/>
      <c r="Y64" s="711"/>
      <c r="Z64" s="711"/>
      <c r="AA64" s="711"/>
      <c r="AB64" s="711"/>
      <c r="AC64" s="711"/>
      <c r="AD64" s="711"/>
      <c r="AE64" s="711"/>
      <c r="AF64" s="711"/>
      <c r="AG64" s="711"/>
    </row>
    <row r="65" spans="2:33" s="710" customFormat="1">
      <c r="B65" s="730" t="s">
        <v>637</v>
      </c>
      <c r="C65" s="770" t="s">
        <v>627</v>
      </c>
      <c r="D65" s="814">
        <f t="shared" si="10"/>
        <v>4.5560892689280212E-7</v>
      </c>
      <c r="E65" s="814">
        <f t="shared" si="10"/>
        <v>2.1494433731047768E-7</v>
      </c>
      <c r="F65" s="814">
        <f t="shared" si="10"/>
        <v>0</v>
      </c>
      <c r="G65" s="814">
        <f t="shared" si="10"/>
        <v>5.2943953010615377E-7</v>
      </c>
      <c r="H65" s="814">
        <f t="shared" si="10"/>
        <v>9.8323090063732181E-7</v>
      </c>
      <c r="I65" s="814">
        <f t="shared" si="10"/>
        <v>8.0222653126870765E-6</v>
      </c>
      <c r="J65" s="814">
        <f t="shared" si="10"/>
        <v>0</v>
      </c>
      <c r="K65" s="814">
        <f t="shared" si="10"/>
        <v>2.2444625360507338E-6</v>
      </c>
      <c r="L65" s="814">
        <f t="shared" si="10"/>
        <v>4.1412686244796043E-7</v>
      </c>
      <c r="M65" s="814">
        <f t="shared" si="9"/>
        <v>1.2864078406132528E-5</v>
      </c>
      <c r="V65" s="711"/>
      <c r="W65" s="711"/>
      <c r="X65" s="711"/>
      <c r="Y65" s="711"/>
      <c r="Z65" s="711"/>
      <c r="AA65" s="711"/>
      <c r="AB65" s="711"/>
      <c r="AC65" s="711"/>
      <c r="AD65" s="711"/>
      <c r="AE65" s="711"/>
      <c r="AF65" s="711"/>
      <c r="AG65" s="711"/>
    </row>
    <row r="66" spans="2:33">
      <c r="B66" s="730" t="s">
        <v>638</v>
      </c>
      <c r="C66" s="734" t="s">
        <v>639</v>
      </c>
      <c r="D66" s="814">
        <f t="shared" ref="D66:L66" si="11">SUM(D61:D65)</f>
        <v>1.213479807230051E-6</v>
      </c>
      <c r="E66" s="814">
        <f t="shared" si="11"/>
        <v>5.7248793342031901E-7</v>
      </c>
      <c r="F66" s="814">
        <f t="shared" si="11"/>
        <v>0</v>
      </c>
      <c r="G66" s="814">
        <f t="shared" si="11"/>
        <v>1.4101220169558844E-6</v>
      </c>
      <c r="H66" s="814">
        <f t="shared" si="11"/>
        <v>2.6187609007246958E-6</v>
      </c>
      <c r="I66" s="814">
        <f t="shared" si="11"/>
        <v>2.1366694967059549E-5</v>
      </c>
      <c r="J66" s="814">
        <f t="shared" si="11"/>
        <v>0</v>
      </c>
      <c r="K66" s="814">
        <f t="shared" si="11"/>
        <v>5.977955665084543E-6</v>
      </c>
      <c r="L66" s="814">
        <f t="shared" si="11"/>
        <v>1.1029954760530308E-6</v>
      </c>
      <c r="M66" s="814">
        <f t="shared" si="9"/>
        <v>3.4262496766528078E-5</v>
      </c>
      <c r="V66" s="711"/>
    </row>
    <row r="67" spans="2:33">
      <c r="V67" s="711"/>
    </row>
    <row r="68" spans="2:33">
      <c r="B68" s="791" t="s">
        <v>644</v>
      </c>
      <c r="C68" s="791"/>
      <c r="D68" s="792"/>
      <c r="E68" s="792"/>
      <c r="F68" s="791"/>
    </row>
    <row r="69" spans="2:33" ht="17.25">
      <c r="B69" s="1969" t="s">
        <v>645</v>
      </c>
      <c r="C69" s="1969"/>
      <c r="D69" s="1969"/>
      <c r="E69" s="1969"/>
      <c r="F69" s="1969"/>
      <c r="G69" s="1969"/>
      <c r="H69" s="1969"/>
      <c r="I69" s="1969"/>
      <c r="J69" s="1969"/>
      <c r="K69" s="1969"/>
      <c r="L69" s="1969"/>
      <c r="M69" s="1969"/>
      <c r="O69" s="720"/>
    </row>
    <row r="70" spans="2:33" ht="17.25">
      <c r="B70" s="1970" t="s">
        <v>646</v>
      </c>
      <c r="C70" s="1970"/>
      <c r="D70" s="1970"/>
      <c r="E70" s="1970"/>
      <c r="F70" s="1970"/>
      <c r="G70" s="1970"/>
      <c r="H70" s="1970"/>
      <c r="I70" s="1970"/>
      <c r="J70" s="1970"/>
      <c r="K70" s="1970"/>
      <c r="L70" s="1970"/>
      <c r="M70" s="1970"/>
      <c r="N70" s="792"/>
      <c r="O70" s="720"/>
      <c r="P70" s="792"/>
      <c r="Q70" s="792"/>
      <c r="R70" s="792"/>
    </row>
    <row r="71" spans="2:33">
      <c r="B71" s="793"/>
      <c r="C71" s="794" t="s">
        <v>647</v>
      </c>
      <c r="D71" s="795">
        <v>8760</v>
      </c>
      <c r="E71" s="793"/>
      <c r="F71" s="793"/>
      <c r="G71" s="793"/>
      <c r="H71" s="793"/>
      <c r="I71" s="793"/>
      <c r="J71" s="793"/>
      <c r="K71" s="793"/>
      <c r="L71" s="793"/>
    </row>
    <row r="72" spans="2:33" ht="17.25">
      <c r="B72" s="1970" t="s">
        <v>648</v>
      </c>
      <c r="C72" s="1970"/>
      <c r="D72" s="1970"/>
      <c r="E72" s="1970"/>
      <c r="F72" s="1970"/>
      <c r="G72" s="1970"/>
      <c r="H72" s="1970"/>
      <c r="I72" s="1970"/>
      <c r="J72" s="1970"/>
      <c r="K72" s="1970"/>
      <c r="L72" s="1970"/>
      <c r="M72" s="1970"/>
      <c r="O72" s="720"/>
    </row>
    <row r="73" spans="2:33" ht="17.25">
      <c r="C73" s="796" t="s">
        <v>649</v>
      </c>
      <c r="D73" s="797">
        <f>' Gas Data Fugitives'!$F$11</f>
        <v>2980</v>
      </c>
      <c r="E73" s="798" t="s">
        <v>650</v>
      </c>
      <c r="F73" s="799"/>
      <c r="G73" s="793"/>
      <c r="I73" s="793"/>
      <c r="J73" s="793"/>
      <c r="K73" s="793"/>
      <c r="L73" s="793"/>
      <c r="M73" s="793"/>
    </row>
    <row r="74" spans="2:33" ht="17.25">
      <c r="C74" s="796" t="s">
        <v>651</v>
      </c>
      <c r="D74" s="797">
        <f>' Gas Data Fugitives'!$F$12</f>
        <v>144</v>
      </c>
      <c r="E74" s="798" t="s">
        <v>650</v>
      </c>
      <c r="F74" s="799"/>
      <c r="G74" s="793"/>
      <c r="I74" s="793"/>
      <c r="J74" s="793"/>
      <c r="K74" s="793"/>
      <c r="L74" s="793"/>
      <c r="M74" s="793"/>
    </row>
    <row r="75" spans="2:33" ht="17.25">
      <c r="C75" s="796" t="s">
        <v>652</v>
      </c>
      <c r="D75" s="797">
        <f>' Gas Data Fugitives'!$F$13</f>
        <v>986</v>
      </c>
      <c r="E75" s="798" t="s">
        <v>650</v>
      </c>
      <c r="F75" s="799"/>
      <c r="G75" s="793"/>
      <c r="I75" s="793"/>
      <c r="J75" s="793"/>
      <c r="K75" s="793"/>
      <c r="L75" s="793"/>
      <c r="M75" s="793"/>
    </row>
    <row r="76" spans="2:33" ht="17.25">
      <c r="C76" s="796" t="s">
        <v>653</v>
      </c>
      <c r="D76" s="797">
        <f>' Gas Data Fugitives'!$F$14</f>
        <v>165</v>
      </c>
      <c r="E76" s="798" t="s">
        <v>650</v>
      </c>
      <c r="F76" s="799"/>
      <c r="G76" s="793"/>
      <c r="I76" s="793"/>
      <c r="J76" s="793"/>
      <c r="K76" s="793"/>
      <c r="L76" s="793"/>
      <c r="M76" s="793"/>
    </row>
    <row r="77" spans="2:33" ht="17.25">
      <c r="C77" s="796" t="s">
        <v>654</v>
      </c>
      <c r="D77" s="797">
        <f>' Gas Data Fugitives'!$F$15</f>
        <v>2570</v>
      </c>
      <c r="E77" s="798" t="s">
        <v>650</v>
      </c>
      <c r="F77" s="799"/>
      <c r="G77" s="793"/>
      <c r="I77" s="793"/>
      <c r="J77" s="793"/>
      <c r="K77" s="793"/>
      <c r="L77" s="793"/>
      <c r="M77" s="793"/>
    </row>
    <row r="78" spans="2:33" ht="17.25">
      <c r="C78" s="796" t="s">
        <v>655</v>
      </c>
      <c r="D78" s="800">
        <f>' Gas Data Fugitives'!$B$8</f>
        <v>4.6091924175538819E-2</v>
      </c>
      <c r="E78" s="798" t="s">
        <v>650</v>
      </c>
      <c r="F78" s="792"/>
      <c r="G78" s="801"/>
      <c r="I78" s="793"/>
      <c r="J78" s="793"/>
      <c r="K78" s="793"/>
      <c r="L78" s="793"/>
      <c r="M78" s="793"/>
    </row>
    <row r="79" spans="2:33">
      <c r="C79" s="796"/>
      <c r="D79" s="792"/>
      <c r="E79" s="792"/>
      <c r="F79" s="801"/>
    </row>
    <row r="80" spans="2:33">
      <c r="B80" s="791" t="s">
        <v>584</v>
      </c>
      <c r="C80" s="791"/>
      <c r="D80" s="802"/>
      <c r="E80" s="802"/>
      <c r="F80" s="791"/>
    </row>
    <row r="81" spans="2:22" ht="17.25">
      <c r="B81" s="1971" t="s">
        <v>656</v>
      </c>
      <c r="C81" s="1971"/>
      <c r="D81" s="1971"/>
      <c r="E81" s="1971"/>
      <c r="F81" s="1971"/>
      <c r="G81" s="1971"/>
      <c r="H81" s="1971"/>
      <c r="I81" s="1971"/>
      <c r="J81" s="1971"/>
      <c r="K81" s="1971"/>
      <c r="L81" s="1971"/>
      <c r="M81" s="1971"/>
      <c r="N81" s="1971"/>
    </row>
    <row r="82" spans="2:22" ht="17.25">
      <c r="B82" s="1966" t="s">
        <v>657</v>
      </c>
      <c r="C82" s="1966"/>
      <c r="D82" s="1966"/>
      <c r="E82" s="1966"/>
      <c r="F82" s="1966"/>
      <c r="G82" s="1966"/>
      <c r="H82" s="1966"/>
      <c r="I82" s="1966"/>
      <c r="J82" s="1966"/>
      <c r="K82" s="1966"/>
      <c r="L82" s="1966"/>
      <c r="M82" s="1966"/>
      <c r="N82" s="1966"/>
      <c r="O82" s="720"/>
    </row>
    <row r="83" spans="2:22">
      <c r="B83" s="1966"/>
      <c r="C83" s="1966"/>
      <c r="D83" s="1966"/>
      <c r="E83" s="1966"/>
      <c r="F83" s="1966"/>
      <c r="G83" s="1966"/>
      <c r="H83" s="1966"/>
      <c r="I83" s="1966"/>
      <c r="J83" s="1966"/>
      <c r="K83" s="1966"/>
      <c r="L83" s="1966"/>
      <c r="M83" s="1966"/>
      <c r="N83" s="1966"/>
    </row>
    <row r="84" spans="2:22" ht="17.25">
      <c r="B84" s="1966" t="s">
        <v>658</v>
      </c>
      <c r="C84" s="1966"/>
      <c r="D84" s="1966"/>
      <c r="E84" s="1966"/>
      <c r="F84" s="1966"/>
      <c r="G84" s="1966"/>
      <c r="H84" s="1966"/>
      <c r="I84" s="1966"/>
      <c r="J84" s="1966"/>
      <c r="K84" s="1966"/>
      <c r="L84" s="1966"/>
      <c r="M84" s="1966"/>
      <c r="N84" s="1966"/>
      <c r="O84" s="720"/>
      <c r="P84" s="803"/>
      <c r="Q84" s="803"/>
      <c r="R84" s="803"/>
      <c r="S84" s="803"/>
      <c r="T84" s="803"/>
      <c r="U84" s="803"/>
      <c r="V84" s="804"/>
    </row>
    <row r="85" spans="2:22">
      <c r="B85" s="1966"/>
      <c r="C85" s="1966"/>
      <c r="D85" s="1966"/>
      <c r="E85" s="1966"/>
      <c r="F85" s="1966"/>
      <c r="G85" s="1966"/>
      <c r="H85" s="1966"/>
      <c r="I85" s="1966"/>
      <c r="J85" s="1966"/>
      <c r="K85" s="1966"/>
      <c r="L85" s="1966"/>
      <c r="M85" s="1966"/>
      <c r="N85" s="1966"/>
      <c r="O85" s="803"/>
      <c r="P85" s="803"/>
      <c r="Q85" s="803"/>
      <c r="R85" s="803"/>
      <c r="S85" s="803"/>
      <c r="T85" s="803"/>
      <c r="U85" s="803"/>
      <c r="V85" s="804"/>
    </row>
    <row r="86" spans="2:22" ht="17.25">
      <c r="B86" s="1966" t="s">
        <v>659</v>
      </c>
      <c r="C86" s="1966"/>
      <c r="D86" s="1966"/>
      <c r="E86" s="1966"/>
      <c r="F86" s="1966"/>
      <c r="G86" s="1966"/>
      <c r="H86" s="1966"/>
      <c r="I86" s="1966"/>
      <c r="J86" s="1966"/>
      <c r="K86" s="1966"/>
      <c r="L86" s="1966"/>
      <c r="M86" s="1966"/>
      <c r="N86" s="1966"/>
      <c r="O86" s="720"/>
      <c r="P86" s="803"/>
      <c r="Q86" s="803"/>
      <c r="R86" s="803"/>
      <c r="S86" s="803"/>
      <c r="T86" s="803"/>
      <c r="U86" s="803"/>
      <c r="V86" s="804"/>
    </row>
    <row r="87" spans="2:22" ht="17.25">
      <c r="B87" s="1967" t="s">
        <v>660</v>
      </c>
      <c r="C87" s="1967"/>
      <c r="D87" s="1967"/>
      <c r="E87" s="1967"/>
      <c r="F87" s="1967"/>
      <c r="G87" s="1967"/>
      <c r="H87" s="1967"/>
      <c r="I87" s="1967"/>
      <c r="J87" s="1967"/>
      <c r="K87" s="1967"/>
      <c r="L87" s="1967"/>
      <c r="M87" s="1967"/>
      <c r="N87" s="1967"/>
      <c r="O87" s="720"/>
      <c r="P87" s="803"/>
      <c r="Q87" s="803"/>
      <c r="R87" s="803"/>
      <c r="S87" s="803"/>
      <c r="T87" s="803"/>
      <c r="U87" s="803"/>
    </row>
    <row r="88" spans="2:22" ht="18">
      <c r="B88" s="1968" t="s">
        <v>661</v>
      </c>
      <c r="C88" s="1968"/>
      <c r="D88" s="1968"/>
      <c r="E88" s="1968"/>
      <c r="F88" s="1968"/>
      <c r="G88" s="1968"/>
      <c r="H88" s="1968"/>
      <c r="I88" s="1968"/>
      <c r="J88" s="805"/>
      <c r="K88" s="805"/>
      <c r="L88" s="805"/>
      <c r="M88" s="805"/>
      <c r="N88" s="805"/>
      <c r="O88" s="803"/>
      <c r="P88" s="803"/>
      <c r="Q88" s="803"/>
      <c r="R88" s="803"/>
      <c r="S88" s="803"/>
      <c r="T88" s="803"/>
      <c r="U88" s="803"/>
    </row>
    <row r="89" spans="2:22">
      <c r="D89" s="807"/>
      <c r="E89" s="807"/>
      <c r="F89" s="807"/>
      <c r="G89" s="807"/>
      <c r="H89" s="807"/>
      <c r="I89" s="807"/>
      <c r="J89" s="807"/>
      <c r="K89" s="807"/>
      <c r="L89" s="807"/>
    </row>
  </sheetData>
  <mergeCells count="15">
    <mergeCell ref="B86:N86"/>
    <mergeCell ref="B87:N87"/>
    <mergeCell ref="B88:I88"/>
    <mergeCell ref="B69:M69"/>
    <mergeCell ref="B70:M70"/>
    <mergeCell ref="B72:M72"/>
    <mergeCell ref="B81:N81"/>
    <mergeCell ref="B82:N83"/>
    <mergeCell ref="B84:N85"/>
    <mergeCell ref="B4:B6"/>
    <mergeCell ref="C4:C6"/>
    <mergeCell ref="M4:M6"/>
    <mergeCell ref="N4:N6"/>
    <mergeCell ref="B20:B21"/>
    <mergeCell ref="C20:C21"/>
  </mergeCells>
  <printOptions horizontalCentered="1"/>
  <pageMargins left="0.75" right="0.75" top="1.6" bottom="1" header="0.75" footer="0.5"/>
  <pageSetup paperSize="9" scale="72" fitToHeight="100" orientation="landscape" r:id="rId1"/>
  <rowBreaks count="2" manualBreakCount="2">
    <brk id="30" min="1" max="13" man="1"/>
    <brk id="55" min="1" max="1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2"/>
  </sheetPr>
  <dimension ref="B1:M82"/>
  <sheetViews>
    <sheetView showGridLines="0" workbookViewId="0">
      <selection activeCell="J82" sqref="J82"/>
    </sheetView>
  </sheetViews>
  <sheetFormatPr defaultColWidth="11.42578125" defaultRowHeight="14.25"/>
  <cols>
    <col min="1" max="1" width="11.42578125" style="138" customWidth="1"/>
    <col min="2" max="2" width="38" style="138" customWidth="1"/>
    <col min="3" max="3" width="23.7109375" style="138" customWidth="1"/>
    <col min="4" max="4" width="17" style="138" customWidth="1"/>
    <col min="5" max="5" width="14" style="138" customWidth="1"/>
    <col min="6" max="6" width="11.28515625" style="138" customWidth="1"/>
    <col min="7" max="8" width="11.42578125" style="138"/>
    <col min="9" max="9" width="14" style="138" customWidth="1"/>
    <col min="10" max="16384" width="11.42578125" style="138"/>
  </cols>
  <sheetData>
    <row r="1" spans="2:13" ht="15">
      <c r="B1" s="360" t="s">
        <v>99</v>
      </c>
      <c r="C1" s="360"/>
      <c r="D1" s="351"/>
      <c r="E1" s="352"/>
      <c r="F1" s="352"/>
      <c r="G1" s="353"/>
    </row>
    <row r="2" spans="2:13" ht="15">
      <c r="B2" s="360"/>
      <c r="C2" s="360"/>
      <c r="D2" s="351"/>
      <c r="E2" s="352"/>
      <c r="F2" s="352"/>
      <c r="G2" s="353"/>
    </row>
    <row r="3" spans="2:13" ht="18.75">
      <c r="B3" s="354" t="s">
        <v>100</v>
      </c>
      <c r="C3" s="361"/>
      <c r="D3" s="355"/>
      <c r="E3" s="355"/>
      <c r="F3" s="1344"/>
      <c r="G3" s="353"/>
    </row>
    <row r="4" spans="2:13" ht="15">
      <c r="B4" s="352"/>
      <c r="C4" s="352"/>
      <c r="D4" s="352"/>
      <c r="E4" s="352"/>
      <c r="F4" s="352"/>
      <c r="G4" s="353"/>
    </row>
    <row r="5" spans="2:13" ht="15">
      <c r="B5" s="352"/>
      <c r="C5" s="352"/>
      <c r="D5" s="352"/>
      <c r="E5" s="352"/>
      <c r="F5" s="352"/>
      <c r="G5" s="353"/>
    </row>
    <row r="6" spans="2:13" ht="18.75">
      <c r="B6" s="399" t="s">
        <v>101</v>
      </c>
      <c r="C6" s="356"/>
      <c r="D6" s="357"/>
      <c r="E6" s="357" t="s">
        <v>102</v>
      </c>
      <c r="F6" s="357"/>
      <c r="G6" s="353"/>
      <c r="I6" s="159" t="s">
        <v>203</v>
      </c>
      <c r="J6" s="1972" t="s">
        <v>205</v>
      </c>
      <c r="K6" s="1972"/>
      <c r="L6" s="1972" t="s">
        <v>206</v>
      </c>
      <c r="M6" s="1972"/>
    </row>
    <row r="7" spans="2:13" ht="15.75" thickBot="1">
      <c r="B7" s="362" t="s">
        <v>103</v>
      </c>
      <c r="C7" s="363" t="s">
        <v>104</v>
      </c>
      <c r="D7" s="363" t="s">
        <v>105</v>
      </c>
      <c r="E7" s="363" t="s">
        <v>104</v>
      </c>
      <c r="F7" s="363" t="s">
        <v>106</v>
      </c>
      <c r="G7" s="353"/>
      <c r="I7" s="139" t="s">
        <v>204</v>
      </c>
      <c r="J7" s="160">
        <v>100</v>
      </c>
      <c r="K7" s="160">
        <v>20</v>
      </c>
      <c r="L7" s="160">
        <v>100</v>
      </c>
      <c r="M7" s="160">
        <v>20</v>
      </c>
    </row>
    <row r="8" spans="2:13" ht="15.75" thickTop="1">
      <c r="B8" s="364" t="s">
        <v>107</v>
      </c>
      <c r="C8" s="400">
        <v>1</v>
      </c>
      <c r="D8" s="365">
        <f>C_MW+2*O_MW</f>
        <v>43.998699999999999</v>
      </c>
      <c r="E8" s="366" t="s">
        <v>108</v>
      </c>
      <c r="F8" s="366" t="s">
        <v>109</v>
      </c>
      <c r="G8" s="353"/>
      <c r="I8" s="161" t="s">
        <v>207</v>
      </c>
      <c r="J8" s="401">
        <v>1</v>
      </c>
      <c r="K8" s="401">
        <v>1</v>
      </c>
      <c r="L8" s="401">
        <v>1</v>
      </c>
      <c r="M8" s="401">
        <v>1</v>
      </c>
    </row>
    <row r="9" spans="2:13" ht="15">
      <c r="B9" s="364" t="s">
        <v>110</v>
      </c>
      <c r="C9" s="400">
        <f>IF(Input!$H$28="AR4",L9,J9)</f>
        <v>25</v>
      </c>
      <c r="D9" s="365">
        <f>C_MW+4*H_MW</f>
        <v>16.042000000000002</v>
      </c>
      <c r="E9" s="366" t="s">
        <v>111</v>
      </c>
      <c r="F9" s="366" t="s">
        <v>112</v>
      </c>
      <c r="G9" s="353"/>
      <c r="I9" s="161" t="s">
        <v>208</v>
      </c>
      <c r="J9" s="401">
        <v>30</v>
      </c>
      <c r="K9" s="401">
        <v>85</v>
      </c>
      <c r="L9" s="401">
        <v>25</v>
      </c>
      <c r="M9" s="401">
        <v>72</v>
      </c>
    </row>
    <row r="10" spans="2:13" ht="15">
      <c r="B10" s="364" t="s">
        <v>113</v>
      </c>
      <c r="C10" s="400">
        <f>IF(Input!$H$28="AR4",L10,J10)</f>
        <v>298</v>
      </c>
      <c r="D10" s="365">
        <f>N_MW*2+O_MW</f>
        <v>44.007400000000004</v>
      </c>
      <c r="E10" s="366" t="s">
        <v>114</v>
      </c>
      <c r="F10" s="366" t="s">
        <v>115</v>
      </c>
      <c r="G10" s="353"/>
      <c r="I10" s="162" t="s">
        <v>209</v>
      </c>
      <c r="J10" s="402">
        <v>265</v>
      </c>
      <c r="K10" s="402">
        <v>264</v>
      </c>
      <c r="L10" s="402">
        <v>298</v>
      </c>
      <c r="M10" s="402">
        <v>289</v>
      </c>
    </row>
    <row r="11" spans="2:13" ht="15">
      <c r="B11" s="364" t="s">
        <v>116</v>
      </c>
      <c r="C11" s="400">
        <v>3.1166666666666667</v>
      </c>
      <c r="D11" s="365">
        <v>10.209095</v>
      </c>
      <c r="E11" s="366" t="s">
        <v>117</v>
      </c>
      <c r="F11" s="366" t="s">
        <v>118</v>
      </c>
      <c r="G11" s="353"/>
    </row>
    <row r="12" spans="2:13" ht="15">
      <c r="B12" s="364" t="s">
        <v>119</v>
      </c>
      <c r="C12" s="400">
        <v>1.5714285714285714</v>
      </c>
      <c r="D12" s="365">
        <f>C_MW+O_MW</f>
        <v>28.0047</v>
      </c>
      <c r="E12" s="366" t="s">
        <v>120</v>
      </c>
      <c r="F12" s="366" t="s">
        <v>121</v>
      </c>
      <c r="G12" s="353"/>
    </row>
    <row r="13" spans="2:13" ht="15">
      <c r="B13" s="364" t="s">
        <v>122</v>
      </c>
      <c r="C13" s="400">
        <v>0</v>
      </c>
      <c r="D13" s="365">
        <f>N_MW+2*O_MW</f>
        <v>45.994700000000002</v>
      </c>
      <c r="E13" s="366" t="s">
        <v>123</v>
      </c>
      <c r="F13" s="366" t="s">
        <v>124</v>
      </c>
      <c r="G13" s="353"/>
    </row>
    <row r="14" spans="2:13" ht="15">
      <c r="B14" s="364" t="s">
        <v>125</v>
      </c>
      <c r="C14" s="365"/>
      <c r="D14" s="367">
        <v>12.0107</v>
      </c>
      <c r="E14" s="366"/>
      <c r="F14" s="366" t="s">
        <v>126</v>
      </c>
      <c r="G14" s="353"/>
    </row>
    <row r="15" spans="2:13" ht="15">
      <c r="B15" s="364" t="s">
        <v>127</v>
      </c>
      <c r="C15" s="365"/>
      <c r="D15" s="367">
        <v>1.007825</v>
      </c>
      <c r="E15" s="366"/>
      <c r="F15" s="366" t="s">
        <v>128</v>
      </c>
      <c r="G15" s="353"/>
    </row>
    <row r="16" spans="2:13" ht="15">
      <c r="B16" s="364" t="s">
        <v>129</v>
      </c>
      <c r="C16" s="365"/>
      <c r="D16" s="367">
        <v>15.994</v>
      </c>
      <c r="E16" s="366"/>
      <c r="F16" s="366" t="s">
        <v>130</v>
      </c>
      <c r="G16" s="353"/>
    </row>
    <row r="17" spans="2:7" ht="15">
      <c r="B17" s="364" t="s">
        <v>131</v>
      </c>
      <c r="C17" s="365"/>
      <c r="D17" s="367">
        <v>14.0067</v>
      </c>
      <c r="E17" s="366"/>
      <c r="F17" s="366" t="s">
        <v>132</v>
      </c>
      <c r="G17" s="353"/>
    </row>
    <row r="18" spans="2:7" ht="15">
      <c r="B18" s="364" t="s">
        <v>133</v>
      </c>
      <c r="C18" s="365"/>
      <c r="D18" s="367">
        <v>40.078000000000003</v>
      </c>
      <c r="E18" s="366"/>
      <c r="F18" s="366" t="s">
        <v>134</v>
      </c>
      <c r="G18" s="353"/>
    </row>
    <row r="19" spans="2:7" ht="15">
      <c r="B19" s="364" t="s">
        <v>135</v>
      </c>
      <c r="C19" s="365"/>
      <c r="D19" s="367">
        <v>35.453000000000003</v>
      </c>
      <c r="E19" s="366"/>
      <c r="F19" s="366" t="s">
        <v>136</v>
      </c>
      <c r="G19" s="353"/>
    </row>
    <row r="20" spans="2:7" ht="15">
      <c r="B20" s="364" t="s">
        <v>137</v>
      </c>
      <c r="C20" s="365"/>
      <c r="D20" s="367">
        <v>22.98977</v>
      </c>
      <c r="E20" s="366"/>
      <c r="F20" s="366" t="s">
        <v>138</v>
      </c>
      <c r="G20" s="353"/>
    </row>
    <row r="21" spans="2:7" ht="15">
      <c r="B21" s="364" t="s">
        <v>139</v>
      </c>
      <c r="C21" s="365"/>
      <c r="D21" s="367">
        <v>32.064999999999998</v>
      </c>
      <c r="E21" s="366"/>
      <c r="F21" s="366" t="s">
        <v>140</v>
      </c>
      <c r="G21" s="353"/>
    </row>
    <row r="22" spans="2:7" ht="15">
      <c r="B22" s="364" t="s">
        <v>141</v>
      </c>
      <c r="C22" s="365"/>
      <c r="D22" s="367">
        <v>30.973762000000001</v>
      </c>
      <c r="E22" s="366"/>
      <c r="F22" s="366" t="s">
        <v>142</v>
      </c>
      <c r="G22" s="353"/>
    </row>
    <row r="23" spans="2:7" ht="15">
      <c r="B23" s="368" t="s">
        <v>143</v>
      </c>
      <c r="C23" s="369"/>
      <c r="D23" s="370">
        <v>39.098300000000002</v>
      </c>
      <c r="E23" s="371"/>
      <c r="F23" s="371" t="s">
        <v>144</v>
      </c>
      <c r="G23" s="353"/>
    </row>
    <row r="24" spans="2:7" ht="15">
      <c r="B24" s="372"/>
      <c r="C24" s="372"/>
      <c r="D24" s="353"/>
      <c r="E24" s="353"/>
      <c r="F24" s="353"/>
      <c r="G24" s="353"/>
    </row>
    <row r="25" spans="2:7" ht="18.75">
      <c r="B25" s="399" t="s">
        <v>145</v>
      </c>
      <c r="C25" s="356"/>
      <c r="D25" s="357"/>
      <c r="E25" s="357" t="s">
        <v>102</v>
      </c>
      <c r="F25" s="357"/>
      <c r="G25" s="353"/>
    </row>
    <row r="26" spans="2:7" ht="18.75" thickBot="1">
      <c r="B26" s="373"/>
      <c r="C26" s="363" t="s">
        <v>146</v>
      </c>
      <c r="D26" s="373"/>
      <c r="E26" s="373"/>
      <c r="F26" s="374" t="s">
        <v>514</v>
      </c>
      <c r="G26" s="353"/>
    </row>
    <row r="27" spans="2:7" ht="15.75" thickTop="1">
      <c r="B27" s="375" t="s">
        <v>147</v>
      </c>
      <c r="C27" s="376">
        <v>0.85</v>
      </c>
      <c r="D27" s="377"/>
      <c r="E27" s="366" t="s">
        <v>148</v>
      </c>
      <c r="F27" s="378">
        <f>C27/C30</f>
        <v>3.1137981133489303</v>
      </c>
      <c r="G27" s="353"/>
    </row>
    <row r="28" spans="2:7" ht="15">
      <c r="B28" s="375" t="s">
        <v>149</v>
      </c>
      <c r="C28" s="379">
        <f>C_MW/CO_MW</f>
        <v>0.42888158059182924</v>
      </c>
      <c r="D28" s="377"/>
      <c r="E28" s="366" t="s">
        <v>150</v>
      </c>
      <c r="F28" s="378">
        <f>C28/C30</f>
        <v>1.5711184194081707</v>
      </c>
      <c r="G28" s="353"/>
    </row>
    <row r="29" spans="2:7" ht="15">
      <c r="B29" s="380" t="s">
        <v>151</v>
      </c>
      <c r="C29" s="381">
        <f>C_MW/CH4_MW</f>
        <v>0.74870340356564014</v>
      </c>
      <c r="D29" s="377"/>
      <c r="E29" s="366" t="s">
        <v>152</v>
      </c>
      <c r="F29" s="378">
        <f>C29/C30</f>
        <v>2.7427191123301329</v>
      </c>
      <c r="G29" s="353"/>
    </row>
    <row r="30" spans="2:7" ht="15">
      <c r="B30" s="380" t="s">
        <v>153</v>
      </c>
      <c r="C30" s="376">
        <f>C_MW/CO2_MW</f>
        <v>0.27297851981990379</v>
      </c>
      <c r="D30" s="377"/>
      <c r="E30" s="366" t="s">
        <v>154</v>
      </c>
      <c r="F30" s="378">
        <v>1</v>
      </c>
      <c r="G30" s="353"/>
    </row>
    <row r="31" spans="2:7" ht="15">
      <c r="B31" s="380" t="s">
        <v>155</v>
      </c>
      <c r="C31" s="376">
        <v>0.5</v>
      </c>
      <c r="D31" s="377"/>
      <c r="E31" s="366" t="s">
        <v>156</v>
      </c>
      <c r="F31" s="378"/>
      <c r="G31" s="353"/>
    </row>
    <row r="32" spans="2:7" ht="15">
      <c r="B32" s="353"/>
      <c r="C32" s="353"/>
      <c r="D32" s="353"/>
      <c r="E32" s="353"/>
      <c r="F32" s="353"/>
      <c r="G32" s="353"/>
    </row>
    <row r="33" spans="2:12" ht="18.75">
      <c r="B33" s="399" t="s">
        <v>157</v>
      </c>
      <c r="C33" s="358"/>
      <c r="D33" s="359"/>
      <c r="E33" s="359" t="s">
        <v>102</v>
      </c>
      <c r="F33" s="359"/>
      <c r="G33" s="353"/>
    </row>
    <row r="34" spans="2:12" ht="15">
      <c r="B34" s="382" t="s">
        <v>158</v>
      </c>
      <c r="C34" s="383"/>
      <c r="D34" s="383"/>
      <c r="E34" s="383"/>
      <c r="F34" s="383"/>
      <c r="G34" s="353"/>
    </row>
    <row r="35" spans="2:12" ht="15">
      <c r="B35" s="364" t="s">
        <v>159</v>
      </c>
      <c r="C35" s="384">
        <v>1055.05585</v>
      </c>
      <c r="D35" s="377"/>
      <c r="E35" s="366" t="s">
        <v>160</v>
      </c>
      <c r="F35" s="377"/>
      <c r="G35" s="353"/>
      <c r="I35" s="142"/>
    </row>
    <row r="36" spans="2:12" ht="15">
      <c r="B36" s="364" t="s">
        <v>161</v>
      </c>
      <c r="C36" s="385">
        <f>1000000/JperBtu</f>
        <v>947.81712266701334</v>
      </c>
      <c r="D36" s="377"/>
      <c r="E36" s="366" t="s">
        <v>162</v>
      </c>
      <c r="F36" s="377"/>
      <c r="G36" s="353"/>
      <c r="I36" s="142"/>
    </row>
    <row r="37" spans="2:12" ht="15">
      <c r="B37" s="368" t="s">
        <v>163</v>
      </c>
      <c r="C37" s="386">
        <f>3600/JperBtu*1000</f>
        <v>3412.141641601248</v>
      </c>
      <c r="D37" s="387"/>
      <c r="E37" s="371" t="s">
        <v>164</v>
      </c>
      <c r="F37" s="387"/>
      <c r="G37" s="353"/>
      <c r="H37" s="142"/>
      <c r="I37" s="142"/>
    </row>
    <row r="38" spans="2:12" ht="15">
      <c r="B38" s="388" t="s">
        <v>165</v>
      </c>
      <c r="C38" s="389"/>
      <c r="D38" s="377"/>
      <c r="E38" s="366"/>
      <c r="F38" s="377"/>
      <c r="G38" s="353"/>
      <c r="H38" s="142"/>
      <c r="I38" s="142"/>
    </row>
    <row r="39" spans="2:12" ht="15">
      <c r="B39" s="364" t="s">
        <v>166</v>
      </c>
      <c r="C39" s="384">
        <v>453.59702440351998</v>
      </c>
      <c r="D39" s="377"/>
      <c r="E39" s="366" t="s">
        <v>167</v>
      </c>
      <c r="F39" s="377"/>
      <c r="G39" s="353"/>
      <c r="H39" s="142"/>
      <c r="I39" s="142"/>
    </row>
    <row r="40" spans="2:12" ht="15">
      <c r="B40" s="364" t="s">
        <v>168</v>
      </c>
      <c r="C40" s="390">
        <f>2/lbperkg</f>
        <v>0.90719404880703991</v>
      </c>
      <c r="D40" s="377"/>
      <c r="E40" s="391" t="s">
        <v>169</v>
      </c>
      <c r="F40" s="392"/>
      <c r="G40" s="352">
        <f>tonneperton*1000000</f>
        <v>907194.04880703986</v>
      </c>
      <c r="H40" s="142"/>
      <c r="I40" s="142"/>
      <c r="J40" s="142"/>
      <c r="K40" s="142"/>
      <c r="L40" s="142"/>
    </row>
    <row r="41" spans="2:12" ht="15">
      <c r="B41" s="364" t="s">
        <v>664</v>
      </c>
      <c r="C41" s="467">
        <v>1.1023099999999999</v>
      </c>
      <c r="D41" s="377"/>
      <c r="E41" s="391" t="s">
        <v>663</v>
      </c>
      <c r="F41" s="392"/>
      <c r="G41" s="352"/>
      <c r="H41" s="142"/>
      <c r="I41" s="142"/>
      <c r="J41" s="142"/>
      <c r="K41" s="142"/>
      <c r="L41" s="142"/>
    </row>
    <row r="42" spans="2:12" ht="15">
      <c r="B42" s="368" t="s">
        <v>170</v>
      </c>
      <c r="C42" s="393">
        <f>1000/gperlb</f>
        <v>2.2045999999999997</v>
      </c>
      <c r="D42" s="387"/>
      <c r="E42" s="371" t="s">
        <v>171</v>
      </c>
      <c r="F42" s="387"/>
      <c r="G42" s="353"/>
      <c r="H42" s="142"/>
      <c r="I42" s="142"/>
    </row>
    <row r="43" spans="2:12" ht="15">
      <c r="B43" s="388" t="s">
        <v>172</v>
      </c>
      <c r="C43" s="394"/>
      <c r="D43" s="377"/>
      <c r="E43" s="366"/>
      <c r="F43" s="377"/>
      <c r="G43" s="353"/>
      <c r="H43" s="142"/>
      <c r="I43" s="142"/>
    </row>
    <row r="44" spans="2:12" ht="15">
      <c r="B44" s="364" t="s">
        <v>438</v>
      </c>
      <c r="C44" s="394">
        <v>35.299999999999997</v>
      </c>
      <c r="D44" s="377"/>
      <c r="E44" s="366" t="s">
        <v>439</v>
      </c>
      <c r="F44" s="377"/>
      <c r="G44" s="353"/>
      <c r="H44" s="142"/>
      <c r="I44" s="142"/>
    </row>
    <row r="45" spans="2:12" ht="15">
      <c r="B45" s="368" t="s">
        <v>173</v>
      </c>
      <c r="C45" s="370">
        <v>3.78541178</v>
      </c>
      <c r="D45" s="387"/>
      <c r="E45" s="371" t="s">
        <v>174</v>
      </c>
      <c r="F45" s="387"/>
      <c r="G45" s="353"/>
      <c r="H45" s="142"/>
      <c r="I45" s="142"/>
    </row>
    <row r="46" spans="2:12" ht="15">
      <c r="B46" s="388" t="s">
        <v>175</v>
      </c>
      <c r="C46" s="395"/>
      <c r="D46" s="377"/>
      <c r="E46" s="366"/>
      <c r="F46" s="377"/>
      <c r="G46" s="353"/>
      <c r="H46" s="142"/>
      <c r="I46" s="142"/>
    </row>
    <row r="47" spans="2:12" ht="15">
      <c r="B47" s="368" t="s">
        <v>176</v>
      </c>
      <c r="C47" s="370">
        <v>2.4710538099999999</v>
      </c>
      <c r="D47" s="387"/>
      <c r="E47" s="371" t="s">
        <v>177</v>
      </c>
      <c r="F47" s="387"/>
      <c r="G47" s="353"/>
    </row>
    <row r="48" spans="2:12" ht="15">
      <c r="B48" s="388" t="s">
        <v>178</v>
      </c>
      <c r="C48" s="395"/>
      <c r="D48" s="377"/>
      <c r="E48" s="366"/>
      <c r="F48" s="377"/>
      <c r="G48" s="353"/>
    </row>
    <row r="49" spans="2:8" ht="15">
      <c r="B49" s="364" t="s">
        <v>179</v>
      </c>
      <c r="C49" s="396">
        <v>2.54</v>
      </c>
      <c r="D49" s="353"/>
      <c r="E49" s="366" t="s">
        <v>180</v>
      </c>
      <c r="F49" s="353"/>
      <c r="G49" s="353"/>
    </row>
    <row r="50" spans="2:8" ht="15">
      <c r="B50" s="364" t="s">
        <v>181</v>
      </c>
      <c r="C50" s="367">
        <f>1852*100/C49/12/5280</f>
        <v>1.1507794480235425</v>
      </c>
      <c r="D50" s="353"/>
      <c r="E50" s="366" t="s">
        <v>182</v>
      </c>
      <c r="F50" s="353"/>
      <c r="G50" s="353"/>
    </row>
    <row r="51" spans="2:8" ht="15">
      <c r="B51" s="364" t="s">
        <v>188</v>
      </c>
      <c r="C51" s="397">
        <v>5280</v>
      </c>
      <c r="D51" s="353"/>
      <c r="E51" s="366"/>
      <c r="F51" s="353"/>
      <c r="G51" s="353"/>
    </row>
    <row r="52" spans="2:8" ht="15">
      <c r="B52" s="364" t="s">
        <v>189</v>
      </c>
      <c r="C52" s="390">
        <f>C51*12*C49/100000</f>
        <v>1.6093439999999999</v>
      </c>
      <c r="D52" s="353"/>
      <c r="E52" s="366" t="s">
        <v>190</v>
      </c>
      <c r="F52" s="353"/>
      <c r="G52" s="353"/>
    </row>
    <row r="53" spans="2:8" ht="15">
      <c r="B53" s="364" t="s">
        <v>197</v>
      </c>
      <c r="C53" s="398">
        <v>379</v>
      </c>
      <c r="D53" s="353"/>
      <c r="E53" s="366" t="s">
        <v>198</v>
      </c>
      <c r="F53" s="353"/>
      <c r="G53" s="353"/>
    </row>
    <row r="54" spans="2:8" ht="15">
      <c r="B54" s="364" t="s">
        <v>227</v>
      </c>
      <c r="C54" s="390">
        <v>22.414000000000001</v>
      </c>
      <c r="D54" s="353"/>
      <c r="E54" s="366" t="s">
        <v>228</v>
      </c>
      <c r="F54" s="353"/>
      <c r="G54" s="353"/>
    </row>
    <row r="55" spans="2:8" ht="15">
      <c r="B55" s="388" t="s">
        <v>196</v>
      </c>
      <c r="C55" s="395"/>
      <c r="D55" s="377"/>
      <c r="E55" s="366"/>
      <c r="F55" s="353"/>
      <c r="G55" s="353"/>
    </row>
    <row r="56" spans="2:8" ht="15">
      <c r="B56" s="368" t="s">
        <v>841</v>
      </c>
      <c r="C56" s="370">
        <v>1.34102208881</v>
      </c>
      <c r="D56" s="387"/>
      <c r="E56" s="371" t="s">
        <v>842</v>
      </c>
      <c r="F56" s="353"/>
      <c r="G56" s="353"/>
    </row>
    <row r="57" spans="2:8" ht="15">
      <c r="B57" s="353"/>
      <c r="C57" s="353"/>
      <c r="D57" s="353"/>
      <c r="E57" s="353"/>
      <c r="F57" s="353"/>
      <c r="G57" s="353"/>
    </row>
    <row r="58" spans="2:8" ht="18.75">
      <c r="B58" s="399" t="s">
        <v>497</v>
      </c>
      <c r="C58" s="140"/>
      <c r="D58" s="141"/>
      <c r="E58" s="141"/>
    </row>
    <row r="59" spans="2:8" ht="15">
      <c r="B59" t="s">
        <v>201</v>
      </c>
      <c r="C59"/>
      <c r="D59"/>
      <c r="E59"/>
      <c r="F59"/>
      <c r="G59"/>
    </row>
    <row r="60" spans="2:8" ht="15">
      <c r="B60"/>
      <c r="C60"/>
      <c r="D60"/>
      <c r="E60"/>
      <c r="F60"/>
      <c r="G60"/>
    </row>
    <row r="61" spans="2:8" ht="18.75" thickBot="1">
      <c r="B61" s="182" t="s">
        <v>293</v>
      </c>
      <c r="C61" s="182" t="s">
        <v>272</v>
      </c>
      <c r="D61" s="187" t="s">
        <v>271</v>
      </c>
      <c r="E61" s="187" t="s">
        <v>266</v>
      </c>
      <c r="F61" s="187" t="s">
        <v>267</v>
      </c>
      <c r="G61" s="187" t="s">
        <v>264</v>
      </c>
      <c r="H61" s="138" t="s">
        <v>1574</v>
      </c>
    </row>
    <row r="62" spans="2:8" ht="15.75" thickTop="1">
      <c r="B62" s="227" t="s">
        <v>276</v>
      </c>
      <c r="C62" s="227"/>
      <c r="D62" s="227"/>
      <c r="E62" s="227"/>
      <c r="F62" s="227"/>
      <c r="G62" s="227"/>
    </row>
    <row r="63" spans="2:8" ht="15">
      <c r="B63" s="190" t="s">
        <v>222</v>
      </c>
      <c r="C63" s="190" t="s">
        <v>273</v>
      </c>
      <c r="D63" s="192">
        <f>EFs!T16</f>
        <v>78187.235473148816</v>
      </c>
      <c r="E63" s="228">
        <f>EFs!T13</f>
        <v>4.2210000000000001</v>
      </c>
      <c r="F63" s="228">
        <f>EFs!T14</f>
        <v>0.6</v>
      </c>
      <c r="G63" s="192">
        <f t="shared" ref="G63:G79" si="0">D63+E63*CH4_GWP+F63*N2O_GWP</f>
        <v>78471.560473148813</v>
      </c>
    </row>
    <row r="64" spans="2:8" ht="15">
      <c r="B64" s="190" t="s">
        <v>222</v>
      </c>
      <c r="C64" s="190" t="s">
        <v>287</v>
      </c>
      <c r="D64" s="192">
        <f>EFs!AC16</f>
        <v>78185.955459789518</v>
      </c>
      <c r="E64" s="228">
        <f>EFs!AC13</f>
        <v>4.7499816359937208</v>
      </c>
      <c r="F64" s="228">
        <f>EFs!AC14</f>
        <v>0.17522813503592519</v>
      </c>
      <c r="G64" s="192">
        <f t="shared" si="0"/>
        <v>78356.922984930061</v>
      </c>
    </row>
    <row r="65" spans="2:10" ht="15">
      <c r="B65" s="190" t="s">
        <v>222</v>
      </c>
      <c r="C65" t="s">
        <v>245</v>
      </c>
      <c r="D65" s="192">
        <f>EFs!R16</f>
        <v>78198.499542349702</v>
      </c>
      <c r="E65" s="228">
        <f>EFs!R13</f>
        <v>0.19800000000000001</v>
      </c>
      <c r="F65" s="228">
        <f>EFs!R14</f>
        <v>0.91800000000000004</v>
      </c>
      <c r="G65" s="192">
        <f t="shared" si="0"/>
        <v>78477.013542349698</v>
      </c>
    </row>
    <row r="66" spans="2:10" ht="15">
      <c r="B66" s="190" t="s">
        <v>277</v>
      </c>
      <c r="C66" s="190" t="s">
        <v>274</v>
      </c>
      <c r="D66" s="192">
        <f>EFs!W16</f>
        <v>76828.701207834427</v>
      </c>
      <c r="E66" s="228">
        <f>EFs!$W$13</f>
        <v>3</v>
      </c>
      <c r="F66" s="228">
        <f>EFs!$W$14</f>
        <v>0.6</v>
      </c>
      <c r="G66" s="192">
        <f t="shared" si="0"/>
        <v>77082.50120783443</v>
      </c>
    </row>
    <row r="67" spans="2:10" ht="15">
      <c r="B67" s="826" t="s">
        <v>1552</v>
      </c>
      <c r="C67" s="826" t="s">
        <v>1045</v>
      </c>
      <c r="D67" s="411">
        <f>EFs!P16</f>
        <v>78127.03101023515</v>
      </c>
      <c r="E67" s="827">
        <f>EFs!$P$13</f>
        <v>1.2015042004108141</v>
      </c>
      <c r="F67" s="827">
        <f>EFs!$P$14</f>
        <v>3.5234018902438509</v>
      </c>
      <c r="G67" s="411">
        <f>D67+E67*CH4_GWP+F67*N2O_GWP</f>
        <v>79207.042378538084</v>
      </c>
    </row>
    <row r="68" spans="2:10" ht="15">
      <c r="B68" s="190" t="s">
        <v>193</v>
      </c>
      <c r="C68" s="190" t="s">
        <v>283</v>
      </c>
      <c r="D68" s="192">
        <f>EFs!J16</f>
        <v>58333.107375965192</v>
      </c>
      <c r="E68" s="192">
        <f>EFs!$J$13</f>
        <v>392.35399999999998</v>
      </c>
      <c r="F68" s="228">
        <f>EFs!$J$14</f>
        <v>0.111</v>
      </c>
      <c r="G68" s="192">
        <f t="shared" si="0"/>
        <v>68175.035375965192</v>
      </c>
    </row>
    <row r="69" spans="2:10" ht="15">
      <c r="B69" s="190" t="s">
        <v>193</v>
      </c>
      <c r="C69" s="190" t="s">
        <v>284</v>
      </c>
      <c r="D69" s="192">
        <f>EFs!$H$16</f>
        <v>59409.53649183159</v>
      </c>
      <c r="E69" s="228">
        <f>EFs!$H$13</f>
        <v>1.1419999999999999</v>
      </c>
      <c r="F69" s="228">
        <f>EFs!$H$14</f>
        <v>0.11899999999999999</v>
      </c>
      <c r="G69" s="192">
        <f t="shared" si="0"/>
        <v>59473.548491831592</v>
      </c>
    </row>
    <row r="70" spans="2:10" ht="15">
      <c r="B70" s="149" t="s">
        <v>193</v>
      </c>
      <c r="C70" s="1786" t="s">
        <v>381</v>
      </c>
      <c r="D70" s="192">
        <f>EFs!$E$16</f>
        <v>59311.085000000909</v>
      </c>
      <c r="E70" s="228">
        <f>EFs!$E$13</f>
        <v>1.06</v>
      </c>
      <c r="F70" s="228">
        <f>EFs!$E$14</f>
        <v>0.35</v>
      </c>
      <c r="G70" s="192">
        <f t="shared" si="0"/>
        <v>59441.885000000912</v>
      </c>
    </row>
    <row r="71" spans="2:10" ht="15">
      <c r="B71" s="190" t="s">
        <v>193</v>
      </c>
      <c r="C71" s="190" t="s">
        <v>380</v>
      </c>
      <c r="D71" s="192">
        <f>EFs!$D$16</f>
        <v>59409.753090572827</v>
      </c>
      <c r="E71" s="228">
        <f>EFs!$D$13</f>
        <v>1.06</v>
      </c>
      <c r="F71" s="228">
        <f>EFs!$D$14</f>
        <v>0.75</v>
      </c>
      <c r="G71" s="192">
        <f t="shared" si="0"/>
        <v>59659.753090572827</v>
      </c>
    </row>
    <row r="72" spans="2:10" s="828" customFormat="1" ht="15">
      <c r="B72" s="1795" t="s">
        <v>336</v>
      </c>
      <c r="C72" s="1795" t="s">
        <v>1045</v>
      </c>
      <c r="D72" s="411">
        <f>EFs!AK16</f>
        <v>56941.901158484929</v>
      </c>
      <c r="E72" s="827">
        <f>EFs!AK13</f>
        <v>637.29196452357257</v>
      </c>
      <c r="F72" s="827">
        <f>EFs!AK14</f>
        <v>3.7482998832381398</v>
      </c>
      <c r="G72" s="192">
        <f t="shared" si="0"/>
        <v>73991.193636779208</v>
      </c>
      <c r="H72" s="138"/>
      <c r="I72" s="138"/>
      <c r="J72" s="138"/>
    </row>
    <row r="73" spans="2:10" s="828" customFormat="1" ht="15">
      <c r="B73" s="1797" t="s">
        <v>333</v>
      </c>
      <c r="C73" s="1797" t="s">
        <v>1084</v>
      </c>
      <c r="D73" s="1798">
        <f>EFs!AL16</f>
        <v>58059.165008182528</v>
      </c>
      <c r="E73" s="1798">
        <f>EFs!AL13</f>
        <v>91.619997024536133</v>
      </c>
      <c r="F73" s="1798"/>
      <c r="G73" s="1798">
        <f t="shared" si="0"/>
        <v>60349.664933795932</v>
      </c>
      <c r="H73" s="138"/>
      <c r="I73" s="138"/>
      <c r="J73" s="138"/>
    </row>
    <row r="74" spans="2:10" s="828" customFormat="1" ht="15">
      <c r="B74" s="1795" t="s">
        <v>336</v>
      </c>
      <c r="C74" s="1787" t="s">
        <v>1724</v>
      </c>
      <c r="D74" s="192">
        <f>EFs!F16</f>
        <v>58687.085000000901</v>
      </c>
      <c r="E74" s="228">
        <f>EFs!F13</f>
        <v>1.06</v>
      </c>
      <c r="F74" s="195">
        <f>EFs!F14</f>
        <v>0.35</v>
      </c>
      <c r="G74" s="192">
        <f t="shared" si="0"/>
        <v>58817.885000000904</v>
      </c>
      <c r="H74" s="138"/>
      <c r="I74" s="138"/>
      <c r="J74" s="138"/>
    </row>
    <row r="75" spans="2:10" ht="15">
      <c r="B75" s="190" t="s">
        <v>333</v>
      </c>
      <c r="C75" s="190" t="s">
        <v>334</v>
      </c>
      <c r="D75" s="192">
        <f>EFs!AG16</f>
        <v>57459.341473411587</v>
      </c>
      <c r="E75" s="228">
        <f>EFs!AG13</f>
        <v>309.76673694124082</v>
      </c>
      <c r="F75" s="228">
        <f>EFs!AG14</f>
        <v>3.2506528037593428E-2</v>
      </c>
      <c r="G75" s="192">
        <f t="shared" si="0"/>
        <v>65213.19684229781</v>
      </c>
    </row>
    <row r="76" spans="2:10" ht="15">
      <c r="B76" s="1794" t="s">
        <v>333</v>
      </c>
      <c r="C76" s="1794" t="s">
        <v>335</v>
      </c>
      <c r="D76" s="1798">
        <f>EFs!AJ16</f>
        <v>58308.205000000002</v>
      </c>
      <c r="E76" s="1799">
        <f>EFs!AJ13</f>
        <v>1.06</v>
      </c>
      <c r="F76" s="1799">
        <f>EFs!AJ14</f>
        <v>0.35</v>
      </c>
      <c r="G76" s="1798">
        <f t="shared" si="0"/>
        <v>58439.005000000005</v>
      </c>
    </row>
    <row r="77" spans="2:10" ht="15">
      <c r="B77" s="190" t="s">
        <v>337</v>
      </c>
      <c r="C77" s="190" t="s">
        <v>229</v>
      </c>
      <c r="D77" s="192">
        <f>EFs!AH16</f>
        <v>68058.497560929056</v>
      </c>
      <c r="E77" s="228">
        <f>EFs!AH13</f>
        <v>1.0680000000000001</v>
      </c>
      <c r="F77" s="228">
        <f>EFs!AH13</f>
        <v>1.0680000000000001</v>
      </c>
      <c r="G77" s="192">
        <f t="shared" si="0"/>
        <v>68403.461560929049</v>
      </c>
    </row>
    <row r="78" spans="2:10" ht="15">
      <c r="B78" s="229" t="s">
        <v>338</v>
      </c>
      <c r="C78" s="229" t="s">
        <v>229</v>
      </c>
      <c r="D78" s="213">
        <f>EFs!AI16</f>
        <v>68773.433332339118</v>
      </c>
      <c r="E78" s="230">
        <f>EFs!AI13</f>
        <v>1.0680000000000001</v>
      </c>
      <c r="F78" s="230">
        <f>EFs!AI13</f>
        <v>1.0680000000000001</v>
      </c>
      <c r="G78" s="213">
        <f t="shared" si="0"/>
        <v>69118.397332339111</v>
      </c>
    </row>
    <row r="79" spans="2:10" ht="15">
      <c r="B79" s="229" t="s">
        <v>1237</v>
      </c>
      <c r="C79" s="229" t="s">
        <v>369</v>
      </c>
      <c r="D79" s="213">
        <f>EFs!AI16</f>
        <v>68773.433332339118</v>
      </c>
      <c r="E79" s="230">
        <f>EFs!AI13</f>
        <v>1.0680000000000001</v>
      </c>
      <c r="F79" s="230">
        <f>EFs!$AI$13</f>
        <v>1.0680000000000001</v>
      </c>
      <c r="G79" s="213">
        <f t="shared" si="0"/>
        <v>69118.397332339111</v>
      </c>
    </row>
    <row r="80" spans="2:10" ht="15">
      <c r="B80" s="229" t="s">
        <v>453</v>
      </c>
      <c r="C80" s="229" t="s">
        <v>369</v>
      </c>
      <c r="D80" s="213">
        <f>EFs!AF15</f>
        <v>68662.016739283121</v>
      </c>
      <c r="E80" s="230">
        <f>EFs!AF13</f>
        <v>1.06</v>
      </c>
      <c r="F80" s="230">
        <f>EFs!$AI$13</f>
        <v>1.0680000000000001</v>
      </c>
      <c r="G80" s="213">
        <v>59659.753090572827</v>
      </c>
    </row>
    <row r="81" spans="2:7" ht="15">
      <c r="B81" s="1325" t="s">
        <v>233</v>
      </c>
      <c r="C81" s="1325" t="s">
        <v>229</v>
      </c>
      <c r="D81" s="1326">
        <f>EFs!D16</f>
        <v>59409.753090572827</v>
      </c>
      <c r="E81" s="1327">
        <f>EFs!$D$13</f>
        <v>1.06</v>
      </c>
      <c r="F81" s="1327">
        <f>EFs!AF14</f>
        <v>0.75</v>
      </c>
      <c r="G81" s="1328">
        <f>D81+E81*CH4_GWP+F81*N2O_GWP</f>
        <v>59659.753090572827</v>
      </c>
    </row>
    <row r="82" spans="2:7" ht="15">
      <c r="B82" s="1329" t="s">
        <v>86</v>
      </c>
      <c r="C82" s="1329" t="s">
        <v>229</v>
      </c>
      <c r="D82" s="1330">
        <f>EFs!$Z$16</f>
        <v>100041.22824955724</v>
      </c>
      <c r="E82" s="1331">
        <f>EFs!$Z$13</f>
        <v>1.0580000000000001</v>
      </c>
      <c r="F82" s="1331">
        <f>EFs!$Z$14</f>
        <v>1.5860000000000001</v>
      </c>
      <c r="G82" s="1330">
        <f>D82+E82*CH4_GWP+F82*N2O_GWP</f>
        <v>100540.30624955724</v>
      </c>
    </row>
  </sheetData>
  <mergeCells count="2">
    <mergeCell ref="J6:K6"/>
    <mergeCell ref="L6:M6"/>
  </mergeCells>
  <phoneticPr fontId="24" type="noConversion"/>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W85"/>
  <sheetViews>
    <sheetView showGridLines="0" zoomScale="85" zoomScaleNormal="85" workbookViewId="0">
      <selection activeCell="V48" sqref="V48"/>
    </sheetView>
  </sheetViews>
  <sheetFormatPr defaultColWidth="9.140625" defaultRowHeight="15"/>
  <cols>
    <col min="2" max="2" width="44.140625" customWidth="1"/>
    <col min="3" max="4" width="8.140625" style="150" customWidth="1"/>
    <col min="5" max="5" width="15.5703125" customWidth="1"/>
    <col min="6" max="6" width="16.85546875" customWidth="1"/>
    <col min="7" max="7" width="16" customWidth="1"/>
    <col min="8" max="8" width="9.140625" customWidth="1"/>
    <col min="9" max="9" width="12.7109375" customWidth="1"/>
    <col min="10" max="10" width="11.140625" customWidth="1"/>
    <col min="11" max="12" width="9.140625" customWidth="1"/>
    <col min="13" max="13" width="39.5703125" customWidth="1"/>
  </cols>
  <sheetData>
    <row r="1" spans="2:13">
      <c r="C1" s="156"/>
      <c r="D1" s="156"/>
      <c r="I1" s="155"/>
      <c r="M1" s="155"/>
    </row>
    <row r="2" spans="2:13" s="178" customFormat="1" ht="30.75" thickBot="1">
      <c r="B2" s="207" t="s">
        <v>1430</v>
      </c>
      <c r="C2" s="185" t="s">
        <v>541</v>
      </c>
      <c r="D2" s="185" t="s">
        <v>542</v>
      </c>
      <c r="E2" s="185" t="s">
        <v>350</v>
      </c>
      <c r="F2" s="1414" t="s">
        <v>522</v>
      </c>
      <c r="G2" s="1414" t="s">
        <v>462</v>
      </c>
      <c r="M2" s="155"/>
    </row>
    <row r="3" spans="2:13" s="178" customFormat="1" ht="15.75" thickTop="1">
      <c r="B3" s="270" t="s">
        <v>1440</v>
      </c>
      <c r="C3" s="271"/>
      <c r="D3" s="271"/>
      <c r="E3" s="271"/>
      <c r="F3" s="1415"/>
      <c r="G3" s="1415"/>
      <c r="M3" s="155"/>
    </row>
    <row r="4" spans="2:13">
      <c r="B4" s="181" t="s">
        <v>303</v>
      </c>
      <c r="C4" s="933"/>
      <c r="E4" s="146"/>
      <c r="F4" s="183"/>
      <c r="G4" s="1416"/>
      <c r="I4" s="155"/>
      <c r="M4" s="155"/>
    </row>
    <row r="5" spans="2:13">
      <c r="B5" s="222" t="s">
        <v>465</v>
      </c>
      <c r="C5" s="224"/>
      <c r="D5" s="1112"/>
      <c r="E5" s="223">
        <f>SUM(E6:E9)</f>
        <v>1580.7997202170586</v>
      </c>
      <c r="F5" s="1222">
        <f>SUM(F6:F9)</f>
        <v>63231.988808682348</v>
      </c>
      <c r="G5" s="1222">
        <f>SUM(G6:G9)</f>
        <v>8.9059139167158232</v>
      </c>
      <c r="I5" s="1763"/>
      <c r="M5" s="1484"/>
    </row>
    <row r="6" spans="2:13">
      <c r="B6" s="268" t="s">
        <v>853</v>
      </c>
      <c r="E6" s="221">
        <f>F6/40</f>
        <v>182.23740559146981</v>
      </c>
      <c r="F6" s="265">
        <f>'Construction Equipment'!F46</f>
        <v>7289.4962236587926</v>
      </c>
      <c r="G6" s="1057">
        <f>E6/$C$21</f>
        <v>1.0266896089660271</v>
      </c>
      <c r="I6" s="155"/>
      <c r="M6" s="155"/>
    </row>
    <row r="7" spans="2:13">
      <c r="B7" s="268" t="s">
        <v>1177</v>
      </c>
      <c r="E7" s="221">
        <f>F7/40</f>
        <v>20.302462388768895</v>
      </c>
      <c r="F7" s="265">
        <f>'Construction Equipment'!F68</f>
        <v>812.09849555075573</v>
      </c>
      <c r="G7" s="1057">
        <f>E7/$C$21</f>
        <v>0.1143800697958811</v>
      </c>
      <c r="I7" s="155"/>
      <c r="M7" s="155"/>
    </row>
    <row r="8" spans="2:13">
      <c r="B8" s="268" t="s">
        <v>1210</v>
      </c>
      <c r="E8" s="221">
        <f>F8/40</f>
        <v>56.53931759999999</v>
      </c>
      <c r="F8" s="265">
        <f>Upstream!G42</f>
        <v>2261.5727039999997</v>
      </c>
      <c r="G8" s="1057">
        <f>E8/$C$21</f>
        <v>0.31853136676056332</v>
      </c>
      <c r="I8" s="155"/>
      <c r="M8" s="155"/>
    </row>
    <row r="9" spans="2:13">
      <c r="B9" s="268" t="s">
        <v>1178</v>
      </c>
      <c r="C9" s="1113"/>
      <c r="D9" s="1113"/>
      <c r="E9" s="221">
        <f>F9/40</f>
        <v>1321.72053463682</v>
      </c>
      <c r="F9" s="265">
        <f>'Construction Material&amp;Power'!F34</f>
        <v>52868.821385472802</v>
      </c>
      <c r="G9" s="1057">
        <f>E9/$C$21</f>
        <v>7.4463128711933519</v>
      </c>
      <c r="I9" s="155"/>
      <c r="M9" s="155"/>
    </row>
    <row r="10" spans="2:13">
      <c r="B10" s="413" t="s">
        <v>302</v>
      </c>
      <c r="C10" s="1103"/>
      <c r="D10" s="1114"/>
      <c r="E10" s="414"/>
      <c r="F10" s="1300"/>
      <c r="G10" s="1417"/>
      <c r="I10" s="150"/>
      <c r="M10" s="155"/>
    </row>
    <row r="11" spans="2:13" s="152" customFormat="1">
      <c r="B11" s="272" t="s">
        <v>1179</v>
      </c>
      <c r="C11" s="224"/>
      <c r="D11" s="1112"/>
      <c r="E11" s="223">
        <f>SUM(E12:E16)</f>
        <v>215757.18498103466</v>
      </c>
      <c r="F11" s="1296">
        <f>SUM(F12:F16)</f>
        <v>8630287.3992413878</v>
      </c>
      <c r="G11" s="1222">
        <f t="shared" ref="G11" si="0">SUM(G12:G16)</f>
        <v>1225.1081089622287</v>
      </c>
      <c r="H11"/>
      <c r="I11" s="150"/>
      <c r="J11"/>
      <c r="K11"/>
      <c r="L11"/>
      <c r="M11" s="155"/>
    </row>
    <row r="12" spans="2:13">
      <c r="B12" s="1126" t="s">
        <v>193</v>
      </c>
      <c r="C12" s="151"/>
      <c r="D12" s="1112"/>
      <c r="E12" s="221">
        <f>G12*$C$21</f>
        <v>164116.81714125752</v>
      </c>
      <c r="F12" s="1299">
        <f>E12*40</f>
        <v>6564672.6856503002</v>
      </c>
      <c r="G12" s="265">
        <f>Upstream!G21</f>
        <v>924.60178671130996</v>
      </c>
      <c r="I12" s="150"/>
      <c r="M12" s="155"/>
    </row>
    <row r="13" spans="2:13">
      <c r="B13" s="1126" t="s">
        <v>1180</v>
      </c>
      <c r="C13" s="151"/>
      <c r="D13" s="1112"/>
      <c r="E13" s="221">
        <f>G13*$C$21</f>
        <v>51477.026339999997</v>
      </c>
      <c r="F13" s="1299">
        <f>E13*40</f>
        <v>2059081.0535999998</v>
      </c>
      <c r="G13" s="265">
        <f>Upstream!G47</f>
        <v>290.011416</v>
      </c>
      <c r="I13" s="150"/>
      <c r="M13" s="155"/>
    </row>
    <row r="14" spans="2:13">
      <c r="B14" s="1126" t="s">
        <v>1181</v>
      </c>
      <c r="C14" s="151"/>
      <c r="D14" s="1112"/>
      <c r="E14" s="221">
        <f>G14*$C$21</f>
        <v>143.24898085164722</v>
      </c>
      <c r="F14" s="1299">
        <f>E14*40</f>
        <v>5729.9592340658892</v>
      </c>
      <c r="G14" s="265">
        <f>Upstream!G116</f>
        <v>0.80703651184026604</v>
      </c>
      <c r="I14" s="150"/>
      <c r="M14" s="155"/>
    </row>
    <row r="15" spans="2:13">
      <c r="B15" s="1126" t="s">
        <v>1182</v>
      </c>
      <c r="C15" s="151"/>
      <c r="D15" s="1112"/>
      <c r="E15" s="221">
        <f>G15*$C$22</f>
        <v>18.942365239083436</v>
      </c>
      <c r="F15" s="1299">
        <f>E15*40</f>
        <v>757.69460956333751</v>
      </c>
      <c r="G15" s="265">
        <f>Upstream!G52</f>
        <v>9.6813900000000004</v>
      </c>
      <c r="I15" s="150"/>
      <c r="M15" s="155"/>
    </row>
    <row r="16" spans="2:13">
      <c r="B16" s="1126" t="s">
        <v>1288</v>
      </c>
      <c r="C16" s="151"/>
      <c r="D16" s="1112"/>
      <c r="E16" s="1100">
        <f>Upstream!G125</f>
        <v>1.1501536864284998</v>
      </c>
      <c r="F16" s="1299">
        <f>E16*40</f>
        <v>46.006147457139988</v>
      </c>
      <c r="G16" s="1229">
        <f>E16/$C$21</f>
        <v>6.4797390784704211E-3</v>
      </c>
      <c r="I16" s="150"/>
      <c r="M16" s="155"/>
    </row>
    <row r="17" spans="1:23" s="152" customFormat="1">
      <c r="B17" s="272" t="s">
        <v>1381</v>
      </c>
      <c r="C17" s="224"/>
      <c r="D17" s="1112"/>
      <c r="E17" s="1222">
        <f t="shared" ref="E17" si="1">SUM(E18:E20)</f>
        <v>113280.84210940388</v>
      </c>
      <c r="F17" s="1296">
        <f>SUM(F18:F20)</f>
        <v>4531233.684376155</v>
      </c>
      <c r="G17" s="1222">
        <f>SUM(G18:G20)</f>
        <v>638.20192737692332</v>
      </c>
      <c r="H17"/>
      <c r="I17" s="150"/>
      <c r="M17" s="155"/>
    </row>
    <row r="18" spans="1:23">
      <c r="B18" s="1126" t="s">
        <v>351</v>
      </c>
      <c r="C18" s="1128"/>
      <c r="D18" s="164"/>
      <c r="E18" s="265">
        <f>'PSE LNG Operations'!G139</f>
        <v>97812.697777501875</v>
      </c>
      <c r="F18" s="1299">
        <f>E18*40</f>
        <v>3912507.9111000751</v>
      </c>
      <c r="G18" s="265">
        <f>E18/$C$21</f>
        <v>551.05745226761621</v>
      </c>
      <c r="I18" s="150"/>
      <c r="J18" s="152"/>
      <c r="M18" s="155"/>
    </row>
    <row r="19" spans="1:23">
      <c r="B19" s="1127" t="s">
        <v>1309</v>
      </c>
      <c r="C19" s="151"/>
      <c r="E19" s="265">
        <f>'PSE LNG Operations'!G140</f>
        <v>235.38986460000359</v>
      </c>
      <c r="F19" s="1299">
        <f>E19*40</f>
        <v>9415.5945840001441</v>
      </c>
      <c r="G19" s="265">
        <f>E19/C21</f>
        <v>1.3261400822535414</v>
      </c>
      <c r="I19" s="150"/>
      <c r="J19" s="152"/>
      <c r="M19" s="155"/>
    </row>
    <row r="20" spans="1:23">
      <c r="B20" s="1126" t="s">
        <v>1497</v>
      </c>
      <c r="E20" s="265">
        <f>'PSE LNG Operations'!G141</f>
        <v>15232.754467301997</v>
      </c>
      <c r="F20" s="1299">
        <f>E20*40</f>
        <v>609310.17869207985</v>
      </c>
      <c r="G20" s="265">
        <f>E20/C21</f>
        <v>85.818335027053507</v>
      </c>
      <c r="H20" t="s">
        <v>296</v>
      </c>
      <c r="I20" s="150"/>
    </row>
    <row r="21" spans="1:23" s="152" customFormat="1">
      <c r="B21" s="272" t="s">
        <v>1304</v>
      </c>
      <c r="C21" s="224">
        <f>SUM(C22:C29)</f>
        <v>177.5</v>
      </c>
      <c r="D21" s="1112">
        <f>Fuel_Specs!$C$25*C21/1000</f>
        <v>13695.114651774358</v>
      </c>
      <c r="E21" s="1222">
        <f>SUM(E22:E30)</f>
        <v>1035496.574604254</v>
      </c>
      <c r="F21" s="1296">
        <f>E21*40</f>
        <v>41419862.984170161</v>
      </c>
      <c r="G21" s="1222">
        <f>IF(E21=0,0,E21/C21)</f>
        <v>5833.7835188972058</v>
      </c>
      <c r="H21" s="261">
        <f>E21*1000000/D21/1000</f>
        <v>75610.653940023316</v>
      </c>
      <c r="I21" s="150"/>
      <c r="J21"/>
      <c r="M21" s="155"/>
    </row>
    <row r="22" spans="1:23">
      <c r="B22" s="1127" t="s">
        <v>1720</v>
      </c>
      <c r="C22" s="191">
        <f>'Direct End use'!E21</f>
        <v>1.9565749586664143</v>
      </c>
      <c r="D22" s="192">
        <f>Fuel_Specs!$C$25*C22/1000</f>
        <v>150.9606669505759</v>
      </c>
      <c r="E22" s="265">
        <f>'Direct End use'!H47</f>
        <v>8879.1871482224105</v>
      </c>
      <c r="F22" s="1299">
        <f t="shared" ref="F22:F27" si="2">E22*40</f>
        <v>355167.48592889641</v>
      </c>
      <c r="G22" s="265">
        <f t="shared" ref="G22:G24" si="3">IF(E22=0,0,E22/$C$21)</f>
        <v>50.023589567450202</v>
      </c>
      <c r="H22" s="261">
        <f t="shared" ref="H22:H29" si="4">E22*1000000/D22/1000</f>
        <v>58817.885000000904</v>
      </c>
      <c r="I22" s="150"/>
      <c r="M22" s="155"/>
    </row>
    <row r="23" spans="1:23">
      <c r="B23" s="1127" t="s">
        <v>1385</v>
      </c>
      <c r="C23" s="191">
        <f>'Direct End use'!E24</f>
        <v>1.7749999999999999</v>
      </c>
      <c r="D23" s="192">
        <f>Fuel_Specs!$C$25*C23/1000</f>
        <v>136.95114651774358</v>
      </c>
      <c r="E23" s="265">
        <f>'Direct End use'!H50+'Direct End use'!E52</f>
        <v>8041.4637209028569</v>
      </c>
      <c r="F23" s="1299">
        <f t="shared" si="2"/>
        <v>321658.54883611429</v>
      </c>
      <c r="G23" s="265">
        <f t="shared" si="3"/>
        <v>45.304020962833</v>
      </c>
      <c r="H23" s="261"/>
      <c r="I23" s="150"/>
      <c r="M23" s="155"/>
    </row>
    <row r="24" spans="1:23">
      <c r="B24" s="1127" t="s">
        <v>357</v>
      </c>
      <c r="C24" s="191">
        <f>'Direct End use'!E27</f>
        <v>3.55</v>
      </c>
      <c r="D24" s="192">
        <f>Fuel_Specs!$C$25*C24/1000</f>
        <v>273.90229303548716</v>
      </c>
      <c r="E24" s="265">
        <f>'Direct End use'!H55</f>
        <v>17862.044151279966</v>
      </c>
      <c r="F24" s="1299">
        <f t="shared" si="2"/>
        <v>714481.76605119859</v>
      </c>
      <c r="G24" s="265">
        <f t="shared" si="3"/>
        <v>100.6312346550984</v>
      </c>
      <c r="H24" s="261"/>
      <c r="I24" s="150"/>
      <c r="M24" s="155"/>
    </row>
    <row r="25" spans="1:23">
      <c r="B25" s="1127" t="s">
        <v>1218</v>
      </c>
      <c r="C25" s="191">
        <f>'Direct End use'!E30</f>
        <v>37.931506849315021</v>
      </c>
      <c r="D25" s="192">
        <f>Fuel_Specs!$C$25*C25/1000</f>
        <v>2926.6272406531471</v>
      </c>
      <c r="E25" s="265">
        <f>'Direct End use'!H58</f>
        <v>216544.64286583982</v>
      </c>
      <c r="F25" s="1299">
        <f t="shared" si="2"/>
        <v>8661785.7146335933</v>
      </c>
      <c r="G25" s="265">
        <f>IF(E25=0,0,E25/$C$21)</f>
        <v>1219.9698189624778</v>
      </c>
      <c r="H25" s="261">
        <f t="shared" si="4"/>
        <v>73991.193636779208</v>
      </c>
      <c r="I25" s="150"/>
      <c r="M25" s="155"/>
    </row>
    <row r="26" spans="1:23">
      <c r="B26" s="1105" t="s">
        <v>1382</v>
      </c>
      <c r="C26" s="151"/>
      <c r="D26" s="151"/>
      <c r="E26" s="1108">
        <f>'Direct End use'!H59</f>
        <v>6954.2846362979344</v>
      </c>
      <c r="F26" s="1301">
        <f t="shared" ref="F26" si="5">E26*40</f>
        <v>278171.38545191736</v>
      </c>
      <c r="G26" s="1418">
        <f t="shared" ref="G26" si="6">IF(E26=0,0,E26/$C$21)</f>
        <v>39.179068373509487</v>
      </c>
      <c r="H26" s="261"/>
      <c r="I26" s="150"/>
      <c r="M26" s="155"/>
    </row>
    <row r="27" spans="1:23">
      <c r="B27" s="1127" t="s">
        <v>358</v>
      </c>
      <c r="C27" s="191">
        <f>'Direct End use'!E34</f>
        <v>1.7749999999999999</v>
      </c>
      <c r="D27" s="192">
        <f>'Direct End use'!F34</f>
        <v>136.95114651774358</v>
      </c>
      <c r="E27" s="265">
        <f>'Direct End use'!H62</f>
        <v>10133.178800773285</v>
      </c>
      <c r="F27" s="1299">
        <f t="shared" si="2"/>
        <v>405327.15203093138</v>
      </c>
      <c r="G27" s="265">
        <f>IF(E27=0,0,E27/$C$21)</f>
        <v>57.088331271962169</v>
      </c>
      <c r="H27" s="261"/>
      <c r="I27" s="150"/>
      <c r="K27" s="183"/>
      <c r="L27" s="183"/>
      <c r="M27" s="183"/>
      <c r="N27" s="183"/>
      <c r="O27" s="183"/>
      <c r="P27" s="183"/>
      <c r="Q27" s="183"/>
      <c r="R27" s="183"/>
      <c r="S27" s="183"/>
      <c r="T27" s="183"/>
      <c r="U27" s="183"/>
      <c r="V27" s="183"/>
      <c r="W27" s="183"/>
    </row>
    <row r="28" spans="1:23">
      <c r="B28" s="1105" t="s">
        <v>1383</v>
      </c>
      <c r="C28" s="151"/>
      <c r="D28" s="151"/>
      <c r="E28" s="1108">
        <f>'Direct End use'!H63</f>
        <v>325.42485798060875</v>
      </c>
      <c r="F28" s="1301">
        <f t="shared" ref="F28" si="7">E28*40</f>
        <v>13016.99431922435</v>
      </c>
      <c r="G28" s="1418">
        <f t="shared" ref="G28" si="8">IF(E28=0,0,E28/$C$21)</f>
        <v>1.8333794815808944</v>
      </c>
      <c r="H28" s="261"/>
      <c r="I28" s="150"/>
      <c r="K28" s="183"/>
      <c r="L28" s="183"/>
      <c r="M28" s="183"/>
      <c r="N28" s="183"/>
      <c r="O28" s="183"/>
      <c r="P28" s="183"/>
      <c r="Q28" s="183"/>
      <c r="R28" s="183"/>
      <c r="S28" s="183"/>
      <c r="T28" s="183"/>
      <c r="U28" s="183"/>
      <c r="V28" s="183"/>
      <c r="W28" s="183"/>
    </row>
    <row r="29" spans="1:23">
      <c r="B29" s="1127" t="s">
        <v>1308</v>
      </c>
      <c r="C29" s="191">
        <f>'Direct End use'!E38</f>
        <v>130.51191819201856</v>
      </c>
      <c r="D29" s="192">
        <f>Fuel_Specs!$C$25*C29/1000</f>
        <v>10069.722158099661</v>
      </c>
      <c r="E29" s="265">
        <f>'Direct End use'!H67</f>
        <v>743121.73883815389</v>
      </c>
      <c r="F29" s="1299">
        <f>E29*40</f>
        <v>29724869.553526156</v>
      </c>
      <c r="G29" s="265">
        <f>IF(E29=0,0,E29/$C$21)</f>
        <v>4186.6013455670645</v>
      </c>
      <c r="H29" s="261">
        <f t="shared" si="4"/>
        <v>73797.640805850635</v>
      </c>
      <c r="I29" s="150"/>
      <c r="J29" s="148"/>
      <c r="M29" s="155"/>
    </row>
    <row r="30" spans="1:23">
      <c r="B30" s="1105" t="s">
        <v>1384</v>
      </c>
      <c r="C30" s="151"/>
      <c r="D30" s="151"/>
      <c r="E30" s="1108">
        <f>'Direct End use'!H68</f>
        <v>23634.609584803256</v>
      </c>
      <c r="F30" s="1301">
        <f t="shared" ref="F30" si="9">E30*40</f>
        <v>945384.38339213026</v>
      </c>
      <c r="G30" s="1418">
        <f t="shared" ref="G30" si="10">IF(E30=0,0,E30/$C$21)</f>
        <v>133.15273005522963</v>
      </c>
      <c r="H30" s="261"/>
      <c r="I30" s="150"/>
      <c r="M30" s="155"/>
    </row>
    <row r="31" spans="1:23" s="152" customFormat="1">
      <c r="A31"/>
      <c r="B31" s="267" t="s">
        <v>1431</v>
      </c>
      <c r="C31" s="1378"/>
      <c r="D31" s="1378"/>
      <c r="E31" s="1323">
        <f>E5+E11+E17+E21</f>
        <v>1366115.4014149096</v>
      </c>
      <c r="F31" s="1514">
        <f>F5+F11+F17+F21</f>
        <v>54644616.056596383</v>
      </c>
      <c r="G31" s="1515">
        <f>G5+G11+G17+G21</f>
        <v>7705.9994691530737</v>
      </c>
      <c r="H31" s="1838">
        <f>E31/D21*1000</f>
        <v>99752.023707075263</v>
      </c>
      <c r="I31" s="150"/>
      <c r="M31" s="155"/>
    </row>
    <row r="32" spans="1:23">
      <c r="F32" s="265"/>
      <c r="M32" s="155"/>
    </row>
    <row r="33" spans="2:13">
      <c r="B33" s="272" t="s">
        <v>464</v>
      </c>
      <c r="M33" s="155"/>
    </row>
    <row r="34" spans="2:13" ht="30.75" thickBot="1">
      <c r="B34" s="207" t="s">
        <v>1430</v>
      </c>
      <c r="C34" s="185" t="s">
        <v>541</v>
      </c>
      <c r="D34" s="185" t="s">
        <v>542</v>
      </c>
      <c r="E34" s="185" t="s">
        <v>350</v>
      </c>
      <c r="F34" s="1366" t="s">
        <v>522</v>
      </c>
      <c r="G34" s="1366" t="s">
        <v>462</v>
      </c>
      <c r="H34" s="271" t="s">
        <v>1399</v>
      </c>
    </row>
    <row r="35" spans="2:13" ht="15.75" thickTop="1">
      <c r="B35" s="181" t="s">
        <v>466</v>
      </c>
      <c r="C35" s="151"/>
      <c r="D35" s="151"/>
      <c r="E35" s="151"/>
      <c r="F35" s="1367"/>
      <c r="G35" s="1367"/>
    </row>
    <row r="36" spans="2:13">
      <c r="B36" s="222" t="s">
        <v>463</v>
      </c>
      <c r="C36" s="224"/>
      <c r="D36" s="224"/>
      <c r="E36" s="347">
        <f>SUM(E37:E42)</f>
        <v>298718.59670037974</v>
      </c>
      <c r="F36" s="1368">
        <f>SUM(F37:F42)</f>
        <v>11948743.868015191</v>
      </c>
      <c r="G36" s="1369">
        <f>SUM(G37:G42)</f>
        <v>1682.9216715514353</v>
      </c>
      <c r="M36" s="155"/>
    </row>
    <row r="37" spans="2:13">
      <c r="B37" s="268" t="s">
        <v>1222</v>
      </c>
      <c r="C37" s="1115"/>
      <c r="D37" s="1302">
        <f>D45</f>
        <v>150.9606669505759</v>
      </c>
      <c r="E37" s="261">
        <f>Upstream!G65*D45/1000+Upstream!H141</f>
        <v>1630.8353253167645</v>
      </c>
      <c r="F37" s="1370">
        <f>E37*40</f>
        <v>65233.413012670579</v>
      </c>
      <c r="G37" s="1370">
        <f>E37/$C$21</f>
        <v>9.1878046496719126</v>
      </c>
      <c r="H37" s="261">
        <f>E37*1000000/D37/1000</f>
        <v>10803.047961166571</v>
      </c>
      <c r="M37" s="155"/>
    </row>
    <row r="38" spans="2:13">
      <c r="B38" s="1105" t="s">
        <v>1593</v>
      </c>
      <c r="C38" s="1116"/>
      <c r="D38" s="1302">
        <f t="shared" ref="D38:D42" si="11">D46</f>
        <v>136.95114651774358</v>
      </c>
      <c r="E38" s="261">
        <f>Upstream!H143+Upstream!H142</f>
        <v>2299.7654688621883</v>
      </c>
      <c r="F38" s="1370">
        <f t="shared" ref="F38:F42" si="12">E38*40</f>
        <v>91990.618754487528</v>
      </c>
      <c r="G38" s="1371">
        <f t="shared" ref="G38:G42" si="13">E38/$C$21</f>
        <v>12.956425176688384</v>
      </c>
      <c r="H38" s="261"/>
      <c r="M38" s="155"/>
    </row>
    <row r="39" spans="2:13">
      <c r="B39" s="1105" t="s">
        <v>1310</v>
      </c>
      <c r="C39" s="1116"/>
      <c r="D39" s="1302">
        <f t="shared" si="11"/>
        <v>246.51206373193844</v>
      </c>
      <c r="E39" s="261">
        <f>Upstream!H144</f>
        <v>5297.1482051767653</v>
      </c>
      <c r="F39" s="1370">
        <f t="shared" si="12"/>
        <v>211885.92820707062</v>
      </c>
      <c r="G39" s="1370">
        <f t="shared" si="13"/>
        <v>29.843088479869099</v>
      </c>
      <c r="H39" s="261"/>
      <c r="M39" s="155"/>
    </row>
    <row r="40" spans="2:13">
      <c r="B40" s="1105" t="s">
        <v>523</v>
      </c>
      <c r="C40" s="151"/>
      <c r="D40" s="1302">
        <f t="shared" si="11"/>
        <v>3014.4260578727417</v>
      </c>
      <c r="E40" s="261">
        <f>Upstream!H145</f>
        <v>64639.84392374794</v>
      </c>
      <c r="F40" s="1370">
        <f t="shared" si="12"/>
        <v>2585593.7569499174</v>
      </c>
      <c r="G40" s="1370">
        <f t="shared" si="13"/>
        <v>364.16813478167853</v>
      </c>
      <c r="H40" s="261">
        <f t="shared" ref="H40:H42" si="14">E40*1000000/D40/1000</f>
        <v>21443.499585909165</v>
      </c>
      <c r="M40" s="155"/>
    </row>
    <row r="41" spans="2:13">
      <c r="B41" s="1105" t="s">
        <v>364</v>
      </c>
      <c r="C41" s="1116"/>
      <c r="D41" s="1302">
        <f t="shared" si="11"/>
        <v>141.05968091327588</v>
      </c>
      <c r="E41" s="148">
        <f>Upstream!H146</f>
        <v>3024.813209252311</v>
      </c>
      <c r="F41" s="1370">
        <f t="shared" si="12"/>
        <v>120992.52837009245</v>
      </c>
      <c r="G41" s="1370">
        <f t="shared" si="13"/>
        <v>17.041201178886258</v>
      </c>
      <c r="H41" s="148"/>
      <c r="M41" s="155"/>
    </row>
    <row r="42" spans="2:13">
      <c r="B42" s="1105" t="s">
        <v>1311</v>
      </c>
      <c r="C42" s="151"/>
      <c r="D42" s="1302">
        <f t="shared" si="11"/>
        <v>10344.68229774346</v>
      </c>
      <c r="E42" s="148">
        <f>Upstream!H147</f>
        <v>221826.1905680238</v>
      </c>
      <c r="F42" s="1370">
        <f t="shared" si="12"/>
        <v>8873047.6227209512</v>
      </c>
      <c r="G42" s="1370">
        <f t="shared" si="13"/>
        <v>1249.7250172846411</v>
      </c>
      <c r="H42" s="148">
        <f t="shared" si="14"/>
        <v>21443.499585909169</v>
      </c>
      <c r="M42" s="155"/>
    </row>
    <row r="43" spans="2:13">
      <c r="B43" s="1106" t="s">
        <v>366</v>
      </c>
      <c r="C43" s="1103"/>
      <c r="D43" s="1114"/>
      <c r="E43" s="414"/>
      <c r="F43" s="1372"/>
      <c r="G43" s="1373"/>
      <c r="H43" s="148"/>
      <c r="M43" s="155"/>
    </row>
    <row r="44" spans="2:13" s="152" customFormat="1">
      <c r="B44" s="1107" t="s">
        <v>1286</v>
      </c>
      <c r="C44" s="1403">
        <f>SUM(C45:C50)</f>
        <v>109.99389400381374</v>
      </c>
      <c r="D44" s="1112">
        <f>SUM(D45:D50)</f>
        <v>14034.591913729735</v>
      </c>
      <c r="E44" s="223">
        <f>SUM(E45:E50)</f>
        <v>1097761.3723053162</v>
      </c>
      <c r="F44" s="1374">
        <f>SUM(F45:F50)</f>
        <v>43910454.892212652</v>
      </c>
      <c r="G44" s="1374">
        <f>IF(E44=0,0,E44/C21)</f>
        <v>6184.5711115792456</v>
      </c>
      <c r="H44" s="254"/>
      <c r="I44"/>
      <c r="M44" s="155"/>
    </row>
    <row r="45" spans="2:13">
      <c r="B45" s="1105" t="s">
        <v>1719</v>
      </c>
      <c r="C45" s="151">
        <f>'Direct End use'!E22</f>
        <v>1.1843440984881204</v>
      </c>
      <c r="D45" s="164">
        <f>'Direct End use'!F22</f>
        <v>150.9606669505759</v>
      </c>
      <c r="E45" s="1108">
        <f>'Direct End use'!H48</f>
        <v>8973.3866043995695</v>
      </c>
      <c r="F45" s="1375">
        <f>E45*40</f>
        <v>358935.46417598275</v>
      </c>
      <c r="G45" s="1375">
        <f t="shared" ref="G45:G50" si="15">IF(E45=0,0,E45/$C$21)</f>
        <v>50.554290729011662</v>
      </c>
      <c r="H45" s="148">
        <f>E45/D45*1000</f>
        <v>59441.885000000904</v>
      </c>
      <c r="M45" s="151"/>
    </row>
    <row r="46" spans="2:13">
      <c r="B46" s="1105" t="s">
        <v>1386</v>
      </c>
      <c r="C46" s="151">
        <f>'Direct End use'!E24</f>
        <v>1.7749999999999999</v>
      </c>
      <c r="D46" s="1775">
        <f>'Direct End use'!F24</f>
        <v>136.95114651774358</v>
      </c>
      <c r="E46" s="1108">
        <f>'Direct End use'!H51+'Direct End use'!E53</f>
        <v>8080.4371930752468</v>
      </c>
      <c r="F46" s="1376">
        <f t="shared" ref="F46:F50" si="16">E46*40</f>
        <v>323217.48772300989</v>
      </c>
      <c r="G46" s="1377">
        <f t="shared" si="15"/>
        <v>45.523589820142234</v>
      </c>
      <c r="H46" s="148"/>
      <c r="M46" s="151"/>
    </row>
    <row r="47" spans="2:13">
      <c r="B47" s="1105" t="s">
        <v>357</v>
      </c>
      <c r="C47" s="151">
        <f>'Direct End use'!E28</f>
        <v>1.9339813064195988</v>
      </c>
      <c r="D47" s="1775">
        <f>'Direct End use'!F28</f>
        <v>246.51206373193844</v>
      </c>
      <c r="E47" s="1108">
        <f>'Direct End use'!H56</f>
        <v>19315.926792699673</v>
      </c>
      <c r="F47" s="1376">
        <f t="shared" si="16"/>
        <v>772637.07170798688</v>
      </c>
      <c r="G47" s="1376">
        <f t="shared" si="15"/>
        <v>108.8221227757728</v>
      </c>
      <c r="H47" s="148"/>
      <c r="M47" s="151"/>
    </row>
    <row r="48" spans="2:13">
      <c r="B48" s="1105" t="s">
        <v>1312</v>
      </c>
      <c r="C48" s="151">
        <f>'Direct End use'!E32</f>
        <v>23.467699944513363</v>
      </c>
      <c r="D48" s="1775">
        <f>'Direct End use'!F32</f>
        <v>3014.4260578727417</v>
      </c>
      <c r="E48" s="1108">
        <f>'Direct End use'!H60</f>
        <v>238763.77251289575</v>
      </c>
      <c r="F48" s="1376">
        <f t="shared" si="16"/>
        <v>9550550.9005158301</v>
      </c>
      <c r="G48" s="1376">
        <f t="shared" si="15"/>
        <v>1345.1480141571592</v>
      </c>
      <c r="H48" s="148">
        <f t="shared" ref="H48:H50" si="17">E48/D48*1000</f>
        <v>79207.042378538084</v>
      </c>
      <c r="M48" s="151"/>
    </row>
    <row r="49" spans="2:21">
      <c r="B49" s="1105" t="s">
        <v>358</v>
      </c>
      <c r="C49" s="151">
        <f>'Direct End use'!E36</f>
        <v>1.0981680102240239</v>
      </c>
      <c r="D49" s="1775">
        <f>'Direct End use'!F36</f>
        <v>141.05968091327588</v>
      </c>
      <c r="E49" s="1108">
        <f>'Direct End use'!H65</f>
        <v>11172.920124000904</v>
      </c>
      <c r="F49" s="1376">
        <f t="shared" si="16"/>
        <v>446916.80496003618</v>
      </c>
      <c r="G49" s="1376">
        <f t="shared" si="15"/>
        <v>62.946028867610728</v>
      </c>
      <c r="H49" s="148"/>
      <c r="M49" s="151"/>
    </row>
    <row r="50" spans="2:21">
      <c r="B50" s="1105" t="s">
        <v>1313</v>
      </c>
      <c r="C50" s="151">
        <f>'Direct End use'!E40</f>
        <v>80.534700644168623</v>
      </c>
      <c r="D50" s="1775">
        <f>'Direct End use'!F40</f>
        <v>10344.68229774346</v>
      </c>
      <c r="E50" s="1108">
        <f>'Direct End use'!H69</f>
        <v>811454.92907824507</v>
      </c>
      <c r="F50" s="1376">
        <f t="shared" si="16"/>
        <v>32458197.163129803</v>
      </c>
      <c r="G50" s="1376">
        <f t="shared" si="15"/>
        <v>4571.5770652295496</v>
      </c>
      <c r="H50" s="148">
        <f t="shared" si="17"/>
        <v>78441.744823352565</v>
      </c>
      <c r="M50" s="151"/>
    </row>
    <row r="51" spans="2:21" s="152" customFormat="1">
      <c r="B51" s="267" t="s">
        <v>467</v>
      </c>
      <c r="C51" s="1378"/>
      <c r="D51" s="1378"/>
      <c r="E51" s="1323">
        <f>E36+E44</f>
        <v>1396479.969005696</v>
      </c>
      <c r="F51" s="1445">
        <f>F36+F44</f>
        <v>55859198.760227844</v>
      </c>
      <c r="G51" s="1445">
        <f>G36+G44</f>
        <v>7867.4927831306813</v>
      </c>
      <c r="H51" s="148">
        <f>E51/D44*1000</f>
        <v>99502.712839092259</v>
      </c>
      <c r="I51"/>
      <c r="J51"/>
      <c r="K51"/>
      <c r="L51"/>
      <c r="M51" s="224"/>
    </row>
    <row r="52" spans="2:21">
      <c r="B52" s="225" t="s">
        <v>468</v>
      </c>
      <c r="C52" s="1117"/>
      <c r="D52" s="1117"/>
      <c r="E52" s="226">
        <f>E31-E51</f>
        <v>-30364.567590786377</v>
      </c>
      <c r="F52" s="1444">
        <f>F31-F51</f>
        <v>-1214582.7036314607</v>
      </c>
      <c r="G52" s="1444">
        <f>G31-G51</f>
        <v>-161.49331397760761</v>
      </c>
    </row>
    <row r="53" spans="2:21">
      <c r="B53" s="274" t="s">
        <v>469</v>
      </c>
      <c r="C53" s="1118"/>
      <c r="D53" s="1118"/>
      <c r="E53" s="273">
        <f>-(1-E31/E51)</f>
        <v>-2.1743647073152239E-2</v>
      </c>
      <c r="F53" s="1404">
        <f>-(1-F31/F51)</f>
        <v>-2.174364707315235E-2</v>
      </c>
      <c r="G53" s="1404">
        <f>-(1-G31/G51)</f>
        <v>-2.052665549612942E-2</v>
      </c>
    </row>
    <row r="56" spans="2:21" ht="15.75" thickBot="1">
      <c r="B56" s="152" t="s">
        <v>1376</v>
      </c>
    </row>
    <row r="57" spans="2:21">
      <c r="M57" s="1419" t="s">
        <v>1463</v>
      </c>
      <c r="N57" s="1420"/>
      <c r="O57" s="1420"/>
      <c r="P57" s="1420"/>
      <c r="Q57" s="1421"/>
    </row>
    <row r="58" spans="2:21" ht="30.75" thickBot="1">
      <c r="B58" s="207" t="str">
        <f>B2</f>
        <v>Life Cycle Step</v>
      </c>
      <c r="C58" s="185" t="s">
        <v>541</v>
      </c>
      <c r="D58" s="185" t="s">
        <v>542</v>
      </c>
      <c r="E58" s="185" t="s">
        <v>350</v>
      </c>
      <c r="F58" s="1294" t="s">
        <v>522</v>
      </c>
      <c r="G58" s="1294" t="s">
        <v>462</v>
      </c>
      <c r="M58" s="1422"/>
      <c r="N58" t="s">
        <v>1462</v>
      </c>
      <c r="P58" t="s">
        <v>1461</v>
      </c>
      <c r="Q58" s="1423"/>
    </row>
    <row r="59" spans="2:21" ht="30.75" thickTop="1">
      <c r="B59" s="270" t="s">
        <v>1390</v>
      </c>
      <c r="E59" s="150"/>
      <c r="F59" s="1295"/>
      <c r="G59" s="1295"/>
      <c r="M59" s="1422"/>
      <c r="N59" t="s">
        <v>1390</v>
      </c>
      <c r="O59" t="s">
        <v>1451</v>
      </c>
      <c r="P59" t="s">
        <v>1390</v>
      </c>
      <c r="Q59" s="1423" t="s">
        <v>1451</v>
      </c>
      <c r="R59" s="177"/>
      <c r="S59" s="177"/>
    </row>
    <row r="60" spans="2:21">
      <c r="B60" t="s">
        <v>1055</v>
      </c>
      <c r="C60" s="224"/>
      <c r="D60" s="1112"/>
      <c r="E60" s="1112">
        <f>E5</f>
        <v>1580.7997202170586</v>
      </c>
      <c r="F60" s="1296">
        <f>F5</f>
        <v>63231.988808682348</v>
      </c>
      <c r="G60" s="1296">
        <f>G5</f>
        <v>8.9059139167158232</v>
      </c>
      <c r="M60" s="1422" t="s">
        <v>1055</v>
      </c>
      <c r="N60" s="148">
        <f>E60</f>
        <v>1580.7997202170586</v>
      </c>
      <c r="P60">
        <v>1580.7997202170586</v>
      </c>
      <c r="Q60" s="1424"/>
      <c r="R60" s="1347"/>
      <c r="S60" s="1347"/>
      <c r="T60" s="1347"/>
      <c r="U60" s="1347"/>
    </row>
    <row r="61" spans="2:21">
      <c r="B61" t="str">
        <f>B11</f>
        <v>Upstream Life cycle</v>
      </c>
      <c r="C61" s="224"/>
      <c r="D61" s="1112"/>
      <c r="E61" s="1112">
        <f>E11</f>
        <v>215757.18498103466</v>
      </c>
      <c r="F61" s="1296">
        <f>F11</f>
        <v>8630287.3992413878</v>
      </c>
      <c r="G61" s="1296">
        <f>G11</f>
        <v>1225.1081089622287</v>
      </c>
      <c r="M61" s="1422" t="s">
        <v>1179</v>
      </c>
      <c r="N61" s="148">
        <f t="shared" ref="N61:N71" si="18">E61</f>
        <v>215757.18498103466</v>
      </c>
      <c r="O61" s="148">
        <f>E75</f>
        <v>298718.59670037974</v>
      </c>
      <c r="P61">
        <v>107910.96397302329</v>
      </c>
      <c r="Q61" s="1424">
        <v>149319.44082220312</v>
      </c>
      <c r="R61" s="1347"/>
      <c r="S61" s="1347"/>
      <c r="T61" s="1347"/>
      <c r="U61" s="1347"/>
    </row>
    <row r="62" spans="2:21">
      <c r="B62" t="str">
        <f>B17</f>
        <v>Direct LNG Plant</v>
      </c>
      <c r="C62" s="224"/>
      <c r="D62" s="1112"/>
      <c r="E62" s="1112">
        <f>E17</f>
        <v>113280.84210940388</v>
      </c>
      <c r="F62" s="1296">
        <f>F17</f>
        <v>4531233.684376155</v>
      </c>
      <c r="G62" s="1296">
        <f>G17</f>
        <v>638.20192737692332</v>
      </c>
      <c r="M62" s="1422" t="s">
        <v>1454</v>
      </c>
      <c r="N62" s="148">
        <f t="shared" si="18"/>
        <v>113280.84210940388</v>
      </c>
      <c r="P62">
        <v>54521.505006099578</v>
      </c>
      <c r="Q62" s="1424"/>
      <c r="R62" s="1347"/>
      <c r="S62" s="1347"/>
      <c r="T62" s="1347"/>
      <c r="U62" s="1347"/>
    </row>
    <row r="63" spans="2:21">
      <c r="B63" t="str">
        <f t="shared" ref="B63:G63" si="19">B21</f>
        <v xml:space="preserve"> End Use LNG</v>
      </c>
      <c r="C63" s="224">
        <f t="shared" si="19"/>
        <v>177.5</v>
      </c>
      <c r="D63" s="1112">
        <f t="shared" si="19"/>
        <v>13695.114651774358</v>
      </c>
      <c r="E63" s="1112">
        <f t="shared" si="19"/>
        <v>1035496.574604254</v>
      </c>
      <c r="F63" s="1296">
        <f t="shared" si="19"/>
        <v>41419862.984170161</v>
      </c>
      <c r="G63" s="1296">
        <f t="shared" si="19"/>
        <v>5833.7835188972058</v>
      </c>
      <c r="M63" s="1422" t="s">
        <v>1304</v>
      </c>
      <c r="N63" s="148"/>
      <c r="Q63" s="1424"/>
      <c r="R63" s="1347"/>
      <c r="S63" s="1347"/>
      <c r="T63" s="1347"/>
      <c r="U63" s="1347"/>
    </row>
    <row r="64" spans="2:21">
      <c r="B64" s="149" t="str">
        <f>B22</f>
        <v xml:space="preserve"> LNG Peak Shaving</v>
      </c>
      <c r="C64" s="151">
        <f>C22</f>
        <v>1.9565749586664143</v>
      </c>
      <c r="D64" s="1128">
        <f t="shared" ref="D64:E64" si="20">D22</f>
        <v>150.9606669505759</v>
      </c>
      <c r="E64" s="164">
        <f t="shared" si="20"/>
        <v>8879.1871482224105</v>
      </c>
      <c r="F64" s="1296"/>
      <c r="G64" s="1296"/>
      <c r="M64" s="1425" t="s">
        <v>355</v>
      </c>
      <c r="N64" s="148">
        <f t="shared" si="18"/>
        <v>8879.1871482224105</v>
      </c>
      <c r="O64" s="148">
        <f>E77</f>
        <v>8973.3866043995695</v>
      </c>
      <c r="P64" s="144">
        <v>8879.1871482224105</v>
      </c>
      <c r="Q64" s="1840">
        <v>8973.3866043995695</v>
      </c>
      <c r="R64" s="1347"/>
      <c r="S64" s="1347"/>
      <c r="T64" s="1347"/>
      <c r="U64" s="1347"/>
    </row>
    <row r="65" spans="2:21">
      <c r="B65" s="149" t="str">
        <f t="shared" ref="B65:E72" si="21">B23</f>
        <v>Gig harbor LNG</v>
      </c>
      <c r="C65" s="151">
        <f t="shared" si="21"/>
        <v>1.7749999999999999</v>
      </c>
      <c r="D65" s="1128">
        <f t="shared" si="21"/>
        <v>136.95114651774358</v>
      </c>
      <c r="E65" s="164">
        <f t="shared" si="21"/>
        <v>8041.4637209028569</v>
      </c>
      <c r="F65" s="1296"/>
      <c r="G65" s="1296"/>
      <c r="M65" s="1425" t="s">
        <v>1385</v>
      </c>
      <c r="N65" s="148">
        <f t="shared" si="18"/>
        <v>8041.4637209028569</v>
      </c>
      <c r="O65" s="148">
        <f t="shared" ref="O65:O67" si="22">E78</f>
        <v>8080.4371930752468</v>
      </c>
      <c r="P65">
        <v>0</v>
      </c>
      <c r="Q65" s="1424">
        <v>0</v>
      </c>
      <c r="R65" s="1347"/>
      <c r="S65" s="1347"/>
      <c r="T65" s="1347"/>
      <c r="U65" s="1347"/>
    </row>
    <row r="66" spans="2:21">
      <c r="B66" s="149" t="str">
        <f t="shared" si="21"/>
        <v>On-road Trucking</v>
      </c>
      <c r="C66" s="151">
        <f t="shared" si="21"/>
        <v>3.55</v>
      </c>
      <c r="D66" s="1128">
        <f t="shared" si="21"/>
        <v>273.90229303548716</v>
      </c>
      <c r="E66" s="164">
        <f t="shared" si="21"/>
        <v>17862.044151279966</v>
      </c>
      <c r="F66" s="1296"/>
      <c r="G66" s="1296"/>
      <c r="M66" s="1425" t="s">
        <v>357</v>
      </c>
      <c r="N66" s="148">
        <f t="shared" si="18"/>
        <v>17862.044151279966</v>
      </c>
      <c r="O66" s="148">
        <f t="shared" si="22"/>
        <v>19315.926792699673</v>
      </c>
      <c r="P66">
        <v>0</v>
      </c>
      <c r="Q66" s="1424">
        <v>0</v>
      </c>
      <c r="R66" s="1347"/>
      <c r="S66" s="1347"/>
      <c r="T66" s="1347"/>
      <c r="U66" s="1347"/>
    </row>
    <row r="67" spans="2:21">
      <c r="B67" s="149" t="str">
        <f t="shared" si="21"/>
        <v>TOTE Marine</v>
      </c>
      <c r="C67" s="151">
        <f t="shared" si="21"/>
        <v>37.931506849315021</v>
      </c>
      <c r="D67" s="1128">
        <f t="shared" si="21"/>
        <v>2926.6272406531471</v>
      </c>
      <c r="E67" s="164">
        <f t="shared" si="21"/>
        <v>216544.64286583982</v>
      </c>
      <c r="F67" s="1296"/>
      <c r="G67" s="1296"/>
      <c r="M67" s="1425" t="s">
        <v>1218</v>
      </c>
      <c r="N67" s="148">
        <f t="shared" si="18"/>
        <v>216544.64286583982</v>
      </c>
      <c r="O67" s="148">
        <f t="shared" si="22"/>
        <v>238763.77251289575</v>
      </c>
      <c r="P67">
        <v>216544.64286584005</v>
      </c>
      <c r="Q67" s="1424">
        <v>238763.77251289604</v>
      </c>
      <c r="R67" s="1347"/>
      <c r="S67" s="1347"/>
      <c r="T67" s="1347"/>
      <c r="U67" s="1347"/>
    </row>
    <row r="68" spans="2:21">
      <c r="B68" s="149" t="str">
        <f t="shared" si="21"/>
        <v>TOTE Marine Diesel Pilot fuel</v>
      </c>
      <c r="C68" s="151">
        <f t="shared" si="21"/>
        <v>0</v>
      </c>
      <c r="D68" s="1128">
        <f t="shared" si="21"/>
        <v>0</v>
      </c>
      <c r="E68" s="164">
        <f t="shared" si="21"/>
        <v>6954.2846362979344</v>
      </c>
      <c r="F68" s="1296"/>
      <c r="G68" s="1296"/>
      <c r="M68" s="1425"/>
      <c r="N68" s="148"/>
      <c r="Q68" s="1424"/>
      <c r="R68" s="1347"/>
      <c r="S68" s="1347"/>
      <c r="T68" s="1347"/>
      <c r="U68" s="1347"/>
    </row>
    <row r="69" spans="2:21">
      <c r="B69" s="149" t="str">
        <f t="shared" si="21"/>
        <v>Truck-to-Ship Bunkering</v>
      </c>
      <c r="C69" s="151">
        <f t="shared" si="21"/>
        <v>1.7749999999999999</v>
      </c>
      <c r="D69" s="1128">
        <f t="shared" si="21"/>
        <v>136.95114651774358</v>
      </c>
      <c r="E69" s="164">
        <f t="shared" si="21"/>
        <v>10133.178800773285</v>
      </c>
      <c r="F69" s="1296"/>
      <c r="G69" s="1296"/>
      <c r="M69" s="1425" t="s">
        <v>1453</v>
      </c>
      <c r="N69" s="148">
        <f>E69</f>
        <v>10133.178800773285</v>
      </c>
      <c r="O69" s="148">
        <f>E81</f>
        <v>11172.920124000904</v>
      </c>
      <c r="P69">
        <v>0</v>
      </c>
      <c r="Q69" s="1424">
        <v>0</v>
      </c>
      <c r="R69" s="1347"/>
      <c r="S69" s="1347"/>
      <c r="T69" s="1347"/>
      <c r="U69" s="1347"/>
    </row>
    <row r="70" spans="2:21">
      <c r="B70" s="149" t="str">
        <f t="shared" si="21"/>
        <v>Truck-to-Ship Bunkering Pilot Fuel</v>
      </c>
      <c r="C70" s="151"/>
      <c r="D70" s="1128"/>
      <c r="E70" s="164">
        <f t="shared" si="21"/>
        <v>325.42485798060875</v>
      </c>
      <c r="F70" s="1296"/>
      <c r="G70" s="1296"/>
      <c r="M70" s="1425" t="s">
        <v>1452</v>
      </c>
      <c r="N70" s="148">
        <f t="shared" si="18"/>
        <v>325.42485798060875</v>
      </c>
      <c r="O70" s="148"/>
      <c r="P70">
        <v>0</v>
      </c>
      <c r="Q70" s="1424"/>
      <c r="R70" s="1347"/>
      <c r="S70" s="1347"/>
      <c r="T70" s="1347"/>
      <c r="U70" s="1347"/>
    </row>
    <row r="71" spans="2:21">
      <c r="B71" s="149" t="str">
        <f t="shared" si="21"/>
        <v>Other Marine LNG  (by Bunker Barge)</v>
      </c>
      <c r="C71" s="151">
        <f t="shared" si="21"/>
        <v>130.51191819201856</v>
      </c>
      <c r="D71" s="1128">
        <f t="shared" si="21"/>
        <v>10069.722158099661</v>
      </c>
      <c r="E71" s="164">
        <f t="shared" si="21"/>
        <v>743121.73883815389</v>
      </c>
      <c r="F71" s="1296"/>
      <c r="G71" s="1296"/>
      <c r="M71" s="1425" t="s">
        <v>1739</v>
      </c>
      <c r="N71" s="148">
        <f t="shared" si="18"/>
        <v>743121.73883815389</v>
      </c>
      <c r="O71" s="148">
        <f>E82</f>
        <v>811454.92907824507</v>
      </c>
      <c r="P71">
        <v>278214.84897952381</v>
      </c>
      <c r="Q71" s="1424">
        <v>305834.63817532116</v>
      </c>
      <c r="R71" s="1347"/>
      <c r="S71" s="1347"/>
      <c r="T71" s="1347"/>
      <c r="U71" s="1347"/>
    </row>
    <row r="72" spans="2:21">
      <c r="B72" s="149" t="str">
        <f t="shared" si="21"/>
        <v>Other Marine Diesel  Pilot Fuel</v>
      </c>
      <c r="C72" s="151"/>
      <c r="D72" s="151"/>
      <c r="E72" s="164">
        <f t="shared" si="21"/>
        <v>23634.609584803256</v>
      </c>
      <c r="F72" s="1296"/>
      <c r="G72" s="1296"/>
      <c r="M72" s="1425" t="s">
        <v>1452</v>
      </c>
      <c r="N72" s="148">
        <f>E72+E70+E68</f>
        <v>30914.319079081797</v>
      </c>
      <c r="P72">
        <v>15862.089631695642</v>
      </c>
      <c r="Q72" s="1424"/>
      <c r="R72" s="1347"/>
      <c r="S72" s="1347"/>
      <c r="T72" s="1347"/>
      <c r="U72" s="1347"/>
    </row>
    <row r="73" spans="2:21" ht="15.75" thickBot="1">
      <c r="B73" s="158" t="s">
        <v>200</v>
      </c>
      <c r="C73" s="1117">
        <f t="shared" ref="C73:D73" si="23">SUM(C60:C63)</f>
        <v>177.5</v>
      </c>
      <c r="D73" s="1380">
        <f t="shared" si="23"/>
        <v>13695.114651774358</v>
      </c>
      <c r="E73" s="1380">
        <f>SUM(E60:E63)</f>
        <v>1366115.4014149096</v>
      </c>
      <c r="F73" s="1297">
        <f t="shared" ref="F73:G73" si="24">SUM(F60:F63)</f>
        <v>54644616.056596383</v>
      </c>
      <c r="G73" s="1297">
        <f t="shared" si="24"/>
        <v>7705.9994691530737</v>
      </c>
      <c r="M73" s="1426" t="s">
        <v>1393</v>
      </c>
      <c r="N73" s="1427">
        <f>SUM(N60:N72)</f>
        <v>1366440.8262728902</v>
      </c>
      <c r="O73" s="1427">
        <f t="shared" ref="O73" si="25">SUM(O60:O72)</f>
        <v>1396479.969005696</v>
      </c>
      <c r="P73" s="1427">
        <v>683514.03732462192</v>
      </c>
      <c r="Q73" s="1428">
        <v>702891.23811481986</v>
      </c>
      <c r="R73" s="1347"/>
      <c r="S73" s="1347"/>
      <c r="T73" s="1347"/>
      <c r="U73" s="1347"/>
    </row>
    <row r="74" spans="2:21">
      <c r="B74" s="152" t="str">
        <f>B33</f>
        <v>NO ACTION</v>
      </c>
      <c r="E74" s="150"/>
      <c r="F74" s="1295"/>
      <c r="G74" s="1295"/>
    </row>
    <row r="75" spans="2:21">
      <c r="B75" t="s">
        <v>1388</v>
      </c>
      <c r="C75" s="224"/>
      <c r="D75" s="1112"/>
      <c r="E75" s="1112">
        <f>E36</f>
        <v>298718.59670037974</v>
      </c>
      <c r="F75" s="1296">
        <f>F36</f>
        <v>11948743.868015191</v>
      </c>
      <c r="G75" s="1296">
        <f>G36</f>
        <v>1682.9216715514353</v>
      </c>
    </row>
    <row r="76" spans="2:21">
      <c r="B76" t="str">
        <f t="shared" ref="B76:G76" si="26">B44</f>
        <v>Total End Use Diesel /Fuel Oil/LNG</v>
      </c>
      <c r="C76" s="224">
        <f>C44</f>
        <v>109.99389400381374</v>
      </c>
      <c r="D76" s="1112">
        <f t="shared" si="26"/>
        <v>14034.591913729735</v>
      </c>
      <c r="E76" s="1112">
        <f t="shared" si="26"/>
        <v>1097761.3723053162</v>
      </c>
      <c r="F76" s="1296">
        <f t="shared" si="26"/>
        <v>43910454.892212652</v>
      </c>
      <c r="G76" s="1296">
        <f t="shared" si="26"/>
        <v>6184.5711115792456</v>
      </c>
    </row>
    <row r="77" spans="2:21">
      <c r="B77" s="149" t="s">
        <v>1717</v>
      </c>
      <c r="C77" s="151">
        <f>C45</f>
        <v>1.1843440984881204</v>
      </c>
      <c r="D77" s="164">
        <f t="shared" ref="D77:E77" si="27">D45</f>
        <v>150.9606669505759</v>
      </c>
      <c r="E77" s="164">
        <f t="shared" si="27"/>
        <v>8973.3866043995695</v>
      </c>
      <c r="F77" s="1296"/>
      <c r="G77" s="1296"/>
      <c r="N77" s="148"/>
    </row>
    <row r="78" spans="2:21">
      <c r="B78" s="149" t="str">
        <f t="shared" ref="B78:E82" si="28">B46</f>
        <v>Gig  harbor LNG</v>
      </c>
      <c r="C78" s="151">
        <f t="shared" si="28"/>
        <v>1.7749999999999999</v>
      </c>
      <c r="D78" s="164">
        <f t="shared" si="28"/>
        <v>136.95114651774358</v>
      </c>
      <c r="E78" s="164">
        <f t="shared" si="28"/>
        <v>8080.4371930752468</v>
      </c>
      <c r="F78" s="1296"/>
      <c r="G78" s="1296"/>
      <c r="N78" s="148"/>
    </row>
    <row r="79" spans="2:21">
      <c r="B79" s="149" t="str">
        <f t="shared" si="28"/>
        <v>On-road Trucking</v>
      </c>
      <c r="C79" s="151">
        <f t="shared" si="28"/>
        <v>1.9339813064195988</v>
      </c>
      <c r="D79" s="164">
        <f t="shared" si="28"/>
        <v>246.51206373193844</v>
      </c>
      <c r="E79" s="164">
        <f t="shared" si="28"/>
        <v>19315.926792699673</v>
      </c>
      <c r="F79" s="1296"/>
      <c r="G79" s="1296"/>
    </row>
    <row r="80" spans="2:21">
      <c r="B80" s="149" t="str">
        <f t="shared" si="28"/>
        <v>TOTE Marine Diesel</v>
      </c>
      <c r="C80" s="151">
        <f t="shared" si="28"/>
        <v>23.467699944513363</v>
      </c>
      <c r="D80" s="164">
        <f t="shared" si="28"/>
        <v>3014.4260578727417</v>
      </c>
      <c r="E80" s="164">
        <f t="shared" si="28"/>
        <v>238763.77251289575</v>
      </c>
      <c r="F80" s="1296"/>
      <c r="G80" s="1296"/>
    </row>
    <row r="81" spans="2:7">
      <c r="B81" s="149" t="str">
        <f t="shared" si="28"/>
        <v>Truck-to-Ship Bunkering</v>
      </c>
      <c r="C81" s="151">
        <f t="shared" si="28"/>
        <v>1.0981680102240239</v>
      </c>
      <c r="D81" s="164">
        <f t="shared" si="28"/>
        <v>141.05968091327588</v>
      </c>
      <c r="E81" s="164">
        <f t="shared" si="28"/>
        <v>11172.920124000904</v>
      </c>
      <c r="F81" s="1296"/>
      <c r="G81" s="1296"/>
    </row>
    <row r="82" spans="2:7">
      <c r="B82" s="149" t="str">
        <f t="shared" si="28"/>
        <v>Other Marine Diesel  (by Bunker Barge)</v>
      </c>
      <c r="C82" s="151">
        <f t="shared" si="28"/>
        <v>80.534700644168623</v>
      </c>
      <c r="D82" s="164">
        <f t="shared" si="28"/>
        <v>10344.68229774346</v>
      </c>
      <c r="E82" s="164">
        <f t="shared" si="28"/>
        <v>811454.92907824507</v>
      </c>
      <c r="F82" s="1296"/>
      <c r="G82" s="1296"/>
    </row>
    <row r="83" spans="2:7">
      <c r="B83" s="158" t="s">
        <v>200</v>
      </c>
      <c r="C83" s="1117">
        <f>SUM(C75:C76)</f>
        <v>109.99389400381374</v>
      </c>
      <c r="D83" s="1380">
        <f t="shared" ref="D83:G83" si="29">SUM(D75:D76)</f>
        <v>14034.591913729735</v>
      </c>
      <c r="E83" s="1380">
        <f t="shared" si="29"/>
        <v>1396479.969005696</v>
      </c>
      <c r="F83" s="1297">
        <f t="shared" si="29"/>
        <v>55859198.760227844</v>
      </c>
      <c r="G83" s="1297">
        <f t="shared" si="29"/>
        <v>7867.4927831306813</v>
      </c>
    </row>
    <row r="84" spans="2:7">
      <c r="B84" s="1381" t="s">
        <v>1393</v>
      </c>
      <c r="C84" s="1382"/>
      <c r="D84" s="1384">
        <f>-(1-E73/E83)</f>
        <v>-2.1743647073152239E-2</v>
      </c>
      <c r="E84" s="1383">
        <f>E73-E83</f>
        <v>-30364.567590786377</v>
      </c>
      <c r="F84" s="1446">
        <f t="shared" ref="F84:G84" si="30">F73-F83</f>
        <v>-1214582.7036314607</v>
      </c>
      <c r="G84" s="1446">
        <f t="shared" si="30"/>
        <v>-161.49331397760761</v>
      </c>
    </row>
    <row r="85" spans="2:7">
      <c r="C85"/>
      <c r="D85"/>
      <c r="F85" s="1298">
        <f t="shared" ref="F85:G85" si="31">-(1-F73/F83)</f>
        <v>-2.174364707315235E-2</v>
      </c>
      <c r="G85" s="1298">
        <f t="shared" si="31"/>
        <v>-2.052665549612942E-2</v>
      </c>
    </row>
  </sheetData>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2"/>
  </sheetPr>
  <dimension ref="A1:AF234"/>
  <sheetViews>
    <sheetView showGridLines="0" workbookViewId="0">
      <selection activeCell="B81" sqref="B81"/>
    </sheetView>
  </sheetViews>
  <sheetFormatPr defaultColWidth="11.42578125" defaultRowHeight="12.75" outlineLevelCol="1"/>
  <cols>
    <col min="1" max="1" width="30.85546875" style="137" customWidth="1"/>
    <col min="2" max="2" width="11.28515625" style="137" customWidth="1"/>
    <col min="3" max="3" width="10.42578125" style="137" customWidth="1"/>
    <col min="4" max="4" width="10.7109375" style="137" customWidth="1"/>
    <col min="5" max="5" width="8.42578125" style="137" customWidth="1" outlineLevel="1"/>
    <col min="6" max="6" width="11.28515625" style="137" customWidth="1" outlineLevel="1"/>
    <col min="7" max="7" width="10" style="137" customWidth="1" outlineLevel="1"/>
    <col min="8" max="9" width="11.42578125" style="137" customWidth="1" outlineLevel="1"/>
    <col min="10" max="10" width="13.28515625" style="136" customWidth="1" outlineLevel="1"/>
    <col min="11" max="11" width="12.85546875" style="136" customWidth="1" outlineLevel="1"/>
    <col min="12" max="12" width="11.28515625" style="136" customWidth="1" outlineLevel="1"/>
    <col min="13" max="13" width="9.42578125" style="136" customWidth="1" outlineLevel="1"/>
    <col min="14" max="17" width="10" style="136" customWidth="1" outlineLevel="1"/>
    <col min="18" max="19" width="11.42578125" style="136" customWidth="1" outlineLevel="1"/>
    <col min="20" max="21" width="11.42578125" style="137" customWidth="1" outlineLevel="1"/>
    <col min="22" max="22" width="11.42578125" style="137"/>
    <col min="23" max="23" width="22.5703125" style="137" customWidth="1"/>
    <col min="24" max="16384" width="11.42578125" style="137"/>
  </cols>
  <sheetData>
    <row r="1" spans="1:32" s="3" customFormat="1" ht="15.75">
      <c r="A1" s="1" t="s">
        <v>0</v>
      </c>
      <c r="B1" s="1"/>
      <c r="C1" s="1"/>
      <c r="D1" s="1"/>
      <c r="E1" s="1"/>
      <c r="F1" s="1"/>
      <c r="G1" s="1"/>
      <c r="H1" s="2"/>
      <c r="I1" s="2"/>
      <c r="J1" s="2"/>
      <c r="K1" s="2"/>
      <c r="L1" s="2"/>
      <c r="M1" s="2"/>
      <c r="N1" s="2"/>
      <c r="O1" s="2"/>
      <c r="P1" s="2"/>
      <c r="Q1" s="2"/>
      <c r="R1" s="2"/>
      <c r="S1" s="2"/>
      <c r="T1" s="2"/>
      <c r="U1" s="2"/>
      <c r="V1" s="2"/>
      <c r="W1" s="2"/>
      <c r="X1" s="2"/>
      <c r="Y1" s="2"/>
      <c r="Z1" s="2"/>
      <c r="AA1" s="2"/>
      <c r="AB1" s="2"/>
    </row>
    <row r="2" spans="1:32" s="3" customFormat="1" ht="16.5" thickBot="1">
      <c r="A2" s="1973" t="s">
        <v>1</v>
      </c>
      <c r="B2" s="1973"/>
      <c r="C2" s="1973"/>
      <c r="D2" s="1973"/>
      <c r="E2" s="1973"/>
      <c r="F2" s="1973"/>
      <c r="G2" s="1973"/>
      <c r="H2" s="4"/>
      <c r="I2" s="2"/>
      <c r="J2" s="5">
        <f>COLUMN()</f>
        <v>10</v>
      </c>
      <c r="K2" s="5">
        <f>COLUMN()</f>
        <v>11</v>
      </c>
      <c r="L2" s="5">
        <f>COLUMN()</f>
        <v>12</v>
      </c>
      <c r="M2" s="5">
        <f>COLUMN()</f>
        <v>13</v>
      </c>
      <c r="N2" s="5">
        <f>COLUMN()</f>
        <v>14</v>
      </c>
      <c r="O2" s="5">
        <f>COLUMN()</f>
        <v>15</v>
      </c>
      <c r="P2" s="5">
        <f>COLUMN()</f>
        <v>16</v>
      </c>
      <c r="Q2" s="5"/>
      <c r="R2" s="5">
        <f>COLUMN()</f>
        <v>18</v>
      </c>
      <c r="S2" s="5">
        <f>COLUMN()</f>
        <v>19</v>
      </c>
      <c r="T2" s="5">
        <f>COLUMN()</f>
        <v>20</v>
      </c>
      <c r="U2" s="5">
        <f>COLUMN()</f>
        <v>21</v>
      </c>
      <c r="V2" s="6"/>
      <c r="W2" s="2"/>
      <c r="X2" s="2"/>
      <c r="Y2" s="2"/>
      <c r="Z2" s="2"/>
      <c r="AA2" s="2"/>
      <c r="AB2" s="2"/>
    </row>
    <row r="3" spans="1:32" s="22" customFormat="1" ht="23.25" customHeight="1">
      <c r="A3" s="7" t="s">
        <v>2</v>
      </c>
      <c r="B3" s="1974" t="s">
        <v>3</v>
      </c>
      <c r="C3" s="1974"/>
      <c r="D3" s="1974"/>
      <c r="E3" s="8" t="s">
        <v>4</v>
      </c>
      <c r="F3" s="8" t="s">
        <v>5</v>
      </c>
      <c r="G3" s="9" t="s">
        <v>6</v>
      </c>
      <c r="H3" s="10" t="s">
        <v>6</v>
      </c>
      <c r="I3" s="11" t="s">
        <v>183</v>
      </c>
      <c r="J3" s="12"/>
      <c r="K3" s="13" t="s">
        <v>7</v>
      </c>
      <c r="L3" s="14"/>
      <c r="M3" s="15"/>
      <c r="N3" s="16"/>
      <c r="O3" s="16"/>
      <c r="P3" s="13" t="s">
        <v>3</v>
      </c>
      <c r="Q3" s="13"/>
      <c r="R3" s="17"/>
      <c r="S3" s="17"/>
      <c r="T3" s="18" t="s">
        <v>8</v>
      </c>
      <c r="U3" s="10"/>
      <c r="V3" s="19"/>
      <c r="W3" s="20"/>
      <c r="X3" s="21"/>
      <c r="Y3" s="21"/>
      <c r="Z3" s="21"/>
      <c r="AA3" s="21"/>
      <c r="AB3" s="21"/>
    </row>
    <row r="4" spans="1:32" s="22" customFormat="1" ht="21" customHeight="1">
      <c r="A4" s="23"/>
      <c r="B4" s="24" t="s">
        <v>9</v>
      </c>
      <c r="C4" s="25" t="s">
        <v>10</v>
      </c>
      <c r="D4" s="25" t="s">
        <v>11</v>
      </c>
      <c r="E4" s="25" t="s">
        <v>4</v>
      </c>
      <c r="F4" s="25" t="s">
        <v>12</v>
      </c>
      <c r="G4" s="26" t="s">
        <v>13</v>
      </c>
      <c r="H4" s="27"/>
      <c r="J4" s="28" t="s">
        <v>14</v>
      </c>
      <c r="K4" s="29" t="s">
        <v>15</v>
      </c>
      <c r="L4" s="29" t="s">
        <v>16</v>
      </c>
      <c r="M4" s="30"/>
      <c r="N4" s="28" t="s">
        <v>3</v>
      </c>
      <c r="O4" s="28" t="s">
        <v>3</v>
      </c>
      <c r="P4" s="29" t="s">
        <v>3</v>
      </c>
      <c r="Q4" s="29" t="s">
        <v>3</v>
      </c>
      <c r="S4" s="644" t="s">
        <v>1031</v>
      </c>
      <c r="T4" s="31"/>
      <c r="U4" s="32"/>
      <c r="V4" s="33"/>
      <c r="W4" s="34"/>
      <c r="X4" s="21"/>
      <c r="Y4" s="21"/>
      <c r="Z4" s="21"/>
      <c r="AA4" s="21"/>
      <c r="AB4" s="21"/>
    </row>
    <row r="5" spans="1:32" s="22" customFormat="1" ht="12.75" customHeight="1" thickBot="1">
      <c r="A5" s="35" t="s">
        <v>17</v>
      </c>
      <c r="B5" s="36">
        <v>1</v>
      </c>
      <c r="C5" s="37" t="s">
        <v>18</v>
      </c>
      <c r="D5" s="38"/>
      <c r="E5" s="38"/>
      <c r="F5" s="39"/>
      <c r="G5" s="40"/>
      <c r="H5" s="40"/>
      <c r="I5" s="41"/>
      <c r="J5" s="42" t="str">
        <f>IF($B$5=1,"LHV","HHV")</f>
        <v>LHV</v>
      </c>
      <c r="K5" s="43" t="str">
        <f>IF($B$5=1,"LHV","HHV")</f>
        <v>LHV</v>
      </c>
      <c r="L5" s="43" t="str">
        <f>IF($B$5=1,"LHV","HHV")</f>
        <v>LHV</v>
      </c>
      <c r="M5" s="40"/>
      <c r="N5" s="42" t="str">
        <f>IF($B$5=1,"LHV","HHV")</f>
        <v>LHV</v>
      </c>
      <c r="O5" s="42" t="s">
        <v>11</v>
      </c>
      <c r="P5" s="43" t="str">
        <f>IF($B$5=1,"LHV","HHV")</f>
        <v>LHV</v>
      </c>
      <c r="Q5" s="43" t="s">
        <v>11</v>
      </c>
      <c r="R5" s="44"/>
      <c r="S5" s="638"/>
      <c r="T5" s="45" t="s">
        <v>19</v>
      </c>
      <c r="U5" s="40"/>
      <c r="V5" s="45" t="s">
        <v>20</v>
      </c>
      <c r="W5" s="40" t="s">
        <v>21</v>
      </c>
      <c r="X5" s="21"/>
      <c r="Y5" s="21"/>
      <c r="Z5" s="21"/>
      <c r="AA5" s="21"/>
      <c r="AB5" s="21"/>
    </row>
    <row r="6" spans="1:32" s="22" customFormat="1" ht="11.25">
      <c r="A6" s="46" t="s">
        <v>22</v>
      </c>
      <c r="B6" s="47" t="s">
        <v>23</v>
      </c>
      <c r="C6" s="47" t="s">
        <v>23</v>
      </c>
      <c r="D6" s="47" t="s">
        <v>23</v>
      </c>
      <c r="E6" s="47" t="s">
        <v>24</v>
      </c>
      <c r="F6" s="48"/>
      <c r="G6" s="49"/>
      <c r="H6" s="50" t="s">
        <v>25</v>
      </c>
      <c r="I6" s="51" t="s">
        <v>296</v>
      </c>
      <c r="J6" s="52" t="s">
        <v>547</v>
      </c>
      <c r="K6" s="53" t="s">
        <v>547</v>
      </c>
      <c r="L6" s="53" t="s">
        <v>547</v>
      </c>
      <c r="M6" s="54" t="s">
        <v>184</v>
      </c>
      <c r="N6" s="52" t="s">
        <v>26</v>
      </c>
      <c r="O6" s="52" t="s">
        <v>26</v>
      </c>
      <c r="P6" s="53" t="s">
        <v>27</v>
      </c>
      <c r="Q6" s="53" t="s">
        <v>27</v>
      </c>
      <c r="R6" s="55" t="s">
        <v>28</v>
      </c>
      <c r="S6" s="55"/>
      <c r="T6" s="52" t="s">
        <v>29</v>
      </c>
      <c r="U6" s="56" t="s">
        <v>30</v>
      </c>
      <c r="V6" s="21"/>
      <c r="W6" s="21"/>
      <c r="X6" s="21"/>
      <c r="Y6" s="21"/>
      <c r="Z6" s="21"/>
      <c r="AA6" s="21"/>
      <c r="AB6" s="21"/>
    </row>
    <row r="7" spans="1:32" s="22" customFormat="1" ht="11.25">
      <c r="A7" s="33" t="s">
        <v>31</v>
      </c>
      <c r="B7" s="57">
        <f t="shared" ref="B7:B28" si="0">IF($B$5=1,C7,D7)</f>
        <v>129670</v>
      </c>
      <c r="C7" s="58">
        <v>129670</v>
      </c>
      <c r="D7" s="58">
        <v>138350</v>
      </c>
      <c r="E7" s="58">
        <v>3205</v>
      </c>
      <c r="F7" s="59">
        <v>0.85299999999999998</v>
      </c>
      <c r="G7" s="60">
        <v>16000</v>
      </c>
      <c r="H7" s="61">
        <v>1.6E-2</v>
      </c>
      <c r="I7" s="62">
        <f t="shared" ref="I7:I12" si="1">E7*H7/B7*1000000</f>
        <v>395.46541220020055</v>
      </c>
      <c r="J7" s="63">
        <f t="shared" ref="J7:J12" si="2">E7*F7/CO2_C_Ratio/B7*1000000</f>
        <v>77234.098132822895</v>
      </c>
      <c r="K7" s="57">
        <f t="shared" ref="K7:K12" si="3">E7*F7/CO2_C_Ratio/B7*1000000</f>
        <v>77234.098132822895</v>
      </c>
      <c r="L7" s="57">
        <f t="shared" ref="L7:L12" si="4">J7-K7</f>
        <v>0</v>
      </c>
      <c r="M7" s="64">
        <f t="shared" ref="M7:M45" si="5">J7/JperBtu</f>
        <v>73.203800664033949</v>
      </c>
      <c r="N7" s="65">
        <f t="shared" ref="N7:N28" si="6">C7*JperBtu/1000/E7</f>
        <v>42.686144171450863</v>
      </c>
      <c r="O7" s="65">
        <f t="shared" ref="O7:O43" si="7">D7*JperBtu/1000/E7</f>
        <v>45.543518517160685</v>
      </c>
      <c r="P7" s="66">
        <f>Fuel_Specs!B7/Fuel_Specs!E7*gperlb</f>
        <v>18351.927037255675</v>
      </c>
      <c r="Q7" s="66">
        <f>Fuel_Specs!D7/Fuel_Specs!E7*gperlb</f>
        <v>19580.389493362556</v>
      </c>
      <c r="R7" s="64">
        <f t="shared" ref="R7:R12" si="8">N7*E7/1000</f>
        <v>136.8090920695</v>
      </c>
      <c r="S7" s="640">
        <f>P7/Q7</f>
        <v>0.93726057101554028</v>
      </c>
      <c r="T7" s="67">
        <f t="shared" ref="T7:T12" si="9">E7/gperlb</f>
        <v>7.0657429999999986</v>
      </c>
      <c r="U7" s="68">
        <f t="shared" ref="U7:U12" si="10">T7*gperlb/Lpergal/1000</f>
        <v>0.84667142870253342</v>
      </c>
      <c r="V7" s="21" t="s">
        <v>32</v>
      </c>
      <c r="W7" s="21"/>
      <c r="X7" s="21"/>
      <c r="Y7" s="21"/>
      <c r="Z7" s="21"/>
      <c r="AA7" s="21"/>
      <c r="AB7" s="21"/>
      <c r="AC7" s="21"/>
      <c r="AD7" s="21"/>
      <c r="AE7" s="21"/>
      <c r="AF7" s="21"/>
    </row>
    <row r="8" spans="1:32" s="22" customFormat="1" ht="11.25">
      <c r="A8" s="33" t="s">
        <v>33</v>
      </c>
      <c r="B8" s="57">
        <f t="shared" si="0"/>
        <v>116090</v>
      </c>
      <c r="C8" s="58">
        <v>116090</v>
      </c>
      <c r="D8" s="58">
        <v>124340</v>
      </c>
      <c r="E8" s="58">
        <v>2819</v>
      </c>
      <c r="F8" s="59">
        <v>0.86299999999999999</v>
      </c>
      <c r="G8" s="69">
        <v>25.5</v>
      </c>
      <c r="H8" s="70">
        <v>2.55E-5</v>
      </c>
      <c r="I8" s="62">
        <f t="shared" si="1"/>
        <v>0.61921354121802052</v>
      </c>
      <c r="J8" s="63">
        <f t="shared" si="2"/>
        <v>76768.417087765964</v>
      </c>
      <c r="K8" s="57">
        <f t="shared" si="3"/>
        <v>76768.417087765964</v>
      </c>
      <c r="L8" s="57">
        <f t="shared" si="4"/>
        <v>0</v>
      </c>
      <c r="M8" s="64">
        <f t="shared" si="5"/>
        <v>72.762420195827517</v>
      </c>
      <c r="N8" s="65">
        <f t="shared" si="6"/>
        <v>43.448539775274924</v>
      </c>
      <c r="O8" s="65">
        <f t="shared" si="7"/>
        <v>46.536234263568637</v>
      </c>
      <c r="P8" s="66">
        <f>Fuel_Specs!B8/Fuel_Specs!E8*gperlb</f>
        <v>18679.701512240026</v>
      </c>
      <c r="Q8" s="66">
        <f>Fuel_Specs!D8/Fuel_Specs!E8*gperlb</f>
        <v>20007.184822395771</v>
      </c>
      <c r="R8" s="64">
        <f t="shared" si="8"/>
        <v>122.48143362650002</v>
      </c>
      <c r="S8" s="640">
        <f t="shared" ref="S8:S67" si="11">P8/Q8</f>
        <v>0.93364967025896728</v>
      </c>
      <c r="T8" s="67">
        <f t="shared" si="9"/>
        <v>6.2147673999999995</v>
      </c>
      <c r="U8" s="68">
        <f t="shared" si="10"/>
        <v>0.74470101638453723</v>
      </c>
      <c r="V8" s="21" t="s">
        <v>34</v>
      </c>
      <c r="W8" s="21" t="s">
        <v>35</v>
      </c>
      <c r="X8" s="21"/>
      <c r="Y8" s="21"/>
      <c r="Z8" s="21"/>
      <c r="AA8" s="21"/>
      <c r="AB8" s="21"/>
      <c r="AC8" s="21"/>
      <c r="AD8" s="21"/>
      <c r="AE8" s="21"/>
      <c r="AF8" s="21"/>
    </row>
    <row r="9" spans="1:32" s="22" customFormat="1" ht="11.25">
      <c r="A9" s="71" t="s">
        <v>36</v>
      </c>
      <c r="B9" s="57">
        <f t="shared" si="0"/>
        <v>113601.50975397152</v>
      </c>
      <c r="C9" s="72">
        <v>113601.50975397152</v>
      </c>
      <c r="D9" s="72">
        <v>121848.38036482914</v>
      </c>
      <c r="E9" s="72">
        <v>2829.5773353012783</v>
      </c>
      <c r="F9" s="73">
        <f>86.3%</f>
        <v>0.86299999999999999</v>
      </c>
      <c r="G9" s="60">
        <v>25.5</v>
      </c>
      <c r="H9" s="70">
        <v>2.55E-5</v>
      </c>
      <c r="I9" s="62">
        <f t="shared" si="1"/>
        <v>0.63515196414597008</v>
      </c>
      <c r="J9" s="63">
        <f t="shared" si="2"/>
        <v>78744.419577387293</v>
      </c>
      <c r="K9" s="57">
        <f t="shared" si="3"/>
        <v>78744.419577387293</v>
      </c>
      <c r="L9" s="57">
        <f t="shared" si="4"/>
        <v>0</v>
      </c>
      <c r="M9" s="64">
        <f t="shared" si="5"/>
        <v>74.635309189923262</v>
      </c>
      <c r="N9" s="65">
        <f t="shared" si="6"/>
        <v>42.358247622165834</v>
      </c>
      <c r="O9" s="65">
        <f t="shared" si="7"/>
        <v>45.433233053250362</v>
      </c>
      <c r="P9" s="66">
        <f>Fuel_Specs!B9/Fuel_Specs!E9*gperlb</f>
        <v>18210.955448815246</v>
      </c>
      <c r="Q9" s="66">
        <f>Fuel_Specs!D9/Fuel_Specs!E9*gperlb</f>
        <v>19532.974791795157</v>
      </c>
      <c r="R9" s="64">
        <f t="shared" si="8"/>
        <v>119.85593743475971</v>
      </c>
      <c r="S9" s="640">
        <f t="shared" si="11"/>
        <v>0.93231858654037547</v>
      </c>
      <c r="T9" s="67">
        <f t="shared" si="9"/>
        <v>6.2380861934051968</v>
      </c>
      <c r="U9" s="68">
        <f t="shared" si="10"/>
        <v>0.74749525276250883</v>
      </c>
      <c r="V9" s="21" t="s">
        <v>37</v>
      </c>
      <c r="W9" s="21"/>
      <c r="X9" s="21"/>
      <c r="Y9" s="21"/>
      <c r="Z9" s="21"/>
      <c r="AA9" s="21"/>
      <c r="AB9" s="21"/>
      <c r="AC9" s="21"/>
      <c r="AD9" s="21"/>
      <c r="AE9" s="21"/>
      <c r="AF9" s="21"/>
    </row>
    <row r="10" spans="1:32" s="22" customFormat="1" ht="11.25">
      <c r="A10" s="33" t="s">
        <v>38</v>
      </c>
      <c r="B10" s="57">
        <f t="shared" si="0"/>
        <v>113300</v>
      </c>
      <c r="C10" s="74">
        <v>113300</v>
      </c>
      <c r="D10" s="74">
        <v>124340</v>
      </c>
      <c r="E10" s="74">
        <v>2767</v>
      </c>
      <c r="F10" s="75">
        <v>0.85899999999999999</v>
      </c>
      <c r="G10" s="76">
        <v>15</v>
      </c>
      <c r="H10" s="70"/>
      <c r="I10" s="62">
        <f t="shared" si="1"/>
        <v>0</v>
      </c>
      <c r="J10" s="63">
        <f t="shared" si="2"/>
        <v>76850.011807359377</v>
      </c>
      <c r="K10" s="57">
        <f t="shared" si="3"/>
        <v>76850.011807359377</v>
      </c>
      <c r="L10" s="57">
        <f t="shared" si="4"/>
        <v>0</v>
      </c>
      <c r="M10" s="64">
        <f t="shared" si="5"/>
        <v>72.839757068177363</v>
      </c>
      <c r="N10" s="65">
        <f>C10*JperBtu/1000/E10</f>
        <v>43.20123881640766</v>
      </c>
      <c r="O10" s="65">
        <f t="shared" si="7"/>
        <v>47.410785829056735</v>
      </c>
      <c r="P10" s="66">
        <f>Fuel_Specs!B10/Fuel_Specs!E10*gperlb</f>
        <v>18573.380146338568</v>
      </c>
      <c r="Q10" s="66">
        <f>Fuel_Specs!D10/Fuel_Specs!E10*gperlb</f>
        <v>20383.178176484886</v>
      </c>
      <c r="R10" s="64">
        <f t="shared" si="8"/>
        <v>119.53782780499999</v>
      </c>
      <c r="S10" s="640">
        <f t="shared" si="11"/>
        <v>0.91121119511018178</v>
      </c>
      <c r="T10" s="67">
        <f t="shared" si="9"/>
        <v>6.1001281999999994</v>
      </c>
      <c r="U10" s="68">
        <f t="shared" si="10"/>
        <v>0.7309640696473978</v>
      </c>
      <c r="V10" s="77" t="s">
        <v>32</v>
      </c>
      <c r="W10" s="21" t="s">
        <v>39</v>
      </c>
      <c r="X10" s="21"/>
      <c r="Y10" s="21"/>
      <c r="Z10" s="21"/>
      <c r="AA10" s="21"/>
      <c r="AB10" s="21"/>
      <c r="AC10" s="21"/>
      <c r="AD10" s="21"/>
      <c r="AE10" s="21"/>
      <c r="AF10" s="21"/>
    </row>
    <row r="11" spans="1:32" s="22" customFormat="1" ht="11.25">
      <c r="A11" s="33" t="s">
        <v>40</v>
      </c>
      <c r="B11" s="57">
        <f t="shared" si="0"/>
        <v>109772</v>
      </c>
      <c r="C11" s="57">
        <f>109772</f>
        <v>109772</v>
      </c>
      <c r="D11" s="57">
        <f>120541</f>
        <v>120541</v>
      </c>
      <c r="E11" s="57">
        <f>2788</f>
        <v>2788</v>
      </c>
      <c r="F11" s="78">
        <f>82.9%</f>
        <v>0.82900000000000007</v>
      </c>
      <c r="G11" s="60">
        <v>11</v>
      </c>
      <c r="H11" s="70">
        <v>1.1E-5</v>
      </c>
      <c r="I11" s="62">
        <f t="shared" si="1"/>
        <v>0.27937907663156364</v>
      </c>
      <c r="J11" s="63">
        <f t="shared" si="2"/>
        <v>77130.695678035787</v>
      </c>
      <c r="K11" s="57">
        <f t="shared" si="3"/>
        <v>77130.695678035787</v>
      </c>
      <c r="L11" s="57">
        <f t="shared" si="4"/>
        <v>0</v>
      </c>
      <c r="M11" s="64">
        <f t="shared" si="5"/>
        <v>73.105794046860922</v>
      </c>
      <c r="N11" s="65">
        <f t="shared" si="6"/>
        <v>41.54074274253945</v>
      </c>
      <c r="O11" s="65">
        <f t="shared" si="7"/>
        <v>45.616028412786946</v>
      </c>
      <c r="P11" s="66">
        <f>Fuel_Specs!B11/Fuel_Specs!E11*gperlb</f>
        <v>17859.488006751504</v>
      </c>
      <c r="Q11" s="66">
        <f>Fuel_Specs!D11/Fuel_Specs!E11*gperlb</f>
        <v>19611.563457182459</v>
      </c>
      <c r="R11" s="64">
        <f t="shared" si="8"/>
        <v>115.81559076619997</v>
      </c>
      <c r="S11" s="640">
        <f t="shared" si="11"/>
        <v>0.91066110286126722</v>
      </c>
      <c r="T11" s="67">
        <f t="shared" si="9"/>
        <v>6.1464247999999992</v>
      </c>
      <c r="U11" s="68">
        <f t="shared" si="10"/>
        <v>0.73651168275278101</v>
      </c>
      <c r="V11" s="21" t="s">
        <v>32</v>
      </c>
      <c r="W11" s="21"/>
      <c r="X11" s="21"/>
      <c r="Y11" s="21"/>
      <c r="Z11" s="21"/>
      <c r="AA11" s="21"/>
      <c r="AB11" s="21"/>
    </row>
    <row r="12" spans="1:32" s="22" customFormat="1" ht="10.5" customHeight="1">
      <c r="A12" s="214" t="s">
        <v>185</v>
      </c>
      <c r="B12" s="57">
        <f t="shared" si="0"/>
        <v>128450</v>
      </c>
      <c r="C12" s="58">
        <v>128450</v>
      </c>
      <c r="D12" s="58">
        <v>137380</v>
      </c>
      <c r="E12" s="58">
        <v>3167</v>
      </c>
      <c r="F12" s="59">
        <v>0.86499999999999999</v>
      </c>
      <c r="G12" s="69">
        <v>200</v>
      </c>
      <c r="H12" s="70">
        <v>2.0000000000000001E-4</v>
      </c>
      <c r="I12" s="62">
        <f t="shared" si="1"/>
        <v>4.9311015959517333</v>
      </c>
      <c r="J12" s="63">
        <f t="shared" si="2"/>
        <v>78127.079070403168</v>
      </c>
      <c r="K12" s="57">
        <f t="shared" si="3"/>
        <v>78127.079070403168</v>
      </c>
      <c r="L12" s="57">
        <f t="shared" si="4"/>
        <v>0</v>
      </c>
      <c r="M12" s="64">
        <f t="shared" si="5"/>
        <v>74.050183286887773</v>
      </c>
      <c r="N12" s="65">
        <f t="shared" si="6"/>
        <v>42.791892621566156</v>
      </c>
      <c r="O12" s="65">
        <f t="shared" si="7"/>
        <v>45.766836966529844</v>
      </c>
      <c r="P12" s="66">
        <f>Fuel_Specs!B12/Fuel_Specs!E12*gperlb</f>
        <v>18397.391153972891</v>
      </c>
      <c r="Q12" s="66">
        <f>Fuel_Specs!D12/Fuel_Specs!E12*gperlb</f>
        <v>19676.400130266993</v>
      </c>
      <c r="R12" s="64">
        <f t="shared" si="8"/>
        <v>135.52192393250002</v>
      </c>
      <c r="S12" s="640">
        <f t="shared" si="11"/>
        <v>0.93499781627602285</v>
      </c>
      <c r="T12" s="67">
        <f t="shared" si="9"/>
        <v>6.981968199999999</v>
      </c>
      <c r="U12" s="68">
        <f t="shared" si="10"/>
        <v>0.83663289070231606</v>
      </c>
      <c r="V12" s="21" t="s">
        <v>32</v>
      </c>
      <c r="W12" s="21"/>
      <c r="X12" s="21"/>
      <c r="Y12" s="21"/>
      <c r="Z12" s="21"/>
      <c r="AA12" s="21"/>
      <c r="AB12" s="21"/>
    </row>
    <row r="13" spans="1:32" s="659" customFormat="1" ht="11.25">
      <c r="A13" s="645" t="s">
        <v>1523</v>
      </c>
      <c r="B13" s="646">
        <f t="shared" si="0"/>
        <v>128450</v>
      </c>
      <c r="C13" s="646">
        <v>128450</v>
      </c>
      <c r="D13" s="660">
        <v>137380</v>
      </c>
      <c r="E13" s="660">
        <v>3167</v>
      </c>
      <c r="F13" s="1511">
        <v>0.86499999999999999</v>
      </c>
      <c r="G13" s="649">
        <v>1000</v>
      </c>
      <c r="H13" s="650">
        <v>1.63E-4</v>
      </c>
      <c r="I13" s="662">
        <f t="shared" ref="I13:I28" si="12">E13*H13/B13*1000000</f>
        <v>4.0188478007006623</v>
      </c>
      <c r="J13" s="652">
        <f t="shared" ref="J13:J27" si="13">E13*F13/CO2_C_Ratio/B13*1000000</f>
        <v>78127.079070403168</v>
      </c>
      <c r="K13" s="646">
        <f t="shared" ref="K13:K19" si="14">E13*F13/CO2_C_Ratio/B13*1000000</f>
        <v>78127.079070403168</v>
      </c>
      <c r="L13" s="646">
        <f t="shared" ref="L13:L28" si="15">J13-K13</f>
        <v>0</v>
      </c>
      <c r="M13" s="653">
        <f t="shared" si="5"/>
        <v>74.050183286887773</v>
      </c>
      <c r="N13" s="654">
        <f t="shared" si="6"/>
        <v>42.791892621566156</v>
      </c>
      <c r="O13" s="654">
        <f t="shared" si="7"/>
        <v>45.766836966529844</v>
      </c>
      <c r="P13" s="655">
        <f>Fuel_Specs!B13/Fuel_Specs!E13*gperlb</f>
        <v>18397.391153972891</v>
      </c>
      <c r="Q13" s="655">
        <f>Fuel_Specs!D13/Fuel_Specs!E13*gperlb</f>
        <v>19676.400130266993</v>
      </c>
      <c r="R13" s="653">
        <f t="shared" ref="R13:R28" si="16">N13*E13/1000</f>
        <v>135.52192393250002</v>
      </c>
      <c r="S13" s="656">
        <f t="shared" si="11"/>
        <v>0.93499781627602285</v>
      </c>
      <c r="T13" s="657">
        <f t="shared" ref="T13:T43" si="17">E13/gperlb</f>
        <v>6.981968199999999</v>
      </c>
      <c r="U13" s="658">
        <f t="shared" ref="U13:U45" si="18">T13*gperlb/Lpergal/1000</f>
        <v>0.83663289070231606</v>
      </c>
      <c r="V13" s="659" t="s">
        <v>32</v>
      </c>
    </row>
    <row r="14" spans="1:32" s="659" customFormat="1" ht="11.25">
      <c r="A14" s="645" t="s">
        <v>41</v>
      </c>
      <c r="B14" s="646">
        <f t="shared" si="0"/>
        <v>127463.51938029277</v>
      </c>
      <c r="C14" s="646">
        <v>127463.51938029277</v>
      </c>
      <c r="D14" s="647">
        <v>133075.1387920352</v>
      </c>
      <c r="E14" s="647">
        <v>3141.8675346178593</v>
      </c>
      <c r="F14" s="648">
        <f>100%-13.5%</f>
        <v>0.86499999999999999</v>
      </c>
      <c r="G14" s="649">
        <v>11</v>
      </c>
      <c r="H14" s="650">
        <v>1.1E-5</v>
      </c>
      <c r="I14" s="651">
        <f t="shared" si="12"/>
        <v>0.27114066086378502</v>
      </c>
      <c r="J14" s="652">
        <f t="shared" si="13"/>
        <v>78106.935367498198</v>
      </c>
      <c r="K14" s="646">
        <f t="shared" si="14"/>
        <v>78106.935367498198</v>
      </c>
      <c r="L14" s="646">
        <f t="shared" si="15"/>
        <v>0</v>
      </c>
      <c r="M14" s="653">
        <f t="shared" si="5"/>
        <v>74.031090740360526</v>
      </c>
      <c r="N14" s="654">
        <f t="shared" si="6"/>
        <v>42.802928609185621</v>
      </c>
      <c r="O14" s="654">
        <f t="shared" si="7"/>
        <v>44.687340292077437</v>
      </c>
      <c r="P14" s="655">
        <f>Fuel_Specs!B14/Fuel_Specs!E14*gperlb</f>
        <v>18402.135823314846</v>
      </c>
      <c r="Q14" s="655">
        <f>Fuel_Specs!D14/Fuel_Specs!E14*gperlb</f>
        <v>19212.295334880946</v>
      </c>
      <c r="R14" s="653">
        <f t="shared" si="16"/>
        <v>134.48113178376627</v>
      </c>
      <c r="S14" s="656">
        <f t="shared" si="11"/>
        <v>0.95783119624987167</v>
      </c>
      <c r="T14" s="657">
        <f t="shared" si="17"/>
        <v>6.9265611668185318</v>
      </c>
      <c r="U14" s="658">
        <f t="shared" si="18"/>
        <v>0.82999359573448017</v>
      </c>
      <c r="V14" s="659" t="s">
        <v>32</v>
      </c>
    </row>
    <row r="15" spans="1:32" s="22" customFormat="1" ht="11.25">
      <c r="A15" s="33" t="s">
        <v>42</v>
      </c>
      <c r="B15" s="57">
        <f t="shared" si="0"/>
        <v>116920</v>
      </c>
      <c r="C15" s="58">
        <v>116920</v>
      </c>
      <c r="D15" s="58">
        <v>125080</v>
      </c>
      <c r="E15" s="58">
        <v>2745</v>
      </c>
      <c r="F15" s="59">
        <v>0.85</v>
      </c>
      <c r="G15" s="60">
        <v>1</v>
      </c>
      <c r="H15" s="70">
        <v>9.9999999999999995E-7</v>
      </c>
      <c r="I15" s="62">
        <f t="shared" si="12"/>
        <v>2.34775915155662E-2</v>
      </c>
      <c r="J15" s="63">
        <f t="shared" si="13"/>
        <v>73104.480167146889</v>
      </c>
      <c r="K15" s="57">
        <f t="shared" si="14"/>
        <v>73104.480167146889</v>
      </c>
      <c r="L15" s="57">
        <f t="shared" si="15"/>
        <v>0</v>
      </c>
      <c r="M15" s="64">
        <f t="shared" si="5"/>
        <v>69.289678046092902</v>
      </c>
      <c r="N15" s="65">
        <f t="shared" si="6"/>
        <v>44.938845166484519</v>
      </c>
      <c r="O15" s="65">
        <f t="shared" si="7"/>
        <v>48.075186053916212</v>
      </c>
      <c r="P15" s="66">
        <f>Fuel_Specs!B15/Fuel_Specs!E15*gperlb</f>
        <v>19320.424077690182</v>
      </c>
      <c r="Q15" s="66">
        <f>Fuel_Specs!D15/Fuel_Specs!E15*gperlb</f>
        <v>20668.821789578244</v>
      </c>
      <c r="R15" s="64">
        <f t="shared" si="16"/>
        <v>123.357129982</v>
      </c>
      <c r="S15" s="640">
        <f t="shared" si="11"/>
        <v>0.93476175247841375</v>
      </c>
      <c r="T15" s="67">
        <f t="shared" si="17"/>
        <v>6.051626999999999</v>
      </c>
      <c r="U15" s="68">
        <f t="shared" si="18"/>
        <v>0.7251522844893773</v>
      </c>
      <c r="V15" s="21" t="s">
        <v>32</v>
      </c>
      <c r="W15" s="21"/>
      <c r="X15" s="21"/>
      <c r="Y15" s="21"/>
      <c r="Z15" s="21"/>
      <c r="AA15" s="21"/>
      <c r="AB15" s="21"/>
    </row>
    <row r="16" spans="1:32" s="22" customFormat="1" ht="11.25">
      <c r="A16" s="33" t="s">
        <v>43</v>
      </c>
      <c r="B16" s="57">
        <f t="shared" si="0"/>
        <v>111520</v>
      </c>
      <c r="C16" s="58">
        <v>111520</v>
      </c>
      <c r="D16" s="58">
        <v>119740</v>
      </c>
      <c r="E16" s="58">
        <v>2651</v>
      </c>
      <c r="F16" s="59">
        <v>0.84199999999999997</v>
      </c>
      <c r="G16" s="60">
        <v>0</v>
      </c>
      <c r="H16" s="70">
        <v>0</v>
      </c>
      <c r="I16" s="62">
        <f t="shared" si="12"/>
        <v>0</v>
      </c>
      <c r="J16" s="63">
        <f t="shared" si="13"/>
        <v>73323.0604726866</v>
      </c>
      <c r="K16" s="57">
        <f t="shared" si="14"/>
        <v>73323.0604726866</v>
      </c>
      <c r="L16" s="57">
        <f t="shared" si="15"/>
        <v>0</v>
      </c>
      <c r="M16" s="64">
        <f t="shared" si="5"/>
        <v>69.496852202361239</v>
      </c>
      <c r="N16" s="65">
        <f t="shared" si="6"/>
        <v>44.383186869860431</v>
      </c>
      <c r="O16" s="65">
        <f t="shared" si="7"/>
        <v>47.654616174651075</v>
      </c>
      <c r="P16" s="66">
        <f>Fuel_Specs!B16/Fuel_Specs!E16*gperlb</f>
        <v>19081.531558461167</v>
      </c>
      <c r="Q16" s="66">
        <f>Fuel_Specs!D16/Fuel_Specs!E16*gperlb</f>
        <v>20488.007431941714</v>
      </c>
      <c r="R16" s="64">
        <f t="shared" si="16"/>
        <v>117.65982839199999</v>
      </c>
      <c r="S16" s="640">
        <f t="shared" si="11"/>
        <v>0.93135126106564226</v>
      </c>
      <c r="T16" s="67">
        <f t="shared" si="17"/>
        <v>5.8443945999999993</v>
      </c>
      <c r="U16" s="68">
        <f t="shared" si="18"/>
        <v>0.70032011154147145</v>
      </c>
      <c r="V16" s="21" t="s">
        <v>32</v>
      </c>
      <c r="W16" s="21"/>
      <c r="X16" s="21"/>
      <c r="Y16" s="21"/>
      <c r="Z16" s="21"/>
      <c r="AA16" s="21"/>
      <c r="AB16" s="21"/>
    </row>
    <row r="17" spans="1:28" s="22" customFormat="1" ht="11.25">
      <c r="A17" s="33" t="s">
        <v>44</v>
      </c>
      <c r="B17" s="57">
        <f t="shared" si="0"/>
        <v>140352.52220119376</v>
      </c>
      <c r="C17" s="82">
        <v>140352.52220119376</v>
      </c>
      <c r="D17" s="58">
        <v>150110</v>
      </c>
      <c r="E17" s="58">
        <v>3752</v>
      </c>
      <c r="F17" s="59">
        <v>0.86799999999999999</v>
      </c>
      <c r="G17" s="60">
        <v>5000</v>
      </c>
      <c r="H17" s="70">
        <v>5.0000000000000001E-3</v>
      </c>
      <c r="I17" s="62">
        <f t="shared" si="12"/>
        <v>133.6634333732012</v>
      </c>
      <c r="J17" s="63">
        <f t="shared" si="13"/>
        <v>85002.922753396211</v>
      </c>
      <c r="K17" s="57">
        <f t="shared" si="14"/>
        <v>85002.922753396211</v>
      </c>
      <c r="L17" s="57">
        <f t="shared" si="15"/>
        <v>0</v>
      </c>
      <c r="M17" s="64">
        <f t="shared" si="5"/>
        <v>80.567225662410394</v>
      </c>
      <c r="N17" s="65">
        <f t="shared" si="6"/>
        <v>39.466884224580049</v>
      </c>
      <c r="O17" s="65">
        <f t="shared" si="7"/>
        <v>42.210669947627935</v>
      </c>
      <c r="P17" s="66">
        <f>Fuel_Specs!B17/Fuel_Specs!E17*gperlb</f>
        <v>16967.880180701086</v>
      </c>
      <c r="Q17" s="66">
        <f>Fuel_Specs!D17/Fuel_Specs!E17*gperlb</f>
        <v>18147.50781802036</v>
      </c>
      <c r="R17" s="64">
        <f t="shared" si="16"/>
        <v>148.07974961062433</v>
      </c>
      <c r="S17" s="640">
        <f t="shared" si="11"/>
        <v>0.93499781627602274</v>
      </c>
      <c r="T17" s="67">
        <f t="shared" si="17"/>
        <v>8.2716591999999984</v>
      </c>
      <c r="U17" s="68">
        <f t="shared" si="18"/>
        <v>0.99117354149513426</v>
      </c>
      <c r="V17" s="21" t="s">
        <v>32</v>
      </c>
      <c r="W17" s="21"/>
      <c r="X17" s="21"/>
      <c r="Y17" s="21"/>
      <c r="Z17" s="21"/>
      <c r="AA17" s="21"/>
      <c r="AB17" s="21"/>
    </row>
    <row r="18" spans="1:28" s="659" customFormat="1" ht="11.25">
      <c r="A18" s="645" t="s">
        <v>45</v>
      </c>
      <c r="B18" s="646">
        <f t="shared" si="0"/>
        <v>140352.52220119376</v>
      </c>
      <c r="C18" s="660">
        <v>140352.52220119376</v>
      </c>
      <c r="D18" s="660">
        <v>150110</v>
      </c>
      <c r="E18" s="660">
        <v>3752</v>
      </c>
      <c r="F18" s="661">
        <v>0.86799999999999999</v>
      </c>
      <c r="G18" s="649">
        <v>28000</v>
      </c>
      <c r="H18" s="650">
        <v>2.8000000000000001E-2</v>
      </c>
      <c r="I18" s="662">
        <f t="shared" si="12"/>
        <v>748.51522688992645</v>
      </c>
      <c r="J18" s="652">
        <f>E18*F18/CO2_C_Ratio/B18*1000000</f>
        <v>85002.922753396211</v>
      </c>
      <c r="K18" s="646">
        <f t="shared" si="14"/>
        <v>85002.922753396211</v>
      </c>
      <c r="L18" s="646">
        <f t="shared" si="15"/>
        <v>0</v>
      </c>
      <c r="M18" s="653">
        <f t="shared" si="5"/>
        <v>80.567225662410394</v>
      </c>
      <c r="N18" s="654">
        <f t="shared" si="6"/>
        <v>39.466884224580049</v>
      </c>
      <c r="O18" s="654">
        <f t="shared" si="7"/>
        <v>42.210669947627935</v>
      </c>
      <c r="P18" s="655">
        <f>Fuel_Specs!B18/Fuel_Specs!E18*gperlb</f>
        <v>16967.880180701086</v>
      </c>
      <c r="Q18" s="655">
        <f>Fuel_Specs!D18/Fuel_Specs!E18*gperlb</f>
        <v>18147.50781802036</v>
      </c>
      <c r="R18" s="653">
        <f t="shared" si="16"/>
        <v>148.07974961062433</v>
      </c>
      <c r="S18" s="656">
        <f t="shared" si="11"/>
        <v>0.93499781627602274</v>
      </c>
      <c r="T18" s="657">
        <f t="shared" si="17"/>
        <v>8.2716591999999984</v>
      </c>
      <c r="U18" s="658">
        <f t="shared" si="18"/>
        <v>0.99117354149513426</v>
      </c>
      <c r="V18" s="659" t="s">
        <v>32</v>
      </c>
    </row>
    <row r="19" spans="1:28" s="22" customFormat="1" ht="11.25" hidden="1">
      <c r="A19" s="33" t="s">
        <v>46</v>
      </c>
      <c r="B19" s="57">
        <f t="shared" si="0"/>
        <v>57250</v>
      </c>
      <c r="C19" s="58">
        <v>57250</v>
      </c>
      <c r="D19" s="58">
        <v>65200</v>
      </c>
      <c r="E19" s="58">
        <v>3006</v>
      </c>
      <c r="F19" s="83">
        <v>0.375</v>
      </c>
      <c r="G19" s="60">
        <v>0</v>
      </c>
      <c r="H19" s="70">
        <v>0</v>
      </c>
      <c r="I19" s="62">
        <f t="shared" si="12"/>
        <v>0</v>
      </c>
      <c r="J19" s="63">
        <f t="shared" si="13"/>
        <v>72130.057503674936</v>
      </c>
      <c r="K19" s="57">
        <f t="shared" si="14"/>
        <v>72130.057503674936</v>
      </c>
      <c r="L19" s="57">
        <f t="shared" si="15"/>
        <v>0</v>
      </c>
      <c r="M19" s="64">
        <f t="shared" si="5"/>
        <v>68.366103560939393</v>
      </c>
      <c r="N19" s="65">
        <f t="shared" si="6"/>
        <v>20.09379488107119</v>
      </c>
      <c r="O19" s="65">
        <f t="shared" si="7"/>
        <v>22.884112248835663</v>
      </c>
      <c r="P19" s="66">
        <f>Fuel_Specs!B19/Fuel_Specs!E19*gperlb</f>
        <v>8638.8654847310445</v>
      </c>
      <c r="Q19" s="66">
        <f>Fuel_Specs!D19/Fuel_Specs!E19*gperlb</f>
        <v>9838.4983337024296</v>
      </c>
      <c r="R19" s="64">
        <f t="shared" si="16"/>
        <v>60.4019474125</v>
      </c>
      <c r="S19" s="640">
        <f t="shared" si="11"/>
        <v>0.87806748466257667</v>
      </c>
      <c r="T19" s="67">
        <f t="shared" si="17"/>
        <v>6.627027599999999</v>
      </c>
      <c r="U19" s="68">
        <f t="shared" si="18"/>
        <v>0.79410119022771153</v>
      </c>
      <c r="V19" s="21" t="s">
        <v>32</v>
      </c>
      <c r="W19" s="180"/>
      <c r="X19" s="21"/>
      <c r="Y19" s="21"/>
      <c r="Z19" s="21"/>
      <c r="AA19" s="21"/>
      <c r="AB19" s="21"/>
    </row>
    <row r="20" spans="1:28" s="22" customFormat="1" ht="11.25" hidden="1">
      <c r="A20" s="33" t="s">
        <v>47</v>
      </c>
      <c r="B20" s="57">
        <f t="shared" si="0"/>
        <v>76330</v>
      </c>
      <c r="C20" s="58">
        <v>76330</v>
      </c>
      <c r="D20" s="58">
        <v>84530</v>
      </c>
      <c r="E20" s="58">
        <v>2988</v>
      </c>
      <c r="F20" s="83">
        <v>0.52200000000000002</v>
      </c>
      <c r="G20" s="79">
        <f>1</f>
        <v>1</v>
      </c>
      <c r="H20" s="80">
        <f>G20/1000000</f>
        <v>9.9999999999999995E-7</v>
      </c>
      <c r="I20" s="62">
        <f t="shared" si="12"/>
        <v>3.914581422769553E-2</v>
      </c>
      <c r="J20" s="63">
        <f t="shared" si="13"/>
        <v>74856.128021861849</v>
      </c>
      <c r="K20" s="57">
        <v>0</v>
      </c>
      <c r="L20" s="57">
        <f t="shared" si="15"/>
        <v>74856.128021861849</v>
      </c>
      <c r="M20" s="64">
        <f t="shared" si="5"/>
        <v>70.949919875674681</v>
      </c>
      <c r="N20" s="143">
        <f t="shared" si="6"/>
        <v>26.951945458668007</v>
      </c>
      <c r="O20" s="65">
        <f t="shared" si="7"/>
        <v>29.8473463857095</v>
      </c>
      <c r="P20" s="66">
        <f>Fuel_Specs!B20/Fuel_Specs!E20*gperlb</f>
        <v>11587.369769986841</v>
      </c>
      <c r="Q20" s="66">
        <f>Fuel_Specs!D20/Fuel_Specs!E20*gperlb</f>
        <v>12832.180881134385</v>
      </c>
      <c r="R20" s="64">
        <f t="shared" si="16"/>
        <v>80.532413030499995</v>
      </c>
      <c r="S20" s="640">
        <f t="shared" si="11"/>
        <v>0.90299302022950434</v>
      </c>
      <c r="T20" s="67">
        <f t="shared" si="17"/>
        <v>6.5873447999999994</v>
      </c>
      <c r="U20" s="68">
        <f t="shared" si="18"/>
        <v>0.78934609328024019</v>
      </c>
      <c r="V20" s="21" t="s">
        <v>32</v>
      </c>
      <c r="W20" s="21"/>
      <c r="X20" s="21"/>
      <c r="Y20" s="21"/>
      <c r="Z20" s="21"/>
      <c r="AA20" s="21"/>
      <c r="AB20" s="21"/>
    </row>
    <row r="21" spans="1:28" s="22" customFormat="1" ht="11.25" hidden="1">
      <c r="A21" s="33" t="s">
        <v>48</v>
      </c>
      <c r="B21" s="57">
        <f t="shared" si="0"/>
        <v>99837</v>
      </c>
      <c r="C21" s="84">
        <v>99837</v>
      </c>
      <c r="D21" s="85">
        <v>108458</v>
      </c>
      <c r="E21" s="84">
        <v>3065</v>
      </c>
      <c r="F21" s="86">
        <v>0.64859999999999995</v>
      </c>
      <c r="G21" s="34">
        <v>0</v>
      </c>
      <c r="H21" s="70">
        <v>0</v>
      </c>
      <c r="I21" s="62">
        <f t="shared" si="12"/>
        <v>0</v>
      </c>
      <c r="J21" s="63">
        <f t="shared" si="13"/>
        <v>72943.639115464393</v>
      </c>
      <c r="K21" s="57">
        <v>0</v>
      </c>
      <c r="L21" s="57">
        <f t="shared" si="15"/>
        <v>72943.639115464393</v>
      </c>
      <c r="M21" s="64">
        <f t="shared" si="5"/>
        <v>69.137230143280462</v>
      </c>
      <c r="N21" s="65">
        <f t="shared" si="6"/>
        <v>34.366594093458403</v>
      </c>
      <c r="O21" s="65">
        <f t="shared" si="7"/>
        <v>37.334175327667211</v>
      </c>
      <c r="P21" s="66">
        <f>Fuel_Specs!B21/Fuel_Specs!E21*gperlb</f>
        <v>14775.127610236288</v>
      </c>
      <c r="Q21" s="66">
        <f>Fuel_Specs!D21/Fuel_Specs!E21*gperlb</f>
        <v>16050.970986217608</v>
      </c>
      <c r="R21" s="64">
        <f t="shared" si="16"/>
        <v>105.33361089645</v>
      </c>
      <c r="S21" s="640">
        <f t="shared" si="11"/>
        <v>0.92051300964428628</v>
      </c>
      <c r="T21" s="67">
        <f>E21/gperlb</f>
        <v>6.7570989999999993</v>
      </c>
      <c r="U21" s="68">
        <f t="shared" si="18"/>
        <v>0.80968734133331188</v>
      </c>
      <c r="V21" s="21" t="s">
        <v>32</v>
      </c>
      <c r="W21" s="21"/>
      <c r="X21" s="21"/>
      <c r="Y21" s="21"/>
      <c r="Z21" s="21"/>
      <c r="AA21" s="21"/>
      <c r="AB21" s="21"/>
    </row>
    <row r="22" spans="1:28" s="22" customFormat="1" ht="11.25" hidden="1">
      <c r="A22" s="33" t="s">
        <v>49</v>
      </c>
      <c r="B22" s="57">
        <f t="shared" si="0"/>
        <v>83127</v>
      </c>
      <c r="C22" s="84">
        <v>83127</v>
      </c>
      <c r="D22" s="85">
        <v>89511</v>
      </c>
      <c r="E22" s="84">
        <v>2964</v>
      </c>
      <c r="F22" s="86">
        <v>0.61980000000000002</v>
      </c>
      <c r="G22" s="34">
        <v>0</v>
      </c>
      <c r="H22" s="70">
        <v>0</v>
      </c>
      <c r="I22" s="62">
        <f t="shared" si="12"/>
        <v>0</v>
      </c>
      <c r="J22" s="63">
        <f t="shared" si="13"/>
        <v>80957.891609047088</v>
      </c>
      <c r="K22" s="57">
        <v>0</v>
      </c>
      <c r="L22" s="57">
        <f t="shared" si="15"/>
        <v>80957.891609047088</v>
      </c>
      <c r="M22" s="64">
        <f t="shared" si="5"/>
        <v>76.733275882074949</v>
      </c>
      <c r="N22" s="65">
        <f t="shared" si="6"/>
        <v>29.5896179632085</v>
      </c>
      <c r="O22" s="65">
        <f t="shared" si="7"/>
        <v>31.862045947823884</v>
      </c>
      <c r="P22" s="66">
        <f>Fuel_Specs!B22/Fuel_Specs!E22*gperlb</f>
        <v>12721.37646679872</v>
      </c>
      <c r="Q22" s="66">
        <f>Fuel_Specs!D22/Fuel_Specs!E22*gperlb</f>
        <v>13698.354673206302</v>
      </c>
      <c r="R22" s="64">
        <f t="shared" si="16"/>
        <v>87.703627642949996</v>
      </c>
      <c r="S22" s="640">
        <f t="shared" si="11"/>
        <v>0.92867915675168411</v>
      </c>
      <c r="T22" s="67">
        <f t="shared" si="17"/>
        <v>6.5344343999999994</v>
      </c>
      <c r="U22" s="68">
        <f t="shared" si="18"/>
        <v>0.78300596401694511</v>
      </c>
      <c r="V22" s="21" t="s">
        <v>32</v>
      </c>
      <c r="W22" s="21"/>
      <c r="X22" s="21"/>
      <c r="Y22" s="21"/>
      <c r="Z22" s="21"/>
      <c r="AA22" s="21"/>
      <c r="AB22" s="21"/>
    </row>
    <row r="23" spans="1:28" s="22" customFormat="1" ht="11.25" hidden="1">
      <c r="A23" s="33" t="s">
        <v>50</v>
      </c>
      <c r="B23" s="57">
        <f t="shared" si="0"/>
        <v>116090</v>
      </c>
      <c r="C23" s="58">
        <v>116090</v>
      </c>
      <c r="D23" s="58">
        <v>124340</v>
      </c>
      <c r="E23" s="57">
        <v>2819</v>
      </c>
      <c r="F23" s="87">
        <v>0.86299999999999999</v>
      </c>
      <c r="G23" s="79">
        <v>25.5</v>
      </c>
      <c r="H23" s="70">
        <v>2.55E-5</v>
      </c>
      <c r="I23" s="62">
        <f t="shared" si="12"/>
        <v>0.61921354121802052</v>
      </c>
      <c r="J23" s="63">
        <f t="shared" si="13"/>
        <v>76768.417087765964</v>
      </c>
      <c r="K23" s="57">
        <f t="shared" ref="K23:K28" si="19">E23*F23/CO2_C_Ratio/B23*1000000</f>
        <v>76768.417087765964</v>
      </c>
      <c r="L23" s="57">
        <f t="shared" si="15"/>
        <v>0</v>
      </c>
      <c r="M23" s="64">
        <f t="shared" si="5"/>
        <v>72.762420195827517</v>
      </c>
      <c r="N23" s="65">
        <f t="shared" si="6"/>
        <v>43.448539775274924</v>
      </c>
      <c r="O23" s="65">
        <f t="shared" si="7"/>
        <v>46.536234263568637</v>
      </c>
      <c r="P23" s="66">
        <f>Fuel_Specs!B23/Fuel_Specs!E23*gperlb</f>
        <v>18679.701512240026</v>
      </c>
      <c r="Q23" s="66">
        <f>Fuel_Specs!D23/Fuel_Specs!E23*gperlb</f>
        <v>20007.184822395771</v>
      </c>
      <c r="R23" s="64">
        <f t="shared" si="16"/>
        <v>122.48143362650002</v>
      </c>
      <c r="S23" s="640">
        <f t="shared" si="11"/>
        <v>0.93364967025896728</v>
      </c>
      <c r="T23" s="67">
        <f t="shared" si="17"/>
        <v>6.2147673999999995</v>
      </c>
      <c r="U23" s="68">
        <f t="shared" si="18"/>
        <v>0.74470101638453723</v>
      </c>
      <c r="V23" s="21" t="s">
        <v>32</v>
      </c>
      <c r="W23" s="21"/>
      <c r="X23" s="21"/>
      <c r="Y23" s="21"/>
      <c r="Z23" s="21"/>
      <c r="AA23" s="21"/>
      <c r="AB23" s="21"/>
    </row>
    <row r="24" spans="1:28" s="659" customFormat="1" ht="11.25">
      <c r="A24" s="645" t="s">
        <v>51</v>
      </c>
      <c r="B24" s="646">
        <f t="shared" si="0"/>
        <v>84116.363284803621</v>
      </c>
      <c r="C24" s="663">
        <f>Input!J84</f>
        <v>84116.363284803621</v>
      </c>
      <c r="D24" s="663">
        <f>C24*Input!$I$92</f>
        <v>93158.872337920009</v>
      </c>
      <c r="E24" s="660">
        <v>1923</v>
      </c>
      <c r="F24" s="664">
        <f>Input!G88</f>
        <v>0.81805570775272685</v>
      </c>
      <c r="G24" s="1342"/>
      <c r="H24" s="650">
        <v>0</v>
      </c>
      <c r="I24" s="662">
        <f t="shared" si="12"/>
        <v>0</v>
      </c>
      <c r="J24" s="652">
        <f t="shared" si="13"/>
        <v>68509.879059538609</v>
      </c>
      <c r="K24" s="646">
        <f t="shared" si="19"/>
        <v>68509.879059538609</v>
      </c>
      <c r="L24" s="646">
        <f t="shared" si="15"/>
        <v>0</v>
      </c>
      <c r="M24" s="653">
        <f t="shared" si="5"/>
        <v>64.934836444476957</v>
      </c>
      <c r="N24" s="654">
        <f t="shared" si="6"/>
        <v>46.150525826498843</v>
      </c>
      <c r="O24" s="654">
        <f t="shared" si="7"/>
        <v>51.111707352847461</v>
      </c>
      <c r="P24" s="655">
        <f>Fuel_Specs!B24/Fuel_Specs!E24*gperlb</f>
        <v>19841.358340942497</v>
      </c>
      <c r="Q24" s="655">
        <f>Fuel_Specs!D24/Fuel_Specs!E24*gperlb</f>
        <v>21974.304362593815</v>
      </c>
      <c r="R24" s="653">
        <f t="shared" si="16"/>
        <v>88.747461164357276</v>
      </c>
      <c r="S24" s="656">
        <f t="shared" si="11"/>
        <v>0.90293453724604966</v>
      </c>
      <c r="T24" s="657">
        <f t="shared" si="17"/>
        <v>4.2394457999999995</v>
      </c>
      <c r="U24" s="658">
        <f t="shared" si="18"/>
        <v>0.50800285722152005</v>
      </c>
      <c r="V24" s="659" t="s">
        <v>32</v>
      </c>
    </row>
    <row r="25" spans="1:28" s="659" customFormat="1" ht="11.25">
      <c r="A25" s="645" t="s">
        <v>52</v>
      </c>
      <c r="B25" s="646">
        <f>IF($B$5=1,C25,D25)</f>
        <v>77155.575502954132</v>
      </c>
      <c r="C25" s="663">
        <f>Input!K84</f>
        <v>77155.575502954132</v>
      </c>
      <c r="D25" s="663">
        <f>C25*1.093</f>
        <v>84331.044024728864</v>
      </c>
      <c r="E25" s="663">
        <f>Input!G57</f>
        <v>1646</v>
      </c>
      <c r="F25" s="664">
        <f>Input!H88</f>
        <v>0.75098055475241432</v>
      </c>
      <c r="G25" s="649">
        <v>0</v>
      </c>
      <c r="H25" s="650">
        <v>0</v>
      </c>
      <c r="I25" s="662">
        <f t="shared" si="12"/>
        <v>0</v>
      </c>
      <c r="J25" s="652">
        <f t="shared" si="13"/>
        <v>58689.814009718146</v>
      </c>
      <c r="K25" s="646">
        <f t="shared" si="19"/>
        <v>58689.814009718146</v>
      </c>
      <c r="L25" s="646">
        <f t="shared" si="15"/>
        <v>0</v>
      </c>
      <c r="M25" s="653">
        <f t="shared" si="5"/>
        <v>55.627210644553223</v>
      </c>
      <c r="N25" s="654">
        <f>C25*JperBtu/1000/E25</f>
        <v>49.455310628498452</v>
      </c>
      <c r="O25" s="654">
        <f t="shared" si="7"/>
        <v>54.054654516948801</v>
      </c>
      <c r="P25" s="655">
        <f>Fuel_Specs!B25/Fuel_Specs!E25*gperlb</f>
        <v>21262.174644156203</v>
      </c>
      <c r="Q25" s="655">
        <f>Fuel_Specs!D25/Fuel_Specs!E25*gperlb</f>
        <v>23239.556886062732</v>
      </c>
      <c r="R25" s="653">
        <f t="shared" si="16"/>
        <v>81.403441294508454</v>
      </c>
      <c r="S25" s="656">
        <f t="shared" si="11"/>
        <v>0.91491308325709053</v>
      </c>
      <c r="T25" s="657">
        <f>E25/gperlb</f>
        <v>3.6287715999999994</v>
      </c>
      <c r="U25" s="658">
        <f>T25*gperlb/Lpergal/1000</f>
        <v>0.43482719864098907</v>
      </c>
      <c r="V25" s="659" t="s">
        <v>32</v>
      </c>
    </row>
    <row r="26" spans="1:28" s="22" customFormat="1" ht="11.25" hidden="1">
      <c r="A26" s="33" t="s">
        <v>53</v>
      </c>
      <c r="B26" s="57">
        <f t="shared" si="0"/>
        <v>68930</v>
      </c>
      <c r="C26" s="58">
        <v>68930</v>
      </c>
      <c r="D26" s="58">
        <v>75610</v>
      </c>
      <c r="E26" s="58">
        <v>2518</v>
      </c>
      <c r="F26" s="83">
        <v>0.52200000000000002</v>
      </c>
      <c r="G26" s="60">
        <v>0</v>
      </c>
      <c r="H26" s="70">
        <v>0</v>
      </c>
      <c r="I26" s="62">
        <f t="shared" si="12"/>
        <v>0</v>
      </c>
      <c r="J26" s="63">
        <f t="shared" si="13"/>
        <v>69853.709816324845</v>
      </c>
      <c r="K26" s="57">
        <f t="shared" si="19"/>
        <v>69853.709816324845</v>
      </c>
      <c r="L26" s="57">
        <f t="shared" si="15"/>
        <v>0</v>
      </c>
      <c r="M26" s="64">
        <f t="shared" si="5"/>
        <v>66.208542245725525</v>
      </c>
      <c r="N26" s="65">
        <f t="shared" si="6"/>
        <v>28.882049142374903</v>
      </c>
      <c r="O26" s="65">
        <f t="shared" si="7"/>
        <v>31.681005885027801</v>
      </c>
      <c r="P26" s="66">
        <f>Fuel_Specs!B26/Fuel_Specs!E26*gperlb</f>
        <v>12417.17350759914</v>
      </c>
      <c r="Q26" s="66">
        <f>Fuel_Specs!D26/Fuel_Specs!E26*gperlb</f>
        <v>13620.520657327301</v>
      </c>
      <c r="R26" s="64">
        <f t="shared" si="16"/>
        <v>72.72499974050001</v>
      </c>
      <c r="S26" s="640">
        <f t="shared" si="11"/>
        <v>0.91165189789710366</v>
      </c>
      <c r="T26" s="67">
        <f t="shared" si="17"/>
        <v>5.5511827999999994</v>
      </c>
      <c r="U26" s="68">
        <f t="shared" si="18"/>
        <v>0.66518522854071116</v>
      </c>
      <c r="V26" s="21" t="s">
        <v>32</v>
      </c>
      <c r="W26" s="21"/>
      <c r="X26" s="21"/>
      <c r="Y26" s="21"/>
      <c r="Z26" s="21"/>
      <c r="AA26" s="21"/>
      <c r="AB26" s="21"/>
    </row>
    <row r="27" spans="1:28" s="22" customFormat="1" ht="11.25" hidden="1">
      <c r="A27" s="33" t="s">
        <v>54</v>
      </c>
      <c r="B27" s="57">
        <f t="shared" si="0"/>
        <v>72200</v>
      </c>
      <c r="C27" s="58">
        <v>72200</v>
      </c>
      <c r="D27" s="58">
        <v>79196.89540113158</v>
      </c>
      <c r="E27" s="58">
        <v>3255</v>
      </c>
      <c r="F27" s="83">
        <v>0.47399999999999998</v>
      </c>
      <c r="G27" s="60">
        <v>0</v>
      </c>
      <c r="H27" s="70">
        <v>0</v>
      </c>
      <c r="I27" s="62">
        <f t="shared" si="12"/>
        <v>0</v>
      </c>
      <c r="J27" s="63">
        <f t="shared" si="13"/>
        <v>78282.315384433168</v>
      </c>
      <c r="K27" s="57">
        <f t="shared" si="19"/>
        <v>78282.315384433168</v>
      </c>
      <c r="L27" s="57">
        <f t="shared" si="15"/>
        <v>0</v>
      </c>
      <c r="M27" s="64">
        <f t="shared" si="5"/>
        <v>74.197318923385112</v>
      </c>
      <c r="N27" s="65">
        <f t="shared" si="6"/>
        <v>23.40246770199693</v>
      </c>
      <c r="O27" s="65">
        <f t="shared" si="7"/>
        <v>25.67039870808048</v>
      </c>
      <c r="P27" s="66">
        <f>Fuel_Specs!B27/Fuel_Specs!E27*gperlb</f>
        <v>10061.35335236072</v>
      </c>
      <c r="Q27" s="66">
        <f>Fuel_Specs!D27/Fuel_Specs!E27*gperlb</f>
        <v>11036.398186159784</v>
      </c>
      <c r="R27" s="64">
        <f t="shared" si="16"/>
        <v>76.175032369999997</v>
      </c>
      <c r="S27" s="640">
        <f t="shared" si="11"/>
        <v>0.91165189789710377</v>
      </c>
      <c r="T27" s="67">
        <f t="shared" si="17"/>
        <v>7.175972999999999</v>
      </c>
      <c r="U27" s="68">
        <f t="shared" si="18"/>
        <v>0.85988003133439816</v>
      </c>
      <c r="V27" s="21" t="s">
        <v>32</v>
      </c>
      <c r="W27" s="21"/>
      <c r="X27" s="21"/>
      <c r="Y27" s="21"/>
      <c r="Z27" s="21"/>
      <c r="AA27" s="21"/>
      <c r="AB27" s="21"/>
    </row>
    <row r="28" spans="1:28" s="22" customFormat="1" ht="10.5" hidden="1" customHeight="1">
      <c r="A28" s="33" t="s">
        <v>55</v>
      </c>
      <c r="B28" s="57">
        <f t="shared" si="0"/>
        <v>124315.98950500038</v>
      </c>
      <c r="C28" s="58">
        <f>36092.7285278791/1000*E28</f>
        <v>124315.98950500038</v>
      </c>
      <c r="D28" s="58">
        <f>C28/0.9</f>
        <v>138128.8772277782</v>
      </c>
      <c r="E28" s="58">
        <v>3444.35</v>
      </c>
      <c r="F28" s="83"/>
      <c r="G28" s="60">
        <v>0</v>
      </c>
      <c r="H28" s="70">
        <v>0</v>
      </c>
      <c r="I28" s="62">
        <f t="shared" si="12"/>
        <v>0</v>
      </c>
      <c r="J28" s="63"/>
      <c r="K28" s="57">
        <f t="shared" si="19"/>
        <v>0</v>
      </c>
      <c r="L28" s="57">
        <f t="shared" si="15"/>
        <v>0</v>
      </c>
      <c r="M28" s="64">
        <f t="shared" si="5"/>
        <v>0</v>
      </c>
      <c r="N28" s="65">
        <f t="shared" si="6"/>
        <v>38.079844375800732</v>
      </c>
      <c r="O28" s="65">
        <f t="shared" si="7"/>
        <v>42.310938195334153</v>
      </c>
      <c r="P28" s="66">
        <f>Fuel_Specs!B28/Fuel_Specs!E28*gperlb</f>
        <v>16371.554262849999</v>
      </c>
      <c r="Q28" s="66">
        <f>Fuel_Specs!D28/Fuel_Specs!E28*gperlb</f>
        <v>18190.615847611109</v>
      </c>
      <c r="R28" s="64">
        <f t="shared" si="16"/>
        <v>131.16031197578926</v>
      </c>
      <c r="S28" s="640">
        <f t="shared" si="11"/>
        <v>0.9</v>
      </c>
      <c r="T28" s="67">
        <f t="shared" si="17"/>
        <v>7.5934140099999983</v>
      </c>
      <c r="U28" s="68">
        <f t="shared" si="18"/>
        <v>0.90990100950127006</v>
      </c>
      <c r="V28" s="21" t="s">
        <v>32</v>
      </c>
      <c r="W28" s="21"/>
      <c r="X28" s="21"/>
      <c r="Y28" s="21"/>
      <c r="Z28" s="21"/>
      <c r="AA28" s="21"/>
      <c r="AB28" s="21"/>
    </row>
    <row r="29" spans="1:28" s="22" customFormat="1" ht="11.25" hidden="1">
      <c r="A29" s="33" t="s">
        <v>56</v>
      </c>
      <c r="B29" s="57"/>
      <c r="C29" s="58"/>
      <c r="D29" s="58"/>
      <c r="E29" s="58">
        <v>3400</v>
      </c>
      <c r="F29" s="83"/>
      <c r="G29" s="60"/>
      <c r="H29" s="70"/>
      <c r="I29" s="62"/>
      <c r="J29" s="63"/>
      <c r="K29" s="57"/>
      <c r="L29" s="57"/>
      <c r="M29" s="64">
        <f t="shared" si="5"/>
        <v>0</v>
      </c>
      <c r="N29" s="89">
        <v>37.5</v>
      </c>
      <c r="O29" s="65">
        <f t="shared" si="7"/>
        <v>0</v>
      </c>
      <c r="P29" s="90"/>
      <c r="Q29" s="66">
        <f>Fuel_Specs!D29/Fuel_Specs!E29*gperlb</f>
        <v>0</v>
      </c>
      <c r="R29" s="64"/>
      <c r="S29" s="640"/>
      <c r="T29" s="67">
        <f t="shared" si="17"/>
        <v>7.495639999999999</v>
      </c>
      <c r="U29" s="68">
        <f t="shared" si="18"/>
        <v>0.89818497896680605</v>
      </c>
      <c r="V29" s="21"/>
      <c r="W29" s="21"/>
      <c r="X29" s="21"/>
      <c r="Y29" s="21"/>
      <c r="Z29" s="21"/>
      <c r="AA29" s="21"/>
      <c r="AB29" s="21"/>
    </row>
    <row r="30" spans="1:28" s="22" customFormat="1" ht="11.25" hidden="1">
      <c r="A30" s="33" t="s">
        <v>57</v>
      </c>
      <c r="B30" s="57">
        <f t="shared" ref="B30:B45" si="20">IF($B$5=1,C30,D30)</f>
        <v>119550</v>
      </c>
      <c r="C30" s="58">
        <v>119550</v>
      </c>
      <c r="D30" s="58">
        <v>127960</v>
      </c>
      <c r="E30" s="58">
        <v>3361</v>
      </c>
      <c r="F30" s="59">
        <v>0.77600000000000002</v>
      </c>
      <c r="G30" s="60">
        <v>0</v>
      </c>
      <c r="H30" s="70">
        <v>0</v>
      </c>
      <c r="I30" s="62">
        <f>E30*H30/B30*1000000</f>
        <v>0</v>
      </c>
      <c r="J30" s="63">
        <f t="shared" ref="J30:J35" si="21">E30*F30/CO2_C_Ratio/B30*1000000</f>
        <v>79919.393373753788</v>
      </c>
      <c r="K30" s="57">
        <f>3873</f>
        <v>3873</v>
      </c>
      <c r="L30" s="57">
        <f>J30-K30</f>
        <v>76046.393373753788</v>
      </c>
      <c r="M30" s="64">
        <f t="shared" si="5"/>
        <v>75.74896947280449</v>
      </c>
      <c r="N30" s="65">
        <f t="shared" ref="N30:N43" si="22">C30*JperBtu/1000/E30</f>
        <v>37.52809487280571</v>
      </c>
      <c r="O30" s="65">
        <f t="shared" si="7"/>
        <v>40.168088832490326</v>
      </c>
      <c r="P30" s="66">
        <f>Fuel_Specs!B30/Fuel_Specs!E30*gperlb</f>
        <v>16134.342239643207</v>
      </c>
      <c r="Q30" s="66">
        <f>Fuel_Specs!D30/Fuel_Specs!E30*gperlb</f>
        <v>17269.346992762396</v>
      </c>
      <c r="R30" s="64">
        <f>N30*E30/1000</f>
        <v>126.13192686749998</v>
      </c>
      <c r="S30" s="640">
        <f t="shared" si="11"/>
        <v>0.93427633635511109</v>
      </c>
      <c r="T30" s="67">
        <f t="shared" si="17"/>
        <v>7.4096605999999987</v>
      </c>
      <c r="U30" s="68">
        <f t="shared" si="18"/>
        <v>0.8878822689139515</v>
      </c>
      <c r="V30" s="21" t="s">
        <v>32</v>
      </c>
      <c r="W30" s="21"/>
      <c r="X30" s="21"/>
      <c r="Y30" s="21"/>
      <c r="Z30" s="21"/>
      <c r="AA30" s="21"/>
      <c r="AB30" s="21"/>
    </row>
    <row r="31" spans="1:28" s="22" customFormat="1" ht="11.25" hidden="1">
      <c r="A31" s="33" t="s">
        <v>58</v>
      </c>
      <c r="B31" s="57">
        <f t="shared" si="20"/>
        <v>119550</v>
      </c>
      <c r="C31" s="58">
        <v>119550</v>
      </c>
      <c r="D31" s="58">
        <v>127960</v>
      </c>
      <c r="E31" s="58">
        <v>3500</v>
      </c>
      <c r="F31" s="59">
        <v>0.77600000000000002</v>
      </c>
      <c r="G31" s="60">
        <v>0</v>
      </c>
      <c r="H31" s="70"/>
      <c r="I31" s="62"/>
      <c r="J31" s="63">
        <f t="shared" si="21"/>
        <v>83224.598871805487</v>
      </c>
      <c r="K31" s="57">
        <v>0</v>
      </c>
      <c r="L31" s="57"/>
      <c r="M31" s="64">
        <f t="shared" si="5"/>
        <v>78.881699837791047</v>
      </c>
      <c r="N31" s="65">
        <f t="shared" si="22"/>
        <v>36.037693390714281</v>
      </c>
      <c r="O31" s="65">
        <f t="shared" si="7"/>
        <v>38.572841875999998</v>
      </c>
      <c r="P31" s="91">
        <f>P30*1.05</f>
        <v>16941.059351625368</v>
      </c>
      <c r="Q31" s="66">
        <f>Fuel_Specs!D31/Fuel_Specs!E31*gperlb</f>
        <v>16583.507212192693</v>
      </c>
      <c r="R31" s="64"/>
      <c r="S31" s="640">
        <f t="shared" si="11"/>
        <v>1.0215607069637109</v>
      </c>
      <c r="T31" s="67">
        <f t="shared" si="17"/>
        <v>7.7160999999999991</v>
      </c>
      <c r="U31" s="68">
        <f t="shared" si="18"/>
        <v>0.92460218423053575</v>
      </c>
      <c r="V31" s="21" t="s">
        <v>32</v>
      </c>
      <c r="W31" s="21"/>
      <c r="X31" s="21"/>
      <c r="Y31" s="21"/>
      <c r="Z31" s="21"/>
      <c r="AA31" s="21"/>
      <c r="AB31" s="21"/>
    </row>
    <row r="32" spans="1:28" s="22" customFormat="1" ht="11.25" hidden="1">
      <c r="A32" s="33" t="s">
        <v>59</v>
      </c>
      <c r="B32" s="57">
        <f t="shared" si="20"/>
        <v>122800</v>
      </c>
      <c r="C32" s="74">
        <v>122800</v>
      </c>
      <c r="D32" s="88">
        <v>132100</v>
      </c>
      <c r="E32" s="88">
        <v>2953</v>
      </c>
      <c r="F32" s="92">
        <v>0.84799999999999998</v>
      </c>
      <c r="G32" s="60">
        <v>0</v>
      </c>
      <c r="H32" s="70">
        <v>0</v>
      </c>
      <c r="I32" s="62">
        <f t="shared" ref="I32:I44" si="23">E31*H31/B31*1000000</f>
        <v>0</v>
      </c>
      <c r="J32" s="63">
        <f t="shared" si="21"/>
        <v>74702.039305940241</v>
      </c>
      <c r="K32" s="57">
        <v>0</v>
      </c>
      <c r="L32" s="57">
        <f t="shared" ref="L32:L43" si="24">J32-K32</f>
        <v>74702.039305940241</v>
      </c>
      <c r="M32" s="64">
        <f t="shared" si="5"/>
        <v>70.80387195231441</v>
      </c>
      <c r="N32" s="65">
        <f t="shared" si="22"/>
        <v>43.874317094480183</v>
      </c>
      <c r="O32" s="65">
        <f t="shared" si="7"/>
        <v>47.197046320690816</v>
      </c>
      <c r="P32" s="66">
        <f>Fuel_Specs!B32/Fuel_Specs!E32*gperlb</f>
        <v>18862.7546890458</v>
      </c>
      <c r="Q32" s="66">
        <f>Fuel_Specs!D32/Fuel_Specs!E32*gperlb</f>
        <v>20291.285785203181</v>
      </c>
      <c r="R32" s="64">
        <f t="shared" ref="R32:R43" si="25">N32*E32/1000</f>
        <v>129.56085837999998</v>
      </c>
      <c r="S32" s="640">
        <f t="shared" si="11"/>
        <v>0.92959878879636615</v>
      </c>
      <c r="T32" s="67">
        <f t="shared" si="17"/>
        <v>6.5101837999999992</v>
      </c>
      <c r="U32" s="68">
        <f t="shared" si="18"/>
        <v>0.78010007143793481</v>
      </c>
      <c r="V32" s="77" t="s">
        <v>32</v>
      </c>
      <c r="W32" s="21"/>
      <c r="X32" s="21"/>
      <c r="Y32" s="21"/>
      <c r="Z32" s="21"/>
      <c r="AA32" s="21"/>
      <c r="AB32" s="21"/>
    </row>
    <row r="33" spans="1:28" s="22" customFormat="1" ht="11.25" hidden="1">
      <c r="A33" s="33" t="s">
        <v>60</v>
      </c>
      <c r="B33" s="57">
        <f t="shared" si="20"/>
        <v>117059</v>
      </c>
      <c r="C33" s="85">
        <v>117059</v>
      </c>
      <c r="D33" s="85">
        <v>125293.76528649101</v>
      </c>
      <c r="E33" s="85">
        <v>2835</v>
      </c>
      <c r="F33" s="83">
        <v>0.871</v>
      </c>
      <c r="G33" s="79">
        <v>0</v>
      </c>
      <c r="H33" s="70">
        <v>0</v>
      </c>
      <c r="I33" s="62">
        <f t="shared" si="23"/>
        <v>0</v>
      </c>
      <c r="J33" s="63">
        <f t="shared" si="21"/>
        <v>77274.807870348071</v>
      </c>
      <c r="K33" s="57">
        <v>0</v>
      </c>
      <c r="L33" s="57">
        <f t="shared" si="24"/>
        <v>77274.807870348071</v>
      </c>
      <c r="M33" s="64">
        <f t="shared" si="5"/>
        <v>73.242386050319581</v>
      </c>
      <c r="N33" s="65">
        <f t="shared" si="22"/>
        <v>43.563944530917112</v>
      </c>
      <c r="O33" s="65">
        <f t="shared" si="7"/>
        <v>46.628543221883341</v>
      </c>
      <c r="P33" s="66">
        <f>Fuel_Specs!B33/Fuel_Specs!E33*gperlb</f>
        <v>18729.317135679594</v>
      </c>
      <c r="Q33" s="66">
        <f>Fuel_Specs!D33/Fuel_Specs!E33*gperlb</f>
        <v>20046.870938365209</v>
      </c>
      <c r="R33" s="64">
        <f t="shared" si="25"/>
        <v>123.50378274515002</v>
      </c>
      <c r="S33" s="640">
        <f t="shared" si="11"/>
        <v>0.93427633635511098</v>
      </c>
      <c r="T33" s="67">
        <f t="shared" si="17"/>
        <v>6.2500409999999986</v>
      </c>
      <c r="U33" s="68">
        <f t="shared" si="18"/>
        <v>0.74892776922673387</v>
      </c>
      <c r="V33" s="21" t="s">
        <v>32</v>
      </c>
      <c r="W33" s="21"/>
      <c r="X33" s="21"/>
      <c r="Y33" s="21"/>
      <c r="Z33" s="21"/>
      <c r="AA33" s="21"/>
      <c r="AB33" s="21"/>
    </row>
    <row r="34" spans="1:28" s="22" customFormat="1" ht="11.25" hidden="1">
      <c r="A34" s="33" t="s">
        <v>61</v>
      </c>
      <c r="B34" s="57">
        <f t="shared" si="20"/>
        <v>122887</v>
      </c>
      <c r="C34" s="85">
        <v>122887</v>
      </c>
      <c r="D34" s="85">
        <v>130817</v>
      </c>
      <c r="E34" s="85">
        <v>2948</v>
      </c>
      <c r="F34" s="83">
        <v>0.871</v>
      </c>
      <c r="G34" s="79">
        <v>0</v>
      </c>
      <c r="H34" s="70">
        <v>0</v>
      </c>
      <c r="I34" s="62">
        <f t="shared" si="23"/>
        <v>0</v>
      </c>
      <c r="J34" s="63">
        <f t="shared" si="21"/>
        <v>76544.011270334493</v>
      </c>
      <c r="K34" s="57">
        <v>0</v>
      </c>
      <c r="L34" s="57">
        <f t="shared" si="24"/>
        <v>76544.011270334493</v>
      </c>
      <c r="M34" s="64">
        <f t="shared" si="5"/>
        <v>72.549724519639881</v>
      </c>
      <c r="N34" s="65">
        <f t="shared" si="22"/>
        <v>43.979867109548849</v>
      </c>
      <c r="O34" s="65">
        <f t="shared" si="7"/>
        <v>46.81792439940638</v>
      </c>
      <c r="P34" s="66">
        <f>Fuel_Specs!B34/Fuel_Specs!E34*gperlb</f>
        <v>18908.13349317346</v>
      </c>
      <c r="Q34" s="66">
        <f>Fuel_Specs!D34/Fuel_Specs!E34*gperlb</f>
        <v>20128.291024896633</v>
      </c>
      <c r="R34" s="64">
        <f t="shared" si="25"/>
        <v>129.65264823895001</v>
      </c>
      <c r="S34" s="640">
        <f t="shared" si="11"/>
        <v>0.93938096730547249</v>
      </c>
      <c r="T34" s="67">
        <f t="shared" si="17"/>
        <v>6.4991607999999994</v>
      </c>
      <c r="U34" s="68">
        <f t="shared" si="18"/>
        <v>0.77877921117474824</v>
      </c>
      <c r="V34" s="21" t="s">
        <v>32</v>
      </c>
      <c r="W34" s="21"/>
      <c r="X34" s="21"/>
      <c r="Y34" s="21"/>
      <c r="Z34" s="21"/>
      <c r="AA34" s="21"/>
      <c r="AB34" s="21"/>
    </row>
    <row r="35" spans="1:28" s="22" customFormat="1" ht="11.25" hidden="1">
      <c r="A35" s="33" t="s">
        <v>62</v>
      </c>
      <c r="B35" s="57">
        <f t="shared" si="20"/>
        <v>115983</v>
      </c>
      <c r="C35" s="85">
        <v>115983</v>
      </c>
      <c r="D35" s="85">
        <v>124230</v>
      </c>
      <c r="E35" s="85">
        <v>2830</v>
      </c>
      <c r="F35" s="83">
        <v>0.84</v>
      </c>
      <c r="G35" s="79">
        <v>0</v>
      </c>
      <c r="H35" s="70">
        <v>0</v>
      </c>
      <c r="I35" s="62">
        <f t="shared" si="23"/>
        <v>0</v>
      </c>
      <c r="J35" s="63">
        <f t="shared" si="21"/>
        <v>75083.223403968193</v>
      </c>
      <c r="K35" s="57">
        <v>0</v>
      </c>
      <c r="L35" s="57">
        <f t="shared" si="24"/>
        <v>75083.223403968193</v>
      </c>
      <c r="M35" s="64">
        <f t="shared" si="5"/>
        <v>71.165164767313684</v>
      </c>
      <c r="N35" s="65">
        <f t="shared" si="22"/>
        <v>43.239767721042398</v>
      </c>
      <c r="O35" s="65">
        <f t="shared" si="7"/>
        <v>46.314342136219082</v>
      </c>
      <c r="P35" s="66">
        <f>Fuel_Specs!B35/Fuel_Specs!E35*gperlb</f>
        <v>18589.944763743271</v>
      </c>
      <c r="Q35" s="66">
        <f>Fuel_Specs!D35/Fuel_Specs!E35*gperlb</f>
        <v>19911.787399876073</v>
      </c>
      <c r="R35" s="64">
        <f t="shared" si="25"/>
        <v>122.36854265055</v>
      </c>
      <c r="S35" s="640">
        <f t="shared" si="11"/>
        <v>0.93361506882395551</v>
      </c>
      <c r="T35" s="67">
        <f t="shared" si="17"/>
        <v>6.2390179999999988</v>
      </c>
      <c r="U35" s="68">
        <f t="shared" si="18"/>
        <v>0.74760690896354742</v>
      </c>
      <c r="V35" s="21" t="s">
        <v>32</v>
      </c>
      <c r="W35" s="21"/>
      <c r="X35" s="21"/>
      <c r="Y35" s="21"/>
      <c r="Z35" s="21"/>
      <c r="AA35" s="21"/>
      <c r="AB35" s="21"/>
    </row>
    <row r="36" spans="1:28" s="22" customFormat="1" ht="11.25" hidden="1">
      <c r="A36" s="33" t="s">
        <v>63</v>
      </c>
      <c r="B36" s="57">
        <f t="shared" si="20"/>
        <v>30500</v>
      </c>
      <c r="C36" s="58">
        <v>30500</v>
      </c>
      <c r="D36" s="58">
        <v>36020</v>
      </c>
      <c r="E36" s="58">
        <v>268</v>
      </c>
      <c r="F36" s="83">
        <v>0</v>
      </c>
      <c r="G36" s="60">
        <v>0</v>
      </c>
      <c r="H36" s="70">
        <v>0</v>
      </c>
      <c r="I36" s="62">
        <f t="shared" si="23"/>
        <v>0</v>
      </c>
      <c r="J36" s="63"/>
      <c r="K36" s="57">
        <v>0</v>
      </c>
      <c r="L36" s="57">
        <f t="shared" si="24"/>
        <v>0</v>
      </c>
      <c r="M36" s="64">
        <f t="shared" si="5"/>
        <v>0</v>
      </c>
      <c r="N36" s="65">
        <f t="shared" si="22"/>
        <v>120.07165457089552</v>
      </c>
      <c r="O36" s="65">
        <f t="shared" si="7"/>
        <v>141.80265566044775</v>
      </c>
      <c r="P36" s="66">
        <f>Fuel_Specs!B36/Fuel_Specs!E36*gperlb</f>
        <v>51622.049419057308</v>
      </c>
      <c r="Q36" s="66">
        <f>Fuel_Specs!D36/Fuel_Specs!E36*gperlb</f>
        <v>60964.794100801446</v>
      </c>
      <c r="R36" s="64">
        <f t="shared" si="25"/>
        <v>32.179203424999997</v>
      </c>
      <c r="S36" s="640">
        <f t="shared" si="11"/>
        <v>0.84675180455302612</v>
      </c>
      <c r="T36" s="67">
        <f t="shared" si="17"/>
        <v>0.59083279999999994</v>
      </c>
      <c r="U36" s="68">
        <f t="shared" si="18"/>
        <v>7.0798110106795306E-2</v>
      </c>
      <c r="V36" s="21" t="s">
        <v>32</v>
      </c>
      <c r="W36" s="21"/>
      <c r="X36" s="21"/>
      <c r="Y36" s="21"/>
      <c r="Z36" s="21"/>
      <c r="AA36" s="21"/>
      <c r="AB36" s="21"/>
    </row>
    <row r="37" spans="1:28" s="22" customFormat="1" ht="11.25" hidden="1">
      <c r="A37" s="33" t="s">
        <v>64</v>
      </c>
      <c r="B37" s="57">
        <f t="shared" si="20"/>
        <v>93540</v>
      </c>
      <c r="C37" s="58">
        <v>93540</v>
      </c>
      <c r="D37" s="58">
        <v>101130</v>
      </c>
      <c r="E37" s="58">
        <v>2811</v>
      </c>
      <c r="F37" s="83">
        <v>0.68100000000000005</v>
      </c>
      <c r="G37" s="60">
        <v>0</v>
      </c>
      <c r="H37" s="70">
        <v>0</v>
      </c>
      <c r="I37" s="62">
        <f t="shared" si="23"/>
        <v>0</v>
      </c>
      <c r="J37" s="63">
        <f t="shared" ref="J37:J43" si="26">E37*F37/CO2_C_Ratio/B37*1000000</f>
        <v>74969.068963272555</v>
      </c>
      <c r="K37" s="57">
        <f t="shared" ref="K37:K43" si="27">E37*F37/CO2_C_Ratio/B37*1000000</f>
        <v>74969.068963272555</v>
      </c>
      <c r="L37" s="57">
        <f t="shared" si="24"/>
        <v>0</v>
      </c>
      <c r="M37" s="64">
        <f t="shared" si="5"/>
        <v>71.056967233793884</v>
      </c>
      <c r="N37" s="65">
        <f t="shared" si="22"/>
        <v>35.108475350053361</v>
      </c>
      <c r="O37" s="65">
        <f t="shared" si="7"/>
        <v>37.95723874439701</v>
      </c>
      <c r="P37" s="66">
        <f>Fuel_Specs!B37/Fuel_Specs!E37*gperlb</f>
        <v>15094.082412915424</v>
      </c>
      <c r="Q37" s="66">
        <f>Fuel_Specs!D37/Fuel_Specs!E37*gperlb</f>
        <v>16318.842788305934</v>
      </c>
      <c r="R37" s="64">
        <f t="shared" si="25"/>
        <v>98.689924208999997</v>
      </c>
      <c r="S37" s="640">
        <f t="shared" si="11"/>
        <v>0.92494808662118055</v>
      </c>
      <c r="T37" s="67">
        <f t="shared" si="17"/>
        <v>6.1971305999999995</v>
      </c>
      <c r="U37" s="68">
        <f t="shared" si="18"/>
        <v>0.74258763996343879</v>
      </c>
      <c r="V37" s="21" t="s">
        <v>32</v>
      </c>
      <c r="W37" s="21"/>
      <c r="X37" s="21"/>
      <c r="Y37" s="21"/>
      <c r="Z37" s="21"/>
      <c r="AA37" s="21"/>
      <c r="AB37" s="21"/>
    </row>
    <row r="38" spans="1:28" s="22" customFormat="1" ht="11.25" hidden="1">
      <c r="A38" s="33" t="s">
        <v>65</v>
      </c>
      <c r="B38" s="57">
        <f t="shared" si="20"/>
        <v>96720</v>
      </c>
      <c r="C38" s="58">
        <v>96720</v>
      </c>
      <c r="D38" s="58">
        <v>104530</v>
      </c>
      <c r="E38" s="58">
        <v>2810</v>
      </c>
      <c r="F38" s="83">
        <v>0.70599999999999996</v>
      </c>
      <c r="G38" s="60">
        <v>0</v>
      </c>
      <c r="H38" s="70">
        <v>0</v>
      </c>
      <c r="I38" s="62">
        <f t="shared" si="23"/>
        <v>0</v>
      </c>
      <c r="J38" s="63">
        <f t="shared" si="26"/>
        <v>75139.146659227466</v>
      </c>
      <c r="K38" s="57">
        <f t="shared" si="27"/>
        <v>75139.146659227466</v>
      </c>
      <c r="L38" s="57">
        <f t="shared" si="24"/>
        <v>0</v>
      </c>
      <c r="M38" s="64">
        <f t="shared" si="5"/>
        <v>71.218169786203703</v>
      </c>
      <c r="N38" s="65">
        <f t="shared" si="22"/>
        <v>36.314947264056933</v>
      </c>
      <c r="O38" s="65">
        <f t="shared" si="7"/>
        <v>39.247326690569388</v>
      </c>
      <c r="P38" s="66">
        <f>Fuel_Specs!B38/Fuel_Specs!E38*gperlb</f>
        <v>15612.777295483435</v>
      </c>
      <c r="Q38" s="66">
        <f>Fuel_Specs!D38/Fuel_Specs!E38*gperlb</f>
        <v>16873.486462953719</v>
      </c>
      <c r="R38" s="64">
        <f t="shared" si="25"/>
        <v>102.04500181199998</v>
      </c>
      <c r="S38" s="640">
        <f t="shared" si="11"/>
        <v>0.92528460728977313</v>
      </c>
      <c r="T38" s="67">
        <f t="shared" si="17"/>
        <v>6.1949259999999988</v>
      </c>
      <c r="U38" s="68">
        <f t="shared" si="18"/>
        <v>0.7423234679108015</v>
      </c>
      <c r="V38" s="21" t="s">
        <v>32</v>
      </c>
      <c r="W38" s="21"/>
      <c r="X38" s="21"/>
      <c r="Y38" s="21"/>
      <c r="Z38" s="21"/>
      <c r="AA38" s="21"/>
      <c r="AB38" s="21"/>
    </row>
    <row r="39" spans="1:28" s="22" customFormat="1" ht="11.25" hidden="1">
      <c r="A39" s="33" t="s">
        <v>66</v>
      </c>
      <c r="B39" s="57">
        <f t="shared" si="20"/>
        <v>100480</v>
      </c>
      <c r="C39" s="58">
        <v>100480</v>
      </c>
      <c r="D39" s="58">
        <v>108570</v>
      </c>
      <c r="E39" s="58">
        <v>2913</v>
      </c>
      <c r="F39" s="83">
        <v>0.70599999999999996</v>
      </c>
      <c r="G39" s="60">
        <v>0</v>
      </c>
      <c r="H39" s="70">
        <v>0</v>
      </c>
      <c r="I39" s="62">
        <f t="shared" si="23"/>
        <v>0</v>
      </c>
      <c r="J39" s="63">
        <f t="shared" si="26"/>
        <v>74978.558172008678</v>
      </c>
      <c r="K39" s="57">
        <f t="shared" si="27"/>
        <v>74978.558172008678</v>
      </c>
      <c r="L39" s="57">
        <f t="shared" si="24"/>
        <v>0</v>
      </c>
      <c r="M39" s="64">
        <f t="shared" si="5"/>
        <v>71.065961268314538</v>
      </c>
      <c r="N39" s="65">
        <f t="shared" si="22"/>
        <v>36.392726332990044</v>
      </c>
      <c r="O39" s="65">
        <f t="shared" si="7"/>
        <v>39.322833379505667</v>
      </c>
      <c r="P39" s="66">
        <f>Fuel_Specs!B39/Fuel_Specs!E39*gperlb</f>
        <v>15646.216619315377</v>
      </c>
      <c r="Q39" s="66">
        <f>Fuel_Specs!D39/Fuel_Specs!E39*gperlb</f>
        <v>16905.948829210491</v>
      </c>
      <c r="R39" s="64">
        <f t="shared" si="25"/>
        <v>106.012011808</v>
      </c>
      <c r="S39" s="640">
        <f t="shared" si="11"/>
        <v>0.9254858616560746</v>
      </c>
      <c r="T39" s="67">
        <f t="shared" si="17"/>
        <v>6.4219997999999991</v>
      </c>
      <c r="U39" s="68">
        <f t="shared" si="18"/>
        <v>0.76953318933244297</v>
      </c>
      <c r="V39" s="21" t="s">
        <v>32</v>
      </c>
      <c r="W39" s="21"/>
      <c r="X39" s="21"/>
      <c r="Y39" s="21"/>
      <c r="Z39" s="21"/>
      <c r="AA39" s="21"/>
      <c r="AB39" s="21"/>
    </row>
    <row r="40" spans="1:28" s="22" customFormat="1" ht="11.25" hidden="1">
      <c r="A40" s="33" t="s">
        <v>67</v>
      </c>
      <c r="B40" s="57">
        <f t="shared" si="20"/>
        <v>94970</v>
      </c>
      <c r="C40" s="58">
        <v>94970</v>
      </c>
      <c r="D40" s="58">
        <v>103220</v>
      </c>
      <c r="E40" s="58">
        <v>2213</v>
      </c>
      <c r="F40" s="83">
        <v>0.82799999999999996</v>
      </c>
      <c r="G40" s="60">
        <v>0</v>
      </c>
      <c r="H40" s="70">
        <v>0</v>
      </c>
      <c r="I40" s="62">
        <f t="shared" si="23"/>
        <v>0</v>
      </c>
      <c r="J40" s="63">
        <f t="shared" si="26"/>
        <v>70680.048388884388</v>
      </c>
      <c r="K40" s="57">
        <f t="shared" si="27"/>
        <v>70680.048388884388</v>
      </c>
      <c r="L40" s="57">
        <f t="shared" si="24"/>
        <v>0</v>
      </c>
      <c r="M40" s="64">
        <f t="shared" si="5"/>
        <v>66.991760093917676</v>
      </c>
      <c r="N40" s="65">
        <f t="shared" si="22"/>
        <v>45.277295108224131</v>
      </c>
      <c r="O40" s="65">
        <f t="shared" si="7"/>
        <v>49.210512804789879</v>
      </c>
      <c r="P40" s="66">
        <f>Fuel_Specs!B40/Fuel_Specs!E40*gperlb</f>
        <v>19465.932854768318</v>
      </c>
      <c r="Q40" s="66">
        <f>Fuel_Specs!D40/Fuel_Specs!E40*gperlb</f>
        <v>21156.929443710498</v>
      </c>
      <c r="R40" s="64">
        <f t="shared" si="25"/>
        <v>100.1986540745</v>
      </c>
      <c r="S40" s="640">
        <f t="shared" si="11"/>
        <v>0.92007362914163915</v>
      </c>
      <c r="T40" s="67">
        <f t="shared" si="17"/>
        <v>4.8787797999999993</v>
      </c>
      <c r="U40" s="68">
        <f t="shared" si="18"/>
        <v>0.58461275248633582</v>
      </c>
      <c r="V40" s="21" t="s">
        <v>32</v>
      </c>
      <c r="W40" s="21"/>
      <c r="X40" s="21"/>
      <c r="Y40" s="21"/>
      <c r="Z40" s="21"/>
      <c r="AA40" s="21"/>
      <c r="AB40" s="21"/>
    </row>
    <row r="41" spans="1:28" s="22" customFormat="1" ht="11.25" hidden="1">
      <c r="A41" s="33" t="s">
        <v>68</v>
      </c>
      <c r="B41" s="57">
        <f t="shared" si="20"/>
        <v>90060</v>
      </c>
      <c r="C41" s="58">
        <v>90060</v>
      </c>
      <c r="D41" s="58">
        <v>98560</v>
      </c>
      <c r="E41" s="58">
        <v>2118</v>
      </c>
      <c r="F41" s="83">
        <v>0.82799999999999996</v>
      </c>
      <c r="G41" s="60">
        <v>0</v>
      </c>
      <c r="H41" s="70">
        <v>0</v>
      </c>
      <c r="I41" s="62">
        <f t="shared" si="23"/>
        <v>0</v>
      </c>
      <c r="J41" s="63">
        <f t="shared" si="26"/>
        <v>71333.884685666722</v>
      </c>
      <c r="K41" s="57">
        <f t="shared" si="27"/>
        <v>71333.884685666722</v>
      </c>
      <c r="L41" s="57">
        <f t="shared" si="24"/>
        <v>0</v>
      </c>
      <c r="M41" s="64">
        <f t="shared" si="5"/>
        <v>67.611477331429157</v>
      </c>
      <c r="N41" s="65">
        <f t="shared" si="22"/>
        <v>44.862289825779037</v>
      </c>
      <c r="O41" s="65">
        <f t="shared" si="7"/>
        <v>49.096461084041543</v>
      </c>
      <c r="P41" s="66">
        <f>Fuel_Specs!B41/Fuel_Specs!E41*gperlb</f>
        <v>19287.510867696416</v>
      </c>
      <c r="Q41" s="66">
        <f>Fuel_Specs!D41/Fuel_Specs!E41*gperlb</f>
        <v>21107.895526539625</v>
      </c>
      <c r="R41" s="64">
        <f t="shared" si="25"/>
        <v>95.018329851000004</v>
      </c>
      <c r="S41" s="640">
        <f t="shared" si="11"/>
        <v>0.91375811688311692</v>
      </c>
      <c r="T41" s="67">
        <f t="shared" si="17"/>
        <v>4.669342799999999</v>
      </c>
      <c r="U41" s="68">
        <f t="shared" si="18"/>
        <v>0.55951640748579268</v>
      </c>
      <c r="V41" s="21" t="s">
        <v>32</v>
      </c>
      <c r="W41" s="21"/>
      <c r="X41" s="21"/>
      <c r="Y41" s="21"/>
      <c r="Z41" s="21"/>
      <c r="AA41" s="21"/>
      <c r="AB41" s="21"/>
    </row>
    <row r="42" spans="1:28" s="22" customFormat="1" ht="11.25" hidden="1">
      <c r="A42" s="33" t="s">
        <v>69</v>
      </c>
      <c r="B42" s="57">
        <f t="shared" si="20"/>
        <v>95720</v>
      </c>
      <c r="C42" s="58">
        <v>95720</v>
      </c>
      <c r="D42" s="58">
        <v>103010</v>
      </c>
      <c r="E42" s="58">
        <v>2253</v>
      </c>
      <c r="F42" s="83">
        <v>0.85699999999999998</v>
      </c>
      <c r="G42" s="60">
        <v>0</v>
      </c>
      <c r="H42" s="70">
        <v>0</v>
      </c>
      <c r="I42" s="62">
        <f t="shared" si="23"/>
        <v>0</v>
      </c>
      <c r="J42" s="63">
        <f t="shared" si="26"/>
        <v>73894.284641656981</v>
      </c>
      <c r="K42" s="57">
        <f t="shared" si="27"/>
        <v>73894.284641656981</v>
      </c>
      <c r="L42" s="57">
        <f t="shared" si="24"/>
        <v>0</v>
      </c>
      <c r="M42" s="64">
        <f t="shared" si="5"/>
        <v>70.038268250592594</v>
      </c>
      <c r="N42" s="65">
        <f t="shared" si="22"/>
        <v>44.824654221926316</v>
      </c>
      <c r="O42" s="65">
        <f t="shared" si="7"/>
        <v>48.238483403683972</v>
      </c>
      <c r="P42" s="66">
        <f>Fuel_Specs!B42/Fuel_Specs!E42*gperlb</f>
        <v>19271.330304440715</v>
      </c>
      <c r="Q42" s="66">
        <f>Fuel_Specs!D42/Fuel_Specs!E42*gperlb</f>
        <v>20739.027733602572</v>
      </c>
      <c r="R42" s="64">
        <f t="shared" si="25"/>
        <v>100.98994596199998</v>
      </c>
      <c r="S42" s="640">
        <f t="shared" si="11"/>
        <v>0.92923017182797785</v>
      </c>
      <c r="T42" s="67">
        <f t="shared" si="17"/>
        <v>4.9669637999999994</v>
      </c>
      <c r="U42" s="68">
        <f t="shared" si="18"/>
        <v>0.59517963459182777</v>
      </c>
      <c r="V42" s="21" t="s">
        <v>32</v>
      </c>
      <c r="W42" s="21"/>
      <c r="X42" s="21"/>
      <c r="Y42" s="21"/>
      <c r="Z42" s="21"/>
      <c r="AA42" s="21"/>
      <c r="AB42" s="21"/>
    </row>
    <row r="43" spans="1:28" s="22" customFormat="1" ht="11.25">
      <c r="A43" s="33" t="s">
        <v>70</v>
      </c>
      <c r="B43" s="57">
        <f t="shared" si="20"/>
        <v>84250</v>
      </c>
      <c r="C43" s="58">
        <v>84250</v>
      </c>
      <c r="D43" s="58">
        <v>91420</v>
      </c>
      <c r="E43" s="58">
        <v>1920</v>
      </c>
      <c r="F43" s="83">
        <v>0.81799999999999995</v>
      </c>
      <c r="G43" s="60">
        <v>0</v>
      </c>
      <c r="H43" s="70">
        <v>0</v>
      </c>
      <c r="I43" s="62">
        <f t="shared" si="23"/>
        <v>0</v>
      </c>
      <c r="J43" s="63">
        <f t="shared" si="26"/>
        <v>68289.848349119144</v>
      </c>
      <c r="K43" s="57">
        <f t="shared" si="27"/>
        <v>68289.848349119144</v>
      </c>
      <c r="L43" s="57">
        <f t="shared" si="24"/>
        <v>0</v>
      </c>
      <c r="M43" s="64">
        <f t="shared" si="5"/>
        <v>64.726287569628795</v>
      </c>
      <c r="N43" s="65">
        <f t="shared" si="22"/>
        <v>46.296070501302083</v>
      </c>
      <c r="O43" s="65">
        <f t="shared" si="7"/>
        <v>50.236044691145828</v>
      </c>
      <c r="P43" s="66">
        <f>Fuel_Specs!B43/Fuel_Specs!E43*gperlb</f>
        <v>19903.931930206541</v>
      </c>
      <c r="Q43" s="66">
        <f>Fuel_Specs!D43/Fuel_Specs!E43*gperlb</f>
        <v>21597.833318213437</v>
      </c>
      <c r="R43" s="64">
        <f t="shared" si="25"/>
        <v>88.888455362499997</v>
      </c>
      <c r="S43" s="640">
        <f t="shared" si="11"/>
        <v>0.92157077225989936</v>
      </c>
      <c r="T43" s="67">
        <f t="shared" si="17"/>
        <v>4.2328319999999993</v>
      </c>
      <c r="U43" s="68">
        <f t="shared" si="18"/>
        <v>0.50721034106360818</v>
      </c>
      <c r="V43" s="21" t="s">
        <v>32</v>
      </c>
      <c r="W43" s="21"/>
      <c r="X43" s="21"/>
      <c r="Y43" s="21"/>
      <c r="Z43" s="21"/>
      <c r="AA43" s="21"/>
      <c r="AB43" s="21"/>
    </row>
    <row r="44" spans="1:28" s="22" customFormat="1" ht="11.25">
      <c r="A44" s="33" t="s">
        <v>71</v>
      </c>
      <c r="B44" s="57">
        <f t="shared" si="20"/>
        <v>83686.11202275462</v>
      </c>
      <c r="C44" s="82">
        <v>83686.11202275462</v>
      </c>
      <c r="D44" s="58">
        <v>90050</v>
      </c>
      <c r="E44" s="82"/>
      <c r="F44" s="122"/>
      <c r="G44" s="60">
        <v>0</v>
      </c>
      <c r="H44" s="70">
        <v>0</v>
      </c>
      <c r="I44" s="62">
        <f t="shared" si="23"/>
        <v>0</v>
      </c>
      <c r="J44" s="63"/>
      <c r="K44" s="57"/>
      <c r="L44" s="93"/>
      <c r="M44" s="64">
        <f t="shared" si="5"/>
        <v>0</v>
      </c>
      <c r="N44" s="65"/>
      <c r="O44" s="65"/>
      <c r="P44" s="94"/>
      <c r="Q44" s="66"/>
      <c r="R44" s="64"/>
      <c r="S44" s="640"/>
      <c r="T44" s="67"/>
      <c r="U44" s="68">
        <f t="shared" si="18"/>
        <v>0</v>
      </c>
      <c r="V44" s="21" t="s">
        <v>32</v>
      </c>
      <c r="W44" s="21"/>
      <c r="X44" s="21"/>
      <c r="Y44" s="21"/>
      <c r="Z44" s="21"/>
      <c r="AA44" s="21"/>
      <c r="AB44" s="21"/>
    </row>
    <row r="45" spans="1:28" s="22" customFormat="1" ht="12" thickBot="1">
      <c r="A45" s="95" t="s">
        <v>72</v>
      </c>
      <c r="B45" s="96">
        <f t="shared" si="20"/>
        <v>128590</v>
      </c>
      <c r="C45" s="97">
        <v>128590</v>
      </c>
      <c r="D45" s="97">
        <v>142860</v>
      </c>
      <c r="E45" s="96"/>
      <c r="F45" s="98"/>
      <c r="G45" s="99">
        <v>0</v>
      </c>
      <c r="H45" s="100">
        <v>0</v>
      </c>
      <c r="I45" s="101"/>
      <c r="J45" s="102"/>
      <c r="K45" s="96">
        <f>E45*F45/CO2_C_Ratio/B45*1000000</f>
        <v>0</v>
      </c>
      <c r="L45" s="103"/>
      <c r="M45" s="104">
        <f t="shared" si="5"/>
        <v>0</v>
      </c>
      <c r="N45" s="65"/>
      <c r="O45" s="65"/>
      <c r="P45" s="94"/>
      <c r="Q45" s="66"/>
      <c r="R45" s="64"/>
      <c r="S45" s="640"/>
      <c r="T45" s="107"/>
      <c r="U45" s="68">
        <f t="shared" si="18"/>
        <v>0</v>
      </c>
      <c r="V45" s="21" t="s">
        <v>32</v>
      </c>
      <c r="W45" s="21"/>
      <c r="X45" s="21"/>
      <c r="Y45" s="21"/>
      <c r="Z45" s="21"/>
      <c r="AA45" s="21"/>
      <c r="AB45" s="21"/>
    </row>
    <row r="46" spans="1:28" s="115" customFormat="1" ht="11.25">
      <c r="A46" s="46" t="s">
        <v>73</v>
      </c>
      <c r="B46" s="108" t="s">
        <v>74</v>
      </c>
      <c r="C46" s="108" t="s">
        <v>74</v>
      </c>
      <c r="D46" s="108" t="s">
        <v>74</v>
      </c>
      <c r="E46" s="108" t="s">
        <v>75</v>
      </c>
      <c r="F46" s="109"/>
      <c r="G46" s="1828"/>
      <c r="H46" s="1834" t="s">
        <v>25</v>
      </c>
      <c r="I46" s="51" t="s">
        <v>296</v>
      </c>
      <c r="J46" s="52" t="s">
        <v>547</v>
      </c>
      <c r="K46" s="53" t="s">
        <v>547</v>
      </c>
      <c r="L46" s="112"/>
      <c r="M46" s="113" t="s">
        <v>184</v>
      </c>
      <c r="N46" s="134" t="s">
        <v>26</v>
      </c>
      <c r="O46" s="134" t="s">
        <v>26</v>
      </c>
      <c r="P46" s="132" t="s">
        <v>27</v>
      </c>
      <c r="Q46" s="132" t="s">
        <v>27</v>
      </c>
      <c r="R46" s="55" t="s">
        <v>28</v>
      </c>
      <c r="S46" s="641"/>
      <c r="T46" s="53" t="s">
        <v>186</v>
      </c>
      <c r="U46" s="68"/>
      <c r="V46" s="21" t="s">
        <v>32</v>
      </c>
      <c r="W46" s="114"/>
      <c r="X46" s="114"/>
      <c r="Y46" s="114"/>
      <c r="Z46" s="114"/>
      <c r="AA46" s="114"/>
      <c r="AB46" s="114"/>
    </row>
    <row r="47" spans="1:28" s="659" customFormat="1" ht="11.25">
      <c r="A47" s="645" t="s">
        <v>76</v>
      </c>
      <c r="B47" s="646">
        <f>IF($B$5=1,C47,D47)</f>
        <v>983.9004983183695</v>
      </c>
      <c r="C47" s="1547">
        <f>Input!C91</f>
        <v>983.9004983183695</v>
      </c>
      <c r="D47" s="1548">
        <f>Input!C92</f>
        <v>1089.6698018875941</v>
      </c>
      <c r="E47" s="1546">
        <f>Input!C95</f>
        <v>21.177818855908775</v>
      </c>
      <c r="F47" s="664">
        <f>Input!C88</f>
        <v>0.75224402517009359</v>
      </c>
      <c r="G47" s="1829">
        <v>13.741321621636045</v>
      </c>
      <c r="H47" s="1835">
        <f>G47/1000000</f>
        <v>1.3741321621636044E-5</v>
      </c>
      <c r="I47" s="662">
        <f>E47*H47/B47*1000000</f>
        <v>0.29577301835009912</v>
      </c>
      <c r="J47" s="652">
        <f>E47*F47/CO2_C_Ratio/B47*1000000</f>
        <v>59314.42451937154</v>
      </c>
      <c r="K47" s="646">
        <f>E47*F47/CO2_C_Ratio/B47*1000000</f>
        <v>59314.42451937154</v>
      </c>
      <c r="L47" s="646">
        <f>J47-K47</f>
        <v>0</v>
      </c>
      <c r="M47" s="653">
        <f>J47/JperBtu</f>
        <v>56.219227180600477</v>
      </c>
      <c r="N47" s="654">
        <f>C47*JperBtu/1000/E47</f>
        <v>49.01685030132748</v>
      </c>
      <c r="O47" s="654">
        <f>D47*JperBtu/1000/E47</f>
        <v>54.286161708720179</v>
      </c>
      <c r="P47" s="655">
        <f>Fuel_Specs!B47/Fuel_Specs!E47*gperlb</f>
        <v>21073.668699448401</v>
      </c>
      <c r="Q47" s="655">
        <f>Fuel_Specs!D47/Fuel_Specs!E47*gperlb</f>
        <v>23339.088084639101</v>
      </c>
      <c r="R47" s="653">
        <f>N47*(E47/1000)</f>
        <v>1.0380699765687109</v>
      </c>
      <c r="S47" s="656">
        <f t="shared" si="11"/>
        <v>0.90293453724604977</v>
      </c>
      <c r="T47" s="657">
        <f>E47/gperlb</f>
        <v>4.6688619449736478E-2</v>
      </c>
      <c r="U47" s="658"/>
      <c r="V47" s="659" t="s">
        <v>32</v>
      </c>
    </row>
    <row r="48" spans="1:28" s="22" customFormat="1" ht="11.25">
      <c r="A48" s="33" t="s">
        <v>77</v>
      </c>
      <c r="B48" s="57">
        <f>IF($B$5=1,C48,D48)</f>
        <v>282</v>
      </c>
      <c r="C48" s="74">
        <v>282</v>
      </c>
      <c r="D48" s="88">
        <v>331</v>
      </c>
      <c r="E48" s="116">
        <v>2.48</v>
      </c>
      <c r="F48" s="83">
        <v>0</v>
      </c>
      <c r="G48" s="1830">
        <v>0</v>
      </c>
      <c r="H48" s="61">
        <v>0</v>
      </c>
      <c r="I48" s="62">
        <f>E47*H47/B47*1000000</f>
        <v>0.29577301835009912</v>
      </c>
      <c r="J48" s="63">
        <f>E48*F48/CO2_C_Ratio/B48*1000000</f>
        <v>0</v>
      </c>
      <c r="K48" s="57"/>
      <c r="L48" s="57"/>
      <c r="M48" s="64">
        <f>J48/JperBtu</f>
        <v>0</v>
      </c>
      <c r="N48" s="65">
        <f>C48*JperBtu/1000/E48</f>
        <v>119.97006036290323</v>
      </c>
      <c r="O48" s="65">
        <f>D48*JperBtu/1000/E48</f>
        <v>140.81592191532258</v>
      </c>
      <c r="P48" s="66">
        <f>Fuel_Specs!B48/Fuel_Specs!E48*gperlb</f>
        <v>51578.37132330348</v>
      </c>
      <c r="Q48" s="66">
        <f>Fuel_Specs!D48/Fuel_Specs!E48*gperlb</f>
        <v>60540.570595792386</v>
      </c>
      <c r="R48" s="64">
        <f>N48*(E48/1000)</f>
        <v>0.29752574970000001</v>
      </c>
      <c r="S48" s="640">
        <f t="shared" si="11"/>
        <v>0.85196374622356486</v>
      </c>
      <c r="T48" s="67">
        <f>E48/gperlb</f>
        <v>5.4674079999999991E-3</v>
      </c>
      <c r="U48" s="68"/>
      <c r="V48" s="77" t="s">
        <v>32</v>
      </c>
      <c r="W48" s="21"/>
      <c r="X48" s="21"/>
      <c r="Y48" s="21"/>
      <c r="Z48" s="21"/>
      <c r="AA48" s="21"/>
      <c r="AB48" s="21"/>
    </row>
    <row r="49" spans="1:28" s="22" customFormat="1" ht="11.25">
      <c r="A49" s="33" t="s">
        <v>78</v>
      </c>
      <c r="B49" s="57"/>
      <c r="C49" s="57"/>
      <c r="D49" s="57"/>
      <c r="E49" s="117">
        <v>55.977829999999997</v>
      </c>
      <c r="F49" s="83">
        <v>0.27272727272727271</v>
      </c>
      <c r="G49" s="1830">
        <v>0</v>
      </c>
      <c r="H49" s="61">
        <v>0</v>
      </c>
      <c r="I49" s="62"/>
      <c r="J49" s="63"/>
      <c r="K49" s="93"/>
      <c r="L49" s="93"/>
      <c r="M49" s="64"/>
      <c r="N49" s="65"/>
      <c r="O49" s="65"/>
      <c r="P49" s="66"/>
      <c r="Q49" s="66"/>
      <c r="R49" s="64"/>
      <c r="S49" s="640"/>
      <c r="T49" s="67">
        <f>E49/gperlb</f>
        <v>0.12340872401799997</v>
      </c>
      <c r="U49" s="68"/>
      <c r="V49" s="21" t="s">
        <v>32</v>
      </c>
      <c r="W49" s="21"/>
      <c r="X49" s="21"/>
      <c r="Y49" s="21"/>
      <c r="Z49" s="21"/>
      <c r="AA49" s="21"/>
      <c r="AB49" s="21"/>
    </row>
    <row r="50" spans="1:28" s="22" customFormat="1" ht="11.25">
      <c r="A50" s="33" t="s">
        <v>72</v>
      </c>
      <c r="B50" s="57">
        <f>IF($B$5=1,C50,D50)</f>
        <v>1458</v>
      </c>
      <c r="C50" s="58">
        <v>1458</v>
      </c>
      <c r="D50" s="58">
        <v>1584</v>
      </c>
      <c r="E50" s="118">
        <v>32.799999999999997</v>
      </c>
      <c r="F50" s="119">
        <v>0.37930000000000003</v>
      </c>
      <c r="G50" s="1831"/>
      <c r="H50" s="61"/>
      <c r="I50" s="62"/>
      <c r="J50" s="63">
        <f>E50*F50/CO2_C_Ratio/B50*1000000</f>
        <v>31258.683837729826</v>
      </c>
      <c r="K50" s="57"/>
      <c r="L50" s="57"/>
      <c r="M50" s="64">
        <f>J50/JperBtu</f>
        <v>29.627515773434958</v>
      </c>
      <c r="N50" s="65">
        <f>C50*JperBtu/1000/E50</f>
        <v>46.898519185975609</v>
      </c>
      <c r="O50" s="65">
        <f>D50*JperBtu/1000/E50</f>
        <v>50.95147763414635</v>
      </c>
      <c r="P50" s="66">
        <f>Fuel_Specs!B50/Fuel_Specs!E50*gperlb</f>
        <v>20162.940901839396</v>
      </c>
      <c r="Q50" s="66">
        <f>Fuel_Specs!D50/Fuel_Specs!E50*gperlb</f>
        <v>21905.417276072429</v>
      </c>
      <c r="R50" s="64">
        <f>N50*E49/1000</f>
        <v>2.6252773342442812</v>
      </c>
      <c r="S50" s="640">
        <f t="shared" si="11"/>
        <v>0.92045454545454553</v>
      </c>
      <c r="T50" s="67">
        <f>E50/gperlb</f>
        <v>7.231087999999998E-2</v>
      </c>
      <c r="U50" s="68"/>
      <c r="V50" s="21" t="s">
        <v>32</v>
      </c>
      <c r="W50" s="21"/>
      <c r="X50" s="21"/>
      <c r="Y50" s="21"/>
      <c r="Z50" s="21"/>
      <c r="AA50" s="21"/>
      <c r="AB50" s="21"/>
    </row>
    <row r="51" spans="1:28" s="22" customFormat="1" ht="11.25">
      <c r="A51" s="33" t="s">
        <v>79</v>
      </c>
      <c r="B51" s="57">
        <f>IF($B$5=1,C51,D51)</f>
        <v>446</v>
      </c>
      <c r="C51" s="82">
        <v>446</v>
      </c>
      <c r="D51" s="81">
        <v>496</v>
      </c>
      <c r="E51" s="120">
        <v>34.54</v>
      </c>
      <c r="F51" s="119">
        <v>0.20449999999999999</v>
      </c>
      <c r="G51" s="121"/>
      <c r="H51" s="1836"/>
      <c r="I51" s="1825"/>
      <c r="J51" s="1826">
        <f>E51*F51/CO2_C_Ratio/B51*1000000</f>
        <v>58016.605137885075</v>
      </c>
      <c r="K51" s="82"/>
      <c r="L51" s="82"/>
      <c r="M51" s="1827">
        <f>J51/JperBtu</f>
        <v>54.989131748698497</v>
      </c>
      <c r="N51" s="65">
        <f>C51*JperBtu/1000/E51</f>
        <v>13.623477391430226</v>
      </c>
      <c r="O51" s="65">
        <f>D51*JperBtu/1000/E51</f>
        <v>15.150773063115228</v>
      </c>
      <c r="P51" s="66">
        <f>Fuel_Specs!B51/Fuel_Specs!E51*gperlb</f>
        <v>5857.1011257663549</v>
      </c>
      <c r="Q51" s="66">
        <f>Fuel_Specs!D51/Fuel_Specs!E51*gperlb</f>
        <v>6513.7268125114624</v>
      </c>
      <c r="R51" s="64"/>
      <c r="S51" s="640">
        <f t="shared" si="11"/>
        <v>0.89919354838709675</v>
      </c>
      <c r="T51" s="67">
        <f>E51/gperlb</f>
        <v>7.6146883999999984E-2</v>
      </c>
      <c r="U51" s="68"/>
      <c r="V51" s="21" t="s">
        <v>32</v>
      </c>
      <c r="W51" s="21"/>
      <c r="X51" s="21"/>
      <c r="Y51" s="21"/>
      <c r="Z51" s="21"/>
      <c r="AA51" s="21"/>
      <c r="AB51" s="21"/>
    </row>
    <row r="52" spans="1:28" s="22" customFormat="1" ht="11.25">
      <c r="A52" s="33" t="s">
        <v>80</v>
      </c>
      <c r="B52" s="57"/>
      <c r="C52" s="82"/>
      <c r="D52" s="82"/>
      <c r="E52" s="121"/>
      <c r="F52" s="122"/>
      <c r="G52" s="1832"/>
      <c r="H52" s="1836"/>
      <c r="I52" s="1825"/>
      <c r="J52" s="1826"/>
      <c r="K52" s="82"/>
      <c r="L52" s="82"/>
      <c r="M52" s="1827"/>
      <c r="N52" s="65"/>
      <c r="O52" s="65"/>
      <c r="P52" s="66"/>
      <c r="Q52" s="66"/>
      <c r="R52" s="64"/>
      <c r="S52" s="640"/>
      <c r="T52" s="67"/>
      <c r="U52" s="68"/>
      <c r="V52" s="21" t="s">
        <v>32</v>
      </c>
      <c r="W52" s="21"/>
      <c r="X52" s="21"/>
      <c r="Y52" s="21"/>
      <c r="Z52" s="21"/>
      <c r="AA52" s="21"/>
      <c r="AB52" s="21"/>
    </row>
    <row r="53" spans="1:28" s="22" customFormat="1" ht="11.25">
      <c r="A53" s="33" t="s">
        <v>81</v>
      </c>
      <c r="B53" s="57">
        <f>IF($B$5=1,C53,D53)</f>
        <v>930</v>
      </c>
      <c r="C53" s="74">
        <v>930</v>
      </c>
      <c r="D53" s="88">
        <v>1030</v>
      </c>
      <c r="E53" s="116">
        <v>20.399999999999999</v>
      </c>
      <c r="F53" s="59">
        <v>0.72399999999999998</v>
      </c>
      <c r="G53" s="116">
        <v>13.741321621636045</v>
      </c>
      <c r="H53" s="61">
        <f>G53/1000000</f>
        <v>1.3741321621636044E-5</v>
      </c>
      <c r="I53" s="62">
        <f>E53*H53/B53*1000000</f>
        <v>0.30142253879717773</v>
      </c>
      <c r="J53" s="63">
        <f>E53*F53/CO2_C_Ratio/B53*1000000</f>
        <v>58177.80216940969</v>
      </c>
      <c r="K53" s="57">
        <f>E53*F53/CO2_C_Ratio/B53*1000000</f>
        <v>58177.80216940969</v>
      </c>
      <c r="L53" s="57">
        <f>J53-K53</f>
        <v>0</v>
      </c>
      <c r="M53" s="64">
        <f>J53/JperBtu</f>
        <v>55.141917055300617</v>
      </c>
      <c r="N53" s="65">
        <f>C53*JperBtu/1000/E53</f>
        <v>48.09813433823529</v>
      </c>
      <c r="O53" s="65">
        <f>D53*JperBtu/1000/E53</f>
        <v>53.269976740196078</v>
      </c>
      <c r="P53" s="66">
        <f>Fuel_Specs!B53/Fuel_Specs!E53*gperlb</f>
        <v>20678.687877219294</v>
      </c>
      <c r="Q53" s="66">
        <f>Fuel_Specs!D53/Fuel_Specs!E53*gperlb</f>
        <v>22902.202702726743</v>
      </c>
      <c r="R53" s="64">
        <f>N53*(E53/1000)</f>
        <v>0.98120194049999987</v>
      </c>
      <c r="S53" s="640">
        <f t="shared" si="11"/>
        <v>0.90291262135922334</v>
      </c>
      <c r="T53" s="67">
        <f>E53/gperlb</f>
        <v>4.4973839999999987E-2</v>
      </c>
      <c r="U53" s="68"/>
      <c r="V53" s="77" t="s">
        <v>32</v>
      </c>
      <c r="W53" s="21"/>
      <c r="X53" s="21"/>
      <c r="Y53" s="21"/>
      <c r="Z53" s="21"/>
      <c r="AA53" s="21"/>
      <c r="AB53" s="21"/>
    </row>
    <row r="54" spans="1:28" s="22" customFormat="1" ht="11.25">
      <c r="A54" s="33" t="s">
        <v>82</v>
      </c>
      <c r="B54" s="57">
        <f>IF($B$5=1,C54,D54)</f>
        <v>930</v>
      </c>
      <c r="C54" s="74">
        <v>930</v>
      </c>
      <c r="D54" s="88">
        <v>1030</v>
      </c>
      <c r="E54" s="116">
        <v>20.399999999999999</v>
      </c>
      <c r="F54" s="59">
        <v>0.72399999999999998</v>
      </c>
      <c r="G54" s="116">
        <v>13.741321621636045</v>
      </c>
      <c r="H54" s="61">
        <f>G54/1000000</f>
        <v>1.3741321621636044E-5</v>
      </c>
      <c r="I54" s="62">
        <f>E54*H54/B54*1000000</f>
        <v>0.30142253879717773</v>
      </c>
      <c r="J54" s="63">
        <f>E54*F54/CO2_C_Ratio/B54*1000000</f>
        <v>58177.80216940969</v>
      </c>
      <c r="K54" s="57">
        <f>E54*F54/CO2_C_Ratio/B54*1000000</f>
        <v>58177.80216940969</v>
      </c>
      <c r="L54" s="57">
        <f>J54-K54</f>
        <v>0</v>
      </c>
      <c r="M54" s="64">
        <f>J54/JperBtu</f>
        <v>55.141917055300617</v>
      </c>
      <c r="N54" s="65">
        <f>C54*JperBtu/1000/E54</f>
        <v>48.09813433823529</v>
      </c>
      <c r="O54" s="65">
        <f>D54*JperBtu/1000/E54</f>
        <v>53.269976740196078</v>
      </c>
      <c r="P54" s="66">
        <f>Fuel_Specs!B54/Fuel_Specs!E54*gperlb</f>
        <v>20678.687877219294</v>
      </c>
      <c r="Q54" s="66">
        <f>Fuel_Specs!D54/Fuel_Specs!E54*gperlb</f>
        <v>22902.202702726743</v>
      </c>
      <c r="R54" s="64">
        <f>N54*(E54/1000)</f>
        <v>0.98120194049999987</v>
      </c>
      <c r="S54" s="640">
        <f t="shared" si="11"/>
        <v>0.90291262135922334</v>
      </c>
      <c r="T54" s="67">
        <f>E54/gperlb</f>
        <v>4.4973839999999987E-2</v>
      </c>
      <c r="U54" s="68"/>
      <c r="V54" s="77" t="s">
        <v>32</v>
      </c>
      <c r="W54" s="21"/>
      <c r="X54" s="21"/>
      <c r="Y54" s="21"/>
      <c r="Z54" s="21"/>
      <c r="AA54" s="21"/>
      <c r="AB54" s="21"/>
    </row>
    <row r="55" spans="1:28" s="22" customFormat="1" ht="12" thickBot="1">
      <c r="A55" s="95" t="s">
        <v>83</v>
      </c>
      <c r="B55" s="96"/>
      <c r="C55" s="123"/>
      <c r="D55" s="123"/>
      <c r="E55" s="44"/>
      <c r="F55" s="44"/>
      <c r="G55" s="1833"/>
      <c r="H55" s="100"/>
      <c r="I55" s="101"/>
      <c r="J55" s="102"/>
      <c r="K55" s="96"/>
      <c r="L55" s="96"/>
      <c r="M55" s="104"/>
      <c r="N55" s="105"/>
      <c r="O55" s="105"/>
      <c r="P55" s="106"/>
      <c r="Q55" s="135"/>
      <c r="R55" s="104"/>
      <c r="S55" s="642"/>
      <c r="T55" s="107"/>
      <c r="U55" s="68"/>
      <c r="V55" s="21" t="s">
        <v>32</v>
      </c>
      <c r="W55" s="21"/>
      <c r="X55" s="21"/>
      <c r="Y55" s="21"/>
      <c r="Z55" s="21"/>
      <c r="AA55" s="21"/>
      <c r="AB55" s="21"/>
    </row>
    <row r="56" spans="1:28" s="22" customFormat="1" ht="11.25">
      <c r="A56" s="46" t="s">
        <v>84</v>
      </c>
      <c r="B56" s="108" t="s">
        <v>85</v>
      </c>
      <c r="C56" s="108" t="s">
        <v>85</v>
      </c>
      <c r="D56" s="108" t="s">
        <v>85</v>
      </c>
      <c r="E56" s="124"/>
      <c r="F56" s="125"/>
      <c r="G56" s="110"/>
      <c r="H56" s="111" t="s">
        <v>25</v>
      </c>
      <c r="I56" s="110"/>
      <c r="J56" s="52" t="s">
        <v>547</v>
      </c>
      <c r="K56" s="53" t="s">
        <v>547</v>
      </c>
      <c r="L56" s="112"/>
      <c r="M56" s="54" t="s">
        <v>184</v>
      </c>
      <c r="N56" s="52" t="s">
        <v>26</v>
      </c>
      <c r="O56" s="52" t="s">
        <v>26</v>
      </c>
      <c r="P56" s="53" t="s">
        <v>27</v>
      </c>
      <c r="Q56" s="53" t="s">
        <v>27</v>
      </c>
      <c r="R56" s="168" t="s">
        <v>28</v>
      </c>
      <c r="S56" s="643"/>
      <c r="T56" s="53"/>
      <c r="U56" s="68"/>
      <c r="V56" s="21" t="s">
        <v>32</v>
      </c>
      <c r="W56" s="21"/>
      <c r="X56" s="21"/>
      <c r="Y56" s="21"/>
      <c r="Z56" s="21"/>
      <c r="AA56" s="21"/>
      <c r="AB56" s="21"/>
    </row>
    <row r="57" spans="1:28" s="22" customFormat="1" ht="11.25">
      <c r="A57" s="33" t="s">
        <v>86</v>
      </c>
      <c r="B57" s="57">
        <f>IF($B$5=1,C57,D57)</f>
        <v>19546300</v>
      </c>
      <c r="C57" s="58">
        <v>19546300</v>
      </c>
      <c r="D57" s="58">
        <v>20608570</v>
      </c>
      <c r="E57" s="57"/>
      <c r="F57" s="59">
        <v>0.63700000000000001</v>
      </c>
      <c r="G57" s="60">
        <v>11100</v>
      </c>
      <c r="H57" s="61">
        <v>1.11E-2</v>
      </c>
      <c r="I57" s="62"/>
      <c r="J57" s="126">
        <f>2000*gperlb*F57/CO2_C_Ratio/B57*1000000</f>
        <v>108304.52207876036</v>
      </c>
      <c r="K57" s="127">
        <f>J57</f>
        <v>108304.52207876036</v>
      </c>
      <c r="L57" s="57">
        <f>J57-K57</f>
        <v>0</v>
      </c>
      <c r="M57" s="64">
        <f>J57/JperBtu</f>
        <v>102.65288048851666</v>
      </c>
      <c r="N57" s="65">
        <f>B57*JperBtu/1000000/2000/gperlb*1000</f>
        <v>22.732113584710458</v>
      </c>
      <c r="O57" s="65">
        <f>D57*JperBtu/1000000/2000/gperlb*1000</f>
        <v>23.9675209148768</v>
      </c>
      <c r="P57" s="94">
        <f>B57/2000</f>
        <v>9773.15</v>
      </c>
      <c r="Q57" s="94">
        <f>D57/2000</f>
        <v>10304.285</v>
      </c>
      <c r="R57" s="128">
        <f>B57*JperBtu/1000000</f>
        <v>20622.438160854999</v>
      </c>
      <c r="S57" s="640">
        <f t="shared" si="11"/>
        <v>0.948454938891927</v>
      </c>
      <c r="T57" s="129"/>
      <c r="U57" s="68"/>
      <c r="V57" s="21" t="s">
        <v>32</v>
      </c>
      <c r="W57" s="21"/>
      <c r="X57" s="21"/>
      <c r="Y57" s="21"/>
      <c r="Z57" s="21"/>
      <c r="AA57" s="21"/>
      <c r="AB57" s="21"/>
    </row>
    <row r="58" spans="1:28" s="22" customFormat="1" ht="11.25">
      <c r="A58" s="33" t="s">
        <v>187</v>
      </c>
      <c r="B58" s="57">
        <f>IF($B$5=1,C58,D58)</f>
        <v>22460600</v>
      </c>
      <c r="C58" s="58">
        <v>22460600</v>
      </c>
      <c r="D58" s="58">
        <v>23445900</v>
      </c>
      <c r="E58" s="57"/>
      <c r="F58" s="59">
        <v>0.755</v>
      </c>
      <c r="G58" s="60">
        <v>11800</v>
      </c>
      <c r="H58" s="70">
        <v>1.18E-2</v>
      </c>
      <c r="I58" s="62"/>
      <c r="J58" s="126">
        <f>2000*gperlb*F58/CO2_C_Ratio/B58*1000000</f>
        <v>111711.35409407833</v>
      </c>
      <c r="K58" s="127">
        <f>J58</f>
        <v>111711.35409407833</v>
      </c>
      <c r="L58" s="57">
        <f>J58-K58</f>
        <v>0</v>
      </c>
      <c r="M58" s="64">
        <f>J58/JperBtu</f>
        <v>105.8819342066852</v>
      </c>
      <c r="N58" s="65">
        <f>B58*JperBtu/1000000/2000/gperlb*1000</f>
        <v>26.121409698037365</v>
      </c>
      <c r="O58" s="65">
        <f>D58*JperBtu/1000000/2000/gperlb*1000</f>
        <v>27.267301836959579</v>
      </c>
      <c r="P58" s="94">
        <f>B58/2000</f>
        <v>11230.3</v>
      </c>
      <c r="Q58" s="94">
        <f>D58/2000</f>
        <v>11722.95</v>
      </c>
      <c r="R58" s="128">
        <f>B58*JperBtu/1000000</f>
        <v>23697.187424509997</v>
      </c>
      <c r="S58" s="640">
        <f t="shared" si="11"/>
        <v>0.95797559488012818</v>
      </c>
      <c r="T58" s="129"/>
      <c r="U58" s="68"/>
      <c r="V58" s="21" t="s">
        <v>32</v>
      </c>
      <c r="W58" s="21"/>
      <c r="X58" s="21"/>
      <c r="Y58" s="21"/>
      <c r="Z58" s="21"/>
      <c r="AA58" s="21"/>
      <c r="AB58" s="21"/>
    </row>
    <row r="59" spans="1:28" s="22" customFormat="1" ht="11.25">
      <c r="A59" s="33" t="s">
        <v>87</v>
      </c>
      <c r="B59" s="57">
        <f>IF($B$5=1,C59,D59)</f>
        <v>24600497.144575384</v>
      </c>
      <c r="C59" s="58">
        <v>24600497.144575384</v>
      </c>
      <c r="D59" s="58">
        <v>25679670</v>
      </c>
      <c r="E59" s="57"/>
      <c r="F59" s="59">
        <v>0.747</v>
      </c>
      <c r="G59" s="60">
        <v>11800</v>
      </c>
      <c r="H59" s="70">
        <v>1.18E-2</v>
      </c>
      <c r="I59" s="62"/>
      <c r="J59" s="126">
        <f>2000*gperlb*F59/CO2_C_Ratio/B59*1000000</f>
        <v>100913.30643865402</v>
      </c>
      <c r="K59" s="127">
        <f>J59</f>
        <v>100913.30643865402</v>
      </c>
      <c r="L59" s="57">
        <f>J59-K59</f>
        <v>0</v>
      </c>
      <c r="M59" s="64">
        <f>J59/JperBtu</f>
        <v>95.64735974749965</v>
      </c>
      <c r="N59" s="65">
        <f>B59*JperBtu/1000000/2000/gperlb*1000</f>
        <v>28.610084534199981</v>
      </c>
      <c r="O59" s="65">
        <f>D59*JperBtu/1000000/2000/gperlb*1000</f>
        <v>29.865149683463457</v>
      </c>
      <c r="P59" s="94">
        <f>B59/2000</f>
        <v>12300.248572287692</v>
      </c>
      <c r="Q59" s="94">
        <f>D59/2000</f>
        <v>12839.834999999999</v>
      </c>
      <c r="R59" s="128">
        <f>B59*JperBtu/1000000</f>
        <v>25954.898425292555</v>
      </c>
      <c r="S59" s="640">
        <f t="shared" si="11"/>
        <v>0.95797559488012829</v>
      </c>
      <c r="T59" s="129"/>
      <c r="U59" s="68"/>
      <c r="V59" s="21" t="s">
        <v>32</v>
      </c>
      <c r="W59" s="21"/>
      <c r="X59" s="21"/>
      <c r="Y59" s="21"/>
      <c r="Z59" s="21"/>
      <c r="AA59" s="21"/>
      <c r="AB59" s="21"/>
    </row>
    <row r="60" spans="1:28" s="22" customFormat="1" ht="11.25" hidden="1">
      <c r="A60" s="33" t="s">
        <v>88</v>
      </c>
      <c r="B60" s="57"/>
      <c r="C60" s="58"/>
      <c r="D60" s="58"/>
      <c r="E60" s="57"/>
      <c r="F60" s="59"/>
      <c r="G60" s="60"/>
      <c r="H60" s="70"/>
      <c r="I60" s="62"/>
      <c r="J60" s="126"/>
      <c r="K60" s="127"/>
      <c r="L60" s="57"/>
      <c r="M60" s="64"/>
      <c r="N60" s="65"/>
      <c r="O60" s="65"/>
      <c r="P60" s="94"/>
      <c r="Q60" s="94"/>
      <c r="R60" s="128"/>
      <c r="S60" s="640"/>
      <c r="T60" s="129"/>
      <c r="U60" s="68"/>
      <c r="V60" s="21"/>
      <c r="W60" s="21"/>
      <c r="X60" s="21"/>
      <c r="Y60" s="21"/>
      <c r="Z60" s="21"/>
      <c r="AA60" s="21"/>
      <c r="AB60" s="21"/>
    </row>
    <row r="61" spans="1:28" s="22" customFormat="1" ht="11.25" hidden="1">
      <c r="A61" s="33" t="s">
        <v>89</v>
      </c>
      <c r="B61" s="57">
        <f>IF($B$5=1,C61,D61)</f>
        <v>16811000</v>
      </c>
      <c r="C61" s="58">
        <v>16811000</v>
      </c>
      <c r="D61" s="58">
        <v>17703170</v>
      </c>
      <c r="E61" s="57"/>
      <c r="F61" s="59">
        <v>0.51700000000000002</v>
      </c>
      <c r="G61" s="60">
        <v>0</v>
      </c>
      <c r="H61" s="70">
        <v>0</v>
      </c>
      <c r="I61" s="62"/>
      <c r="J61" s="126">
        <f>2000*gperlb*F61/CO2_C_Ratio/B61*1000000</f>
        <v>102204.19289945686</v>
      </c>
      <c r="K61" s="127">
        <v>0</v>
      </c>
      <c r="L61" s="57">
        <f t="shared" ref="L61:L67" si="28">J61-K61</f>
        <v>102204.19289945686</v>
      </c>
      <c r="M61" s="64">
        <f>J61/JperBtu</f>
        <v>96.870884038467594</v>
      </c>
      <c r="N61" s="65">
        <f>B61*JperBtu/1000000/2000/gperlb*1000</f>
        <v>19.550992334741998</v>
      </c>
      <c r="O61" s="65">
        <f>D61*JperBtu/1000000/2000/gperlb*1000</f>
        <v>20.588575395314642</v>
      </c>
      <c r="P61" s="94">
        <f>B61/2000</f>
        <v>8405.5</v>
      </c>
      <c r="Q61" s="94">
        <f>D61/2000</f>
        <v>8851.5849999999991</v>
      </c>
      <c r="R61" s="128">
        <f>B61*JperBtu/1000000</f>
        <v>17736.543894349998</v>
      </c>
      <c r="S61" s="640">
        <f t="shared" si="11"/>
        <v>0.94960394098909984</v>
      </c>
      <c r="T61" s="129"/>
      <c r="U61" s="68"/>
      <c r="V61" s="21" t="s">
        <v>32</v>
      </c>
      <c r="W61" s="21"/>
      <c r="X61" s="21"/>
      <c r="Y61" s="21"/>
      <c r="Z61" s="21"/>
      <c r="AA61" s="21"/>
      <c r="AB61" s="21"/>
    </row>
    <row r="62" spans="1:28" s="22" customFormat="1" ht="11.25" hidden="1">
      <c r="A62" s="33" t="s">
        <v>90</v>
      </c>
      <c r="B62" s="57">
        <f>IF($B$5=1,C62,D62)</f>
        <v>14797554.763920812</v>
      </c>
      <c r="C62" s="82">
        <v>14797554.763920812</v>
      </c>
      <c r="D62" s="58">
        <v>15582870</v>
      </c>
      <c r="E62" s="57"/>
      <c r="F62" s="59">
        <v>0.42599999999999999</v>
      </c>
      <c r="G62" s="60">
        <v>0</v>
      </c>
      <c r="H62" s="70">
        <v>0</v>
      </c>
      <c r="I62" s="62"/>
      <c r="J62" s="126">
        <f>2000*gperlb*F62/CO2_C_Ratio/B62*1000000</f>
        <v>95673.433753335368</v>
      </c>
      <c r="K62" s="127">
        <v>0</v>
      </c>
      <c r="L62" s="57">
        <f t="shared" si="28"/>
        <v>95673.433753335368</v>
      </c>
      <c r="M62" s="64">
        <f>J62/JperBtu</f>
        <v>90.680918695759445</v>
      </c>
      <c r="N62" s="65">
        <f>B62*JperBtu/1000000/2000/gperlb*1000</f>
        <v>17.209379558761572</v>
      </c>
      <c r="O62" s="65">
        <f>D62*JperBtu/1000000/2000/gperlb*1000</f>
        <v>18.122691804371016</v>
      </c>
      <c r="P62" s="94">
        <f>B62/2000</f>
        <v>7398.7773819604063</v>
      </c>
      <c r="Q62" s="94">
        <f>D62/2000</f>
        <v>7791.4350000000004</v>
      </c>
      <c r="R62" s="128">
        <f>B62*JperBtu/1000000</f>
        <v>15612.246719370021</v>
      </c>
      <c r="S62" s="640">
        <f t="shared" si="11"/>
        <v>0.94960394098909973</v>
      </c>
      <c r="T62" s="129"/>
      <c r="U62" s="68"/>
      <c r="V62" s="21" t="s">
        <v>32</v>
      </c>
      <c r="W62" s="21"/>
      <c r="X62" s="21"/>
      <c r="Y62" s="21"/>
      <c r="Z62" s="21"/>
      <c r="AA62" s="21"/>
      <c r="AB62" s="21"/>
    </row>
    <row r="63" spans="1:28" s="22" customFormat="1" ht="11.25" hidden="1">
      <c r="A63" s="33" t="s">
        <v>91</v>
      </c>
      <c r="B63" s="57">
        <f>IF($B$5=1,C63,D63)</f>
        <v>14075990</v>
      </c>
      <c r="C63" s="85">
        <v>14075990</v>
      </c>
      <c r="D63" s="85">
        <v>14974460</v>
      </c>
      <c r="E63" s="57"/>
      <c r="F63" s="83">
        <v>0.44500000000000001</v>
      </c>
      <c r="G63" s="60">
        <v>0</v>
      </c>
      <c r="H63" s="70">
        <v>0</v>
      </c>
      <c r="I63" s="62"/>
      <c r="J63" s="126">
        <f>2000*gperlb*F63/CO2_C_Ratio/B63*1000000</f>
        <v>105063.72134305202</v>
      </c>
      <c r="K63" s="127">
        <v>0</v>
      </c>
      <c r="L63" s="57">
        <f t="shared" si="28"/>
        <v>105063.72134305202</v>
      </c>
      <c r="M63" s="64">
        <f>J63/JperBtu</f>
        <v>99.58119406006044</v>
      </c>
      <c r="N63" s="65">
        <f>B63*JperBtu/1000000/2000/gperlb*1000</f>
        <v>16.370208351311941</v>
      </c>
      <c r="O63" s="65">
        <f>D63*JperBtu/1000000/2000/gperlb*1000</f>
        <v>17.415118236684357</v>
      </c>
      <c r="P63" s="94">
        <f>B63/2000</f>
        <v>7037.9949999999999</v>
      </c>
      <c r="Q63" s="94">
        <f>D63/2000</f>
        <v>7487.23</v>
      </c>
      <c r="R63" s="128">
        <f>B63*JperBtu/1000000</f>
        <v>14850.955594041499</v>
      </c>
      <c r="S63" s="640">
        <f t="shared" si="11"/>
        <v>0.93999983972710877</v>
      </c>
      <c r="T63" s="129"/>
      <c r="U63" s="68"/>
      <c r="V63" s="21" t="s">
        <v>32</v>
      </c>
      <c r="W63" s="21"/>
      <c r="X63" s="21"/>
      <c r="Y63" s="21"/>
      <c r="Z63" s="21"/>
      <c r="AA63" s="21"/>
      <c r="AB63" s="21"/>
    </row>
    <row r="64" spans="1:28" s="22" customFormat="1" ht="11.25" hidden="1">
      <c r="A64" s="71" t="s">
        <v>92</v>
      </c>
      <c r="B64" s="57">
        <f>IF($B$5=1,C64,D64)</f>
        <v>13243490</v>
      </c>
      <c r="C64" s="85">
        <v>13243490</v>
      </c>
      <c r="D64" s="85">
        <v>14164160</v>
      </c>
      <c r="E64" s="57"/>
      <c r="F64" s="83">
        <v>0.51700000000000002</v>
      </c>
      <c r="G64" s="79">
        <v>0</v>
      </c>
      <c r="H64" s="70">
        <v>0</v>
      </c>
      <c r="I64" s="62"/>
      <c r="J64" s="126">
        <f>2000*gperlb*F64/CO2_C_Ratio/B64*1000000</f>
        <v>129735.79372452197</v>
      </c>
      <c r="K64" s="127">
        <v>0</v>
      </c>
      <c r="L64" s="57">
        <f t="shared" si="28"/>
        <v>129735.79372452197</v>
      </c>
      <c r="M64" s="64">
        <f>J64/JperBtu</f>
        <v>122.96580671489758</v>
      </c>
      <c r="N64" s="65">
        <f>B64*JperBtu/1000000/2000/gperlb*1000</f>
        <v>15.402020788485654</v>
      </c>
      <c r="O64" s="65">
        <f>D64*JperBtu/1000000/2000/gperlb*1000</f>
        <v>16.472749008866771</v>
      </c>
      <c r="P64" s="94">
        <f>B64/2000</f>
        <v>6621.7449999999999</v>
      </c>
      <c r="Q64" s="94">
        <f>D64/2000</f>
        <v>7082.08</v>
      </c>
      <c r="R64" s="128">
        <f>B64*JperBtu/1000000</f>
        <v>13972.621598916499</v>
      </c>
      <c r="S64" s="640">
        <f t="shared" si="11"/>
        <v>0.93500002824029094</v>
      </c>
      <c r="T64" s="129"/>
      <c r="U64" s="68"/>
      <c r="V64" s="21" t="s">
        <v>32</v>
      </c>
      <c r="W64" s="21"/>
      <c r="X64" s="21"/>
      <c r="Y64" s="21"/>
      <c r="Z64" s="21"/>
      <c r="AA64" s="21"/>
      <c r="AB64" s="21"/>
    </row>
    <row r="65" spans="1:28" s="22" customFormat="1" ht="11.25" hidden="1">
      <c r="A65" s="71" t="s">
        <v>93</v>
      </c>
      <c r="B65" s="57"/>
      <c r="C65" s="82"/>
      <c r="D65" s="57"/>
      <c r="E65" s="57"/>
      <c r="F65" s="83">
        <v>0.5</v>
      </c>
      <c r="G65" s="79"/>
      <c r="H65" s="70"/>
      <c r="I65" s="62"/>
      <c r="J65" s="126"/>
      <c r="K65" s="127"/>
      <c r="L65" s="57"/>
      <c r="M65" s="64"/>
      <c r="N65" s="65"/>
      <c r="O65" s="65"/>
      <c r="P65" s="94"/>
      <c r="Q65" s="94"/>
      <c r="R65" s="128"/>
      <c r="S65" s="640"/>
      <c r="T65" s="129"/>
      <c r="U65" s="68"/>
      <c r="V65" s="21" t="s">
        <v>94</v>
      </c>
      <c r="W65" s="21"/>
      <c r="X65" s="21"/>
      <c r="Y65" s="21"/>
      <c r="Z65" s="21"/>
      <c r="AA65" s="21"/>
      <c r="AB65" s="21"/>
    </row>
    <row r="66" spans="1:28" s="3" customFormat="1" ht="15" hidden="1">
      <c r="A66" s="71" t="s">
        <v>95</v>
      </c>
      <c r="B66" s="57">
        <f>IF($B$5=1,C66,D66)</f>
        <v>12947317.535545025</v>
      </c>
      <c r="C66" s="85">
        <v>12947317.535545025</v>
      </c>
      <c r="D66" s="57">
        <v>14062678</v>
      </c>
      <c r="E66" s="57"/>
      <c r="F66" s="83">
        <v>0.46300000000000002</v>
      </c>
      <c r="G66" s="79"/>
      <c r="H66" s="70"/>
      <c r="I66" s="62"/>
      <c r="J66" s="126">
        <f>2000*gperlb*F66/CO2_C_Ratio/B66*1000000</f>
        <v>118842.80938693376</v>
      </c>
      <c r="K66" s="127">
        <v>0</v>
      </c>
      <c r="L66" s="57">
        <f t="shared" si="28"/>
        <v>118842.80938693376</v>
      </c>
      <c r="M66" s="64">
        <f>J66/JperBtu</f>
        <v>112.64124964278788</v>
      </c>
      <c r="N66" s="65">
        <f>B66*JperBtu/1000000/2000/gperlb*1000</f>
        <v>15.057575747600469</v>
      </c>
      <c r="O66" s="65">
        <f>D66*JperBtu/1000000/2000/gperlb*1000</f>
        <v>16.35472665421123</v>
      </c>
      <c r="P66" s="94">
        <f>B66/2000</f>
        <v>6473.6587677725129</v>
      </c>
      <c r="Q66" s="94">
        <f>D66/2000</f>
        <v>7031.3389999999999</v>
      </c>
      <c r="R66" s="128">
        <f>B66*JperBtu/1000000</f>
        <v>13660.14310768436</v>
      </c>
      <c r="S66" s="640">
        <f t="shared" si="11"/>
        <v>0.92068648201608727</v>
      </c>
      <c r="T66" s="639"/>
      <c r="U66" s="68"/>
      <c r="V66" s="21" t="s">
        <v>94</v>
      </c>
      <c r="W66" s="2"/>
      <c r="X66" s="2"/>
      <c r="Y66" s="2"/>
      <c r="Z66" s="2"/>
      <c r="AA66" s="2"/>
      <c r="AB66" s="2"/>
    </row>
    <row r="67" spans="1:28" s="3" customFormat="1" ht="15" hidden="1">
      <c r="A67" s="33" t="s">
        <v>96</v>
      </c>
      <c r="B67" s="57">
        <f>IF($B$5=1,C67,D67)</f>
        <v>25370000</v>
      </c>
      <c r="C67" s="85">
        <v>25370000</v>
      </c>
      <c r="D67" s="57">
        <v>26920000</v>
      </c>
      <c r="E67" s="57"/>
      <c r="F67" s="83">
        <v>0.79900000000000004</v>
      </c>
      <c r="G67" s="79">
        <v>68000</v>
      </c>
      <c r="H67" s="70">
        <v>6.8000000000000005E-2</v>
      </c>
      <c r="I67" s="62"/>
      <c r="J67" s="126">
        <f>2000*gperlb*F67/CO2_C_Ratio/B67*1000000</f>
        <v>104664.16911942193</v>
      </c>
      <c r="K67" s="127">
        <f>J67</f>
        <v>104664.16911942193</v>
      </c>
      <c r="L67" s="57">
        <f t="shared" si="28"/>
        <v>0</v>
      </c>
      <c r="M67" s="64">
        <f>J67/JperBtu</f>
        <v>99.202491621104173</v>
      </c>
      <c r="N67" s="65">
        <f>B67*JperBtu/1000000/2000/gperlb*1000</f>
        <v>29.505007169853346</v>
      </c>
      <c r="O67" s="65">
        <f>D67*JperBtu/1000000/2000/gperlb*1000</f>
        <v>31.30763866820859</v>
      </c>
      <c r="P67" s="94">
        <f>B67/2000</f>
        <v>12685</v>
      </c>
      <c r="Q67" s="94">
        <f>D67/2000</f>
        <v>13460</v>
      </c>
      <c r="R67" s="128">
        <f>B67*JperBtu/1000000</f>
        <v>26766.7669145</v>
      </c>
      <c r="S67" s="640">
        <f t="shared" si="11"/>
        <v>0.94242199108469538</v>
      </c>
      <c r="T67" s="129"/>
      <c r="U67" s="68"/>
      <c r="V67" s="21" t="s">
        <v>94</v>
      </c>
      <c r="W67" s="2"/>
      <c r="X67" s="2"/>
      <c r="Y67" s="2"/>
      <c r="Z67" s="2"/>
      <c r="AA67" s="2"/>
      <c r="AB67" s="2"/>
    </row>
    <row r="68" spans="1:28" s="3" customFormat="1" ht="15" hidden="1">
      <c r="A68" s="33" t="s">
        <v>97</v>
      </c>
      <c r="B68" s="57"/>
      <c r="C68" s="57"/>
      <c r="D68" s="57"/>
      <c r="E68" s="57"/>
      <c r="F68" s="57"/>
      <c r="G68" s="79"/>
      <c r="H68" s="70"/>
      <c r="I68" s="62"/>
      <c r="J68" s="126"/>
      <c r="K68" s="127"/>
      <c r="L68" s="57"/>
      <c r="M68" s="64"/>
      <c r="N68" s="65"/>
      <c r="O68" s="65"/>
      <c r="P68" s="94"/>
      <c r="Q68" s="94"/>
      <c r="R68" s="128"/>
      <c r="S68" s="128"/>
      <c r="T68" s="129"/>
      <c r="U68" s="68"/>
      <c r="V68" s="21"/>
      <c r="W68" s="2"/>
      <c r="X68" s="2"/>
      <c r="Y68" s="2"/>
      <c r="Z68" s="2"/>
      <c r="AA68" s="2"/>
      <c r="AB68" s="2"/>
    </row>
    <row r="69" spans="1:28" s="3" customFormat="1" ht="15.75" hidden="1" thickBot="1">
      <c r="A69" s="96"/>
      <c r="B69" s="96"/>
      <c r="C69" s="96"/>
      <c r="D69" s="96"/>
      <c r="E69" s="96"/>
      <c r="F69" s="96"/>
      <c r="G69" s="130"/>
      <c r="H69" s="130"/>
      <c r="I69" s="101"/>
      <c r="J69" s="102"/>
      <c r="K69" s="96"/>
      <c r="L69" s="96"/>
      <c r="M69" s="104"/>
      <c r="N69" s="105"/>
      <c r="O69" s="105"/>
      <c r="P69" s="106"/>
      <c r="Q69" s="106"/>
      <c r="R69" s="131"/>
      <c r="S69" s="131"/>
      <c r="T69" s="5"/>
      <c r="U69" s="68"/>
      <c r="V69" s="21" t="s">
        <v>98</v>
      </c>
      <c r="W69" s="2"/>
      <c r="X69" s="2"/>
      <c r="Y69" s="2"/>
      <c r="Z69" s="2"/>
      <c r="AA69" s="2"/>
      <c r="AB69" s="2"/>
    </row>
    <row r="70" spans="1:28" s="22" customFormat="1" ht="11.25">
      <c r="D70" s="21"/>
      <c r="E70" s="21"/>
      <c r="F70" s="21"/>
      <c r="G70" s="21"/>
      <c r="H70" s="21"/>
      <c r="I70" s="21"/>
      <c r="J70" s="21"/>
      <c r="K70" s="21"/>
      <c r="L70" s="21"/>
      <c r="M70" s="21"/>
      <c r="N70" s="21"/>
      <c r="O70" s="21"/>
      <c r="P70" s="21"/>
      <c r="Q70" s="21"/>
      <c r="R70" s="21"/>
      <c r="S70" s="21"/>
      <c r="T70" s="133"/>
      <c r="U70" s="133"/>
      <c r="V70" s="21"/>
      <c r="W70" s="21"/>
      <c r="X70" s="21"/>
      <c r="Y70" s="21"/>
      <c r="Z70" s="21"/>
      <c r="AA70" s="21"/>
      <c r="AB70" s="21"/>
    </row>
    <row r="71" spans="1:28" s="22" customFormat="1" ht="11.25">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8" s="22" customFormat="1" ht="11.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8" s="22" customFormat="1" ht="11.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8" s="22" customFormat="1" ht="11.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1:28" s="22" customFormat="1" ht="11.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1:28" s="22" customFormat="1" ht="11.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spans="1:28" s="22" customFormat="1" ht="11.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spans="1:28" s="22" customFormat="1" ht="11.25">
      <c r="A78" s="21"/>
      <c r="B78" s="21"/>
      <c r="C78" s="21"/>
      <c r="D78" s="21"/>
      <c r="E78" s="21"/>
      <c r="F78" s="21"/>
      <c r="G78" s="21"/>
      <c r="H78" s="21"/>
      <c r="I78" s="21"/>
      <c r="J78" s="21"/>
      <c r="M78" s="21"/>
      <c r="N78" s="21"/>
      <c r="O78" s="21"/>
      <c r="P78" s="21"/>
      <c r="Q78" s="21"/>
      <c r="R78" s="21"/>
      <c r="S78" s="21"/>
      <c r="T78" s="21"/>
      <c r="U78" s="21"/>
      <c r="V78" s="21"/>
      <c r="W78" s="21"/>
      <c r="X78" s="21"/>
      <c r="Y78" s="21"/>
      <c r="Z78" s="21"/>
      <c r="AA78" s="21"/>
      <c r="AB78" s="21"/>
    </row>
    <row r="79" spans="1:28" s="22" customFormat="1" ht="11.25">
      <c r="A79" s="21"/>
      <c r="B79" s="21"/>
      <c r="C79" s="21"/>
      <c r="D79" s="21"/>
      <c r="E79" s="21"/>
      <c r="F79" s="21"/>
      <c r="G79" s="21"/>
      <c r="H79" s="21"/>
      <c r="I79" s="21"/>
      <c r="J79" s="21"/>
      <c r="M79" s="21"/>
      <c r="N79" s="21"/>
      <c r="O79" s="21"/>
      <c r="R79" s="21"/>
      <c r="S79" s="21"/>
      <c r="T79" s="21"/>
      <c r="U79" s="21"/>
      <c r="V79" s="21"/>
      <c r="W79" s="21"/>
      <c r="X79" s="21"/>
      <c r="Y79" s="21"/>
      <c r="Z79" s="21"/>
      <c r="AA79" s="21"/>
      <c r="AB79" s="21"/>
    </row>
    <row r="80" spans="1:28" s="22" customFormat="1" ht="11.25">
      <c r="A80" s="21"/>
      <c r="B80" s="21"/>
      <c r="C80" s="21"/>
      <c r="D80" s="21"/>
      <c r="E80" s="21"/>
      <c r="F80" s="21"/>
      <c r="G80" s="21"/>
      <c r="H80" s="21"/>
      <c r="I80" s="21"/>
      <c r="J80" s="21"/>
      <c r="M80" s="21"/>
      <c r="N80" s="21"/>
      <c r="O80" s="21"/>
      <c r="R80" s="21"/>
      <c r="S80" s="21"/>
      <c r="T80" s="21"/>
      <c r="U80" s="21"/>
      <c r="V80" s="21"/>
      <c r="W80" s="21"/>
      <c r="X80" s="21"/>
      <c r="Y80" s="21"/>
      <c r="Z80" s="21"/>
      <c r="AA80" s="21"/>
      <c r="AB80" s="21"/>
    </row>
    <row r="81" spans="1:28" s="22" customFormat="1" ht="11.25">
      <c r="A81" s="21"/>
      <c r="B81" s="21"/>
      <c r="C81" s="21"/>
      <c r="D81" s="21"/>
      <c r="E81" s="21"/>
      <c r="F81" s="21"/>
      <c r="G81" s="21"/>
      <c r="H81" s="21"/>
      <c r="I81" s="21"/>
      <c r="J81" s="21"/>
      <c r="M81" s="21"/>
      <c r="N81" s="21"/>
      <c r="O81" s="21"/>
      <c r="R81" s="21"/>
      <c r="S81" s="21"/>
      <c r="T81" s="21"/>
      <c r="U81" s="21"/>
      <c r="V81" s="21"/>
      <c r="W81" s="21"/>
      <c r="X81" s="21"/>
      <c r="Y81" s="21"/>
      <c r="Z81" s="21"/>
      <c r="AA81" s="21"/>
      <c r="AB81" s="21"/>
    </row>
    <row r="82" spans="1:28" s="22" customFormat="1" ht="11.25">
      <c r="N82" s="21"/>
      <c r="O82" s="21"/>
      <c r="U82" s="21"/>
      <c r="V82" s="21"/>
      <c r="W82" s="21"/>
      <c r="X82" s="21"/>
      <c r="Y82" s="21"/>
      <c r="Z82" s="21"/>
      <c r="AA82" s="21"/>
      <c r="AB82" s="21"/>
    </row>
    <row r="83" spans="1:28" s="22" customFormat="1" ht="11.25">
      <c r="N83" s="21"/>
      <c r="O83" s="21"/>
      <c r="W83" s="21"/>
      <c r="X83" s="21"/>
      <c r="Y83" s="21"/>
      <c r="Z83" s="21"/>
      <c r="AA83" s="21"/>
      <c r="AB83" s="21"/>
    </row>
    <row r="84" spans="1:28" s="22" customFormat="1" ht="11.25">
      <c r="W84" s="21"/>
      <c r="X84" s="21"/>
      <c r="Y84" s="21"/>
      <c r="Z84" s="21"/>
      <c r="AA84" s="21"/>
      <c r="AB84" s="21"/>
    </row>
    <row r="85" spans="1:28" s="22" customFormat="1" ht="11.25">
      <c r="A85" s="21"/>
      <c r="B85" s="21"/>
      <c r="C85" s="21"/>
      <c r="D85" s="21"/>
      <c r="E85" s="21"/>
      <c r="F85" s="21"/>
      <c r="G85" s="21"/>
      <c r="H85" s="21"/>
      <c r="I85" s="21"/>
      <c r="J85" s="21"/>
      <c r="K85" s="21"/>
      <c r="L85" s="21"/>
      <c r="M85" s="21"/>
      <c r="R85" s="21"/>
      <c r="S85" s="21"/>
      <c r="T85" s="21"/>
      <c r="U85" s="21"/>
      <c r="V85" s="21"/>
      <c r="W85" s="21"/>
      <c r="X85" s="21"/>
      <c r="Y85" s="21"/>
      <c r="Z85" s="21"/>
      <c r="AA85" s="21"/>
      <c r="AB85" s="21"/>
    </row>
    <row r="86" spans="1:28" s="22" customFormat="1" ht="11.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1:28" s="22" customFormat="1" ht="11.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1:28" s="22" customFormat="1" ht="11.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spans="1:28" s="22" customFormat="1" ht="11.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spans="1:28" s="22" customFormat="1" ht="11.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spans="1:28" s="22" customFormat="1" ht="11.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spans="1:28" s="22" customFormat="1" ht="11.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spans="1:28" s="22" customFormat="1" ht="11.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s="22" customFormat="1" ht="11.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s="22" customFormat="1" ht="11.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s="22" customFormat="1" ht="11.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s="22" customFormat="1" ht="11.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s="22" customFormat="1" ht="11.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s="22" customFormat="1" ht="11.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s="22" customFormat="1" ht="11.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s="22" customFormat="1" ht="11.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s="22" customFormat="1" ht="11.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s="22" customFormat="1" ht="11.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s="22" customFormat="1" ht="11.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s="22" customFormat="1" ht="11.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s="22" customFormat="1" ht="11.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s="22" customFormat="1" ht="11.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s="22" customFormat="1" ht="11.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s="22" customFormat="1" ht="11.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s="22" customFormat="1" ht="11.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s="22" customFormat="1" ht="11.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s="22" customFormat="1" ht="11.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s="22" customFormat="1" ht="11.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s="22" customFormat="1" ht="11.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s="22" customFormat="1" ht="11.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s="22" customFormat="1" ht="11.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s="22" customFormat="1">
      <c r="A117" s="21"/>
      <c r="B117" s="21"/>
      <c r="C117" s="21"/>
      <c r="D117" s="21"/>
      <c r="E117" s="21"/>
      <c r="F117" s="21"/>
      <c r="G117" s="21"/>
      <c r="H117" s="21"/>
      <c r="I117" s="21"/>
      <c r="J117" s="21"/>
      <c r="K117" s="21"/>
      <c r="L117" s="136"/>
      <c r="M117" s="21"/>
      <c r="N117" s="21"/>
      <c r="O117" s="21"/>
      <c r="P117" s="21"/>
      <c r="Q117" s="21"/>
      <c r="R117" s="21"/>
      <c r="S117" s="21"/>
      <c r="T117" s="21"/>
      <c r="U117" s="21"/>
      <c r="V117" s="21"/>
      <c r="W117" s="21"/>
      <c r="X117" s="21"/>
      <c r="Y117" s="21"/>
      <c r="Z117" s="21"/>
      <c r="AA117" s="21"/>
      <c r="AB117" s="21"/>
    </row>
    <row r="118" spans="1:28" s="22" customFormat="1">
      <c r="A118" s="21"/>
      <c r="B118" s="21"/>
      <c r="C118" s="21"/>
      <c r="D118" s="21"/>
      <c r="E118" s="21"/>
      <c r="F118" s="21"/>
      <c r="G118" s="21"/>
      <c r="H118" s="21"/>
      <c r="I118" s="21"/>
      <c r="J118" s="21"/>
      <c r="K118" s="21"/>
      <c r="L118" s="136"/>
      <c r="M118" s="21"/>
      <c r="N118" s="21"/>
      <c r="O118" s="21"/>
      <c r="P118" s="21"/>
      <c r="Q118" s="21"/>
      <c r="R118" s="21"/>
      <c r="S118" s="21"/>
      <c r="T118" s="21"/>
      <c r="U118" s="21"/>
      <c r="V118" s="21"/>
      <c r="W118" s="21"/>
      <c r="X118" s="21"/>
      <c r="Y118" s="21"/>
      <c r="Z118" s="21"/>
      <c r="AA118" s="21"/>
      <c r="AB118" s="21"/>
    </row>
    <row r="119" spans="1:28" s="22" customFormat="1">
      <c r="A119" s="21"/>
      <c r="B119" s="21"/>
      <c r="C119" s="21"/>
      <c r="D119" s="21"/>
      <c r="E119" s="21"/>
      <c r="F119" s="21"/>
      <c r="G119" s="21"/>
      <c r="H119" s="21"/>
      <c r="I119" s="21"/>
      <c r="J119" s="21"/>
      <c r="K119" s="21"/>
      <c r="L119" s="136"/>
      <c r="M119" s="21"/>
      <c r="N119" s="21"/>
      <c r="O119" s="21"/>
      <c r="P119" s="21"/>
      <c r="Q119" s="21"/>
      <c r="R119" s="21"/>
      <c r="S119" s="21"/>
      <c r="T119" s="21"/>
      <c r="U119" s="21"/>
      <c r="V119" s="21"/>
      <c r="W119" s="21"/>
      <c r="X119" s="21"/>
      <c r="Y119" s="21"/>
      <c r="Z119" s="21"/>
      <c r="AA119" s="21"/>
      <c r="AB119" s="21"/>
    </row>
    <row r="120" spans="1:28" s="22" customFormat="1">
      <c r="A120" s="21"/>
      <c r="B120" s="21"/>
      <c r="C120" s="21"/>
      <c r="D120" s="21"/>
      <c r="E120" s="21"/>
      <c r="F120" s="21"/>
      <c r="G120" s="21"/>
      <c r="H120" s="21"/>
      <c r="I120" s="21"/>
      <c r="J120" s="21"/>
      <c r="K120" s="21"/>
      <c r="L120" s="136"/>
      <c r="M120" s="21"/>
      <c r="N120" s="21"/>
      <c r="O120" s="21"/>
      <c r="P120" s="21"/>
      <c r="Q120" s="21"/>
      <c r="R120" s="21"/>
      <c r="S120" s="21"/>
      <c r="T120" s="21"/>
      <c r="U120" s="21"/>
      <c r="V120" s="21"/>
      <c r="W120" s="21"/>
      <c r="X120" s="21"/>
      <c r="Y120" s="21"/>
      <c r="Z120" s="21"/>
      <c r="AA120" s="21"/>
      <c r="AB120" s="21"/>
    </row>
    <row r="121" spans="1:28" s="22" customFormat="1">
      <c r="A121" s="21"/>
      <c r="B121" s="21"/>
      <c r="C121" s="21"/>
      <c r="D121" s="21"/>
      <c r="E121" s="21"/>
      <c r="F121" s="21"/>
      <c r="G121" s="21"/>
      <c r="H121" s="21"/>
      <c r="I121" s="21"/>
      <c r="J121" s="21"/>
      <c r="K121" s="21"/>
      <c r="L121" s="136"/>
      <c r="M121" s="21"/>
      <c r="N121" s="21"/>
      <c r="O121" s="21"/>
      <c r="P121" s="21"/>
      <c r="Q121" s="21"/>
      <c r="R121" s="21"/>
      <c r="S121" s="21"/>
      <c r="T121" s="21"/>
      <c r="U121" s="21"/>
      <c r="V121" s="21"/>
      <c r="W121" s="21"/>
      <c r="X121" s="21"/>
      <c r="Y121" s="21"/>
      <c r="Z121" s="21"/>
      <c r="AA121" s="21"/>
      <c r="AB121" s="21"/>
    </row>
    <row r="122" spans="1:28" s="22" customFormat="1">
      <c r="A122" s="21"/>
      <c r="B122" s="21"/>
      <c r="C122" s="21"/>
      <c r="D122" s="21"/>
      <c r="E122" s="21"/>
      <c r="F122" s="21"/>
      <c r="G122" s="21"/>
      <c r="H122" s="21"/>
      <c r="I122" s="21"/>
      <c r="J122" s="21"/>
      <c r="K122" s="21"/>
      <c r="L122" s="136"/>
      <c r="M122" s="21"/>
      <c r="N122" s="21"/>
      <c r="O122" s="21"/>
      <c r="P122" s="21"/>
      <c r="Q122" s="21"/>
      <c r="R122" s="21"/>
      <c r="S122" s="21"/>
      <c r="T122" s="21"/>
      <c r="U122" s="21"/>
      <c r="V122" s="21"/>
      <c r="W122" s="21"/>
      <c r="X122" s="21"/>
      <c r="Y122" s="21"/>
      <c r="Z122" s="21"/>
      <c r="AA122" s="21"/>
      <c r="AB122" s="21"/>
    </row>
    <row r="123" spans="1:28" s="22" customFormat="1">
      <c r="A123" s="21"/>
      <c r="B123" s="21"/>
      <c r="C123" s="21"/>
      <c r="D123" s="21"/>
      <c r="E123" s="21"/>
      <c r="F123" s="21"/>
      <c r="G123" s="21"/>
      <c r="H123" s="21"/>
      <c r="I123" s="21"/>
      <c r="J123" s="21"/>
      <c r="K123" s="21"/>
      <c r="L123" s="136"/>
      <c r="M123" s="21"/>
      <c r="N123" s="21"/>
      <c r="O123" s="21"/>
      <c r="P123" s="21"/>
      <c r="Q123" s="21"/>
      <c r="R123" s="21"/>
      <c r="S123" s="21"/>
      <c r="T123" s="21"/>
      <c r="U123" s="21"/>
      <c r="V123" s="21"/>
      <c r="W123" s="21"/>
      <c r="X123" s="21"/>
      <c r="Y123" s="21"/>
      <c r="Z123" s="21"/>
      <c r="AA123" s="21"/>
      <c r="AB123" s="21"/>
    </row>
    <row r="124" spans="1:28">
      <c r="A124" s="21"/>
      <c r="B124" s="21"/>
      <c r="C124" s="21"/>
      <c r="D124" s="21"/>
      <c r="E124" s="21"/>
      <c r="F124" s="21"/>
      <c r="G124" s="21"/>
      <c r="H124" s="21"/>
      <c r="I124" s="21"/>
      <c r="J124" s="21"/>
      <c r="K124" s="21"/>
      <c r="M124" s="21"/>
      <c r="N124" s="21"/>
      <c r="O124" s="21"/>
      <c r="P124" s="21"/>
      <c r="Q124" s="21"/>
      <c r="R124" s="21"/>
      <c r="S124" s="21"/>
      <c r="T124" s="136"/>
      <c r="U124" s="136"/>
      <c r="V124" s="136"/>
      <c r="W124" s="136"/>
      <c r="X124" s="136"/>
      <c r="Y124" s="136"/>
      <c r="Z124" s="136"/>
      <c r="AA124" s="136"/>
      <c r="AB124" s="136"/>
    </row>
    <row r="125" spans="1:28">
      <c r="A125" s="21"/>
      <c r="B125" s="21"/>
      <c r="C125" s="21"/>
      <c r="D125" s="21"/>
      <c r="E125" s="21"/>
      <c r="F125" s="21"/>
      <c r="G125" s="21"/>
      <c r="H125" s="21"/>
      <c r="I125" s="136"/>
      <c r="T125" s="136"/>
      <c r="U125" s="136"/>
      <c r="V125" s="136"/>
      <c r="W125" s="136"/>
      <c r="X125" s="136"/>
      <c r="Y125" s="136"/>
      <c r="Z125" s="136"/>
      <c r="AA125" s="136"/>
      <c r="AB125" s="136"/>
    </row>
    <row r="126" spans="1:28">
      <c r="A126" s="136"/>
      <c r="B126" s="136"/>
      <c r="C126" s="136"/>
      <c r="D126" s="136"/>
      <c r="E126" s="136"/>
      <c r="F126" s="136"/>
      <c r="G126" s="136"/>
      <c r="H126" s="136"/>
      <c r="I126" s="136"/>
      <c r="T126" s="136"/>
      <c r="U126" s="136"/>
      <c r="V126" s="136"/>
      <c r="W126" s="136"/>
      <c r="X126" s="136"/>
      <c r="Y126" s="136"/>
      <c r="Z126" s="136"/>
      <c r="AA126" s="136"/>
      <c r="AB126" s="136"/>
    </row>
    <row r="127" spans="1:28">
      <c r="A127" s="136"/>
      <c r="B127" s="136"/>
      <c r="C127" s="136"/>
      <c r="D127" s="136"/>
      <c r="E127" s="136"/>
      <c r="F127" s="136"/>
      <c r="G127" s="136"/>
      <c r="H127" s="136"/>
      <c r="I127" s="136"/>
      <c r="T127" s="136"/>
      <c r="U127" s="136"/>
      <c r="V127" s="136"/>
      <c r="W127" s="136"/>
      <c r="X127" s="136"/>
      <c r="Y127" s="136"/>
      <c r="Z127" s="136"/>
      <c r="AA127" s="136"/>
      <c r="AB127" s="136"/>
    </row>
    <row r="128" spans="1:28">
      <c r="A128" s="136"/>
      <c r="B128" s="136"/>
      <c r="C128" s="136"/>
      <c r="D128" s="136"/>
      <c r="E128" s="136"/>
      <c r="F128" s="136"/>
      <c r="G128" s="136"/>
      <c r="H128" s="136"/>
      <c r="I128" s="136"/>
      <c r="T128" s="136"/>
      <c r="U128" s="136"/>
      <c r="V128" s="136"/>
      <c r="W128" s="136"/>
      <c r="X128" s="136"/>
      <c r="Y128" s="136"/>
      <c r="Z128" s="136"/>
      <c r="AA128" s="136"/>
      <c r="AB128" s="136"/>
    </row>
    <row r="129" spans="1:28">
      <c r="A129" s="136"/>
      <c r="B129" s="136"/>
      <c r="C129" s="136"/>
      <c r="D129" s="136"/>
      <c r="E129" s="136"/>
      <c r="F129" s="136"/>
      <c r="G129" s="136"/>
      <c r="H129" s="136"/>
      <c r="I129" s="136"/>
      <c r="T129" s="136"/>
      <c r="U129" s="136"/>
      <c r="V129" s="136"/>
      <c r="W129" s="136"/>
      <c r="X129" s="136"/>
      <c r="Y129" s="136"/>
      <c r="Z129" s="136"/>
      <c r="AA129" s="136"/>
      <c r="AB129" s="136"/>
    </row>
    <row r="130" spans="1:28">
      <c r="A130" s="136"/>
      <c r="B130" s="136"/>
      <c r="C130" s="136"/>
      <c r="D130" s="136"/>
      <c r="E130" s="136"/>
      <c r="F130" s="136"/>
      <c r="G130" s="136"/>
      <c r="H130" s="136"/>
      <c r="I130" s="136"/>
      <c r="T130" s="136"/>
      <c r="U130" s="136"/>
      <c r="V130" s="136"/>
      <c r="W130" s="136"/>
      <c r="X130" s="136"/>
      <c r="Y130" s="136"/>
      <c r="Z130" s="136"/>
      <c r="AA130" s="136"/>
      <c r="AB130" s="136"/>
    </row>
    <row r="131" spans="1:28">
      <c r="A131" s="136"/>
      <c r="B131" s="136"/>
      <c r="C131" s="136"/>
      <c r="D131" s="136"/>
      <c r="E131" s="136"/>
      <c r="F131" s="136"/>
      <c r="G131" s="136"/>
      <c r="H131" s="136"/>
      <c r="I131" s="136"/>
      <c r="T131" s="136"/>
      <c r="U131" s="136"/>
      <c r="V131" s="136"/>
      <c r="W131" s="136"/>
      <c r="X131" s="136"/>
      <c r="Y131" s="136"/>
      <c r="Z131" s="136"/>
      <c r="AA131" s="136"/>
      <c r="AB131" s="136"/>
    </row>
    <row r="132" spans="1:28">
      <c r="A132" s="136"/>
      <c r="B132" s="136"/>
      <c r="C132" s="136"/>
      <c r="D132" s="136"/>
      <c r="E132" s="136"/>
      <c r="F132" s="136"/>
      <c r="G132" s="136"/>
      <c r="H132" s="136"/>
      <c r="I132" s="136"/>
      <c r="T132" s="136"/>
      <c r="U132" s="136"/>
      <c r="V132" s="136"/>
      <c r="W132" s="136"/>
      <c r="X132" s="136"/>
      <c r="Y132" s="136"/>
      <c r="Z132" s="136"/>
      <c r="AA132" s="136"/>
      <c r="AB132" s="136"/>
    </row>
    <row r="133" spans="1:28">
      <c r="A133" s="136"/>
      <c r="B133" s="136"/>
      <c r="C133" s="136"/>
      <c r="D133" s="136"/>
      <c r="E133" s="136"/>
      <c r="F133" s="136"/>
      <c r="G133" s="136"/>
      <c r="H133" s="136"/>
      <c r="I133" s="136"/>
      <c r="T133" s="136"/>
      <c r="U133" s="136"/>
      <c r="V133" s="136"/>
      <c r="W133" s="136"/>
      <c r="X133" s="136"/>
      <c r="Y133" s="136"/>
      <c r="Z133" s="136"/>
      <c r="AA133" s="136"/>
      <c r="AB133" s="136"/>
    </row>
    <row r="134" spans="1:28">
      <c r="A134" s="136"/>
      <c r="B134" s="136"/>
      <c r="C134" s="136"/>
      <c r="D134" s="136"/>
      <c r="E134" s="136"/>
      <c r="F134" s="136"/>
      <c r="G134" s="136"/>
      <c r="H134" s="136"/>
      <c r="I134" s="136"/>
      <c r="T134" s="136"/>
      <c r="U134" s="136"/>
      <c r="V134" s="136"/>
      <c r="W134" s="136"/>
      <c r="X134" s="136"/>
      <c r="Y134" s="136"/>
      <c r="Z134" s="136"/>
      <c r="AA134" s="136"/>
      <c r="AB134" s="136"/>
    </row>
    <row r="135" spans="1:28">
      <c r="A135" s="136"/>
      <c r="B135" s="136"/>
      <c r="C135" s="136"/>
      <c r="D135" s="136"/>
      <c r="E135" s="136"/>
      <c r="F135" s="136"/>
      <c r="G135" s="136"/>
      <c r="H135" s="136"/>
      <c r="I135" s="136"/>
      <c r="T135" s="136"/>
      <c r="U135" s="136"/>
      <c r="V135" s="136"/>
      <c r="W135" s="136"/>
      <c r="X135" s="136"/>
      <c r="Y135" s="136"/>
      <c r="Z135" s="136"/>
      <c r="AA135" s="136"/>
      <c r="AB135" s="136"/>
    </row>
    <row r="136" spans="1:28">
      <c r="A136" s="136"/>
      <c r="B136" s="136"/>
      <c r="C136" s="136"/>
      <c r="D136" s="136"/>
      <c r="E136" s="136"/>
      <c r="F136" s="136"/>
      <c r="G136" s="136"/>
      <c r="H136" s="136"/>
      <c r="I136" s="136"/>
      <c r="T136" s="136"/>
      <c r="U136" s="136"/>
      <c r="V136" s="136"/>
      <c r="W136" s="136"/>
      <c r="X136" s="136"/>
      <c r="Y136" s="136"/>
      <c r="Z136" s="136"/>
      <c r="AA136" s="136"/>
      <c r="AB136" s="136"/>
    </row>
    <row r="137" spans="1:28">
      <c r="A137" s="136"/>
      <c r="B137" s="136"/>
      <c r="C137" s="136"/>
      <c r="D137" s="136"/>
      <c r="E137" s="136"/>
      <c r="F137" s="136"/>
      <c r="G137" s="136"/>
      <c r="H137" s="136"/>
      <c r="I137" s="136"/>
      <c r="T137" s="136"/>
      <c r="U137" s="136"/>
      <c r="V137" s="136"/>
      <c r="W137" s="136"/>
      <c r="X137" s="136"/>
      <c r="Y137" s="136"/>
      <c r="Z137" s="136"/>
      <c r="AA137" s="136"/>
      <c r="AB137" s="136"/>
    </row>
    <row r="138" spans="1:28">
      <c r="A138" s="136"/>
      <c r="B138" s="136"/>
      <c r="C138" s="136"/>
      <c r="D138" s="136"/>
      <c r="E138" s="136"/>
      <c r="F138" s="136"/>
      <c r="G138" s="136"/>
      <c r="H138" s="136"/>
      <c r="I138" s="136"/>
      <c r="T138" s="136"/>
      <c r="U138" s="136"/>
      <c r="V138" s="136"/>
      <c r="W138" s="136"/>
      <c r="X138" s="136"/>
      <c r="Y138" s="136"/>
      <c r="Z138" s="136"/>
      <c r="AA138" s="136"/>
      <c r="AB138" s="136"/>
    </row>
    <row r="139" spans="1:28">
      <c r="A139" s="136"/>
      <c r="B139" s="136"/>
      <c r="C139" s="136"/>
      <c r="D139" s="136"/>
      <c r="E139" s="136"/>
      <c r="F139" s="136"/>
      <c r="G139" s="136"/>
      <c r="H139" s="136"/>
      <c r="I139" s="136"/>
      <c r="T139" s="136"/>
      <c r="U139" s="136"/>
      <c r="V139" s="136"/>
      <c r="W139" s="136"/>
      <c r="X139" s="136"/>
      <c r="Y139" s="136"/>
      <c r="Z139" s="136"/>
      <c r="AA139" s="136"/>
      <c r="AB139" s="136"/>
    </row>
    <row r="140" spans="1:28">
      <c r="A140" s="136"/>
      <c r="B140" s="136"/>
      <c r="C140" s="136"/>
      <c r="D140" s="136"/>
      <c r="E140" s="136"/>
      <c r="F140" s="136"/>
      <c r="G140" s="136"/>
      <c r="H140" s="136"/>
      <c r="I140" s="136"/>
      <c r="T140" s="136"/>
      <c r="U140" s="136"/>
      <c r="V140" s="136"/>
      <c r="W140" s="136"/>
      <c r="X140" s="136"/>
      <c r="Y140" s="136"/>
      <c r="Z140" s="136"/>
      <c r="AA140" s="136"/>
      <c r="AB140" s="136"/>
    </row>
    <row r="141" spans="1:28">
      <c r="A141" s="136"/>
      <c r="B141" s="136"/>
      <c r="C141" s="136"/>
      <c r="D141" s="136"/>
      <c r="E141" s="136"/>
      <c r="F141" s="136"/>
      <c r="G141" s="136"/>
      <c r="H141" s="136"/>
      <c r="I141" s="136"/>
      <c r="T141" s="136"/>
      <c r="U141" s="136"/>
      <c r="V141" s="136"/>
      <c r="W141" s="136"/>
      <c r="X141" s="136"/>
      <c r="Y141" s="136"/>
      <c r="Z141" s="136"/>
      <c r="AA141" s="136"/>
      <c r="AB141" s="136"/>
    </row>
    <row r="142" spans="1:28">
      <c r="A142" s="136"/>
      <c r="B142" s="136"/>
      <c r="C142" s="136"/>
      <c r="D142" s="136"/>
      <c r="E142" s="136"/>
      <c r="F142" s="136"/>
      <c r="G142" s="136"/>
      <c r="H142" s="136"/>
      <c r="I142" s="136"/>
      <c r="T142" s="136"/>
      <c r="U142" s="136"/>
      <c r="V142" s="136"/>
      <c r="W142" s="136"/>
      <c r="X142" s="136"/>
      <c r="Y142" s="136"/>
      <c r="Z142" s="136"/>
      <c r="AA142" s="136"/>
      <c r="AB142" s="136"/>
    </row>
    <row r="143" spans="1:28">
      <c r="A143" s="136"/>
      <c r="B143" s="136"/>
      <c r="C143" s="136"/>
      <c r="D143" s="136"/>
      <c r="E143" s="136"/>
      <c r="F143" s="136"/>
      <c r="G143" s="136"/>
      <c r="H143" s="136"/>
      <c r="I143" s="136"/>
      <c r="T143" s="136"/>
      <c r="U143" s="136"/>
      <c r="V143" s="136"/>
      <c r="W143" s="136"/>
      <c r="X143" s="136"/>
      <c r="Y143" s="136"/>
      <c r="Z143" s="136"/>
      <c r="AA143" s="136"/>
      <c r="AB143" s="136"/>
    </row>
    <row r="144" spans="1:28">
      <c r="A144" s="136"/>
      <c r="B144" s="136"/>
      <c r="C144" s="136"/>
      <c r="D144" s="136"/>
      <c r="E144" s="136"/>
      <c r="F144" s="136"/>
      <c r="G144" s="136"/>
      <c r="H144" s="136"/>
      <c r="I144" s="136"/>
      <c r="T144" s="136"/>
      <c r="U144" s="136"/>
      <c r="V144" s="136"/>
      <c r="W144" s="136"/>
      <c r="X144" s="136"/>
      <c r="Y144" s="136"/>
      <c r="Z144" s="136"/>
      <c r="AA144" s="136"/>
      <c r="AB144" s="136"/>
    </row>
    <row r="145" spans="1:28">
      <c r="A145" s="136"/>
      <c r="B145" s="136"/>
      <c r="C145" s="136"/>
      <c r="D145" s="136"/>
      <c r="E145" s="136"/>
      <c r="F145" s="136"/>
      <c r="G145" s="136"/>
      <c r="H145" s="136"/>
      <c r="I145" s="136"/>
      <c r="T145" s="136"/>
      <c r="U145" s="136"/>
      <c r="V145" s="136"/>
      <c r="W145" s="136"/>
      <c r="X145" s="136"/>
      <c r="Y145" s="136"/>
      <c r="Z145" s="136"/>
      <c r="AA145" s="136"/>
      <c r="AB145" s="136"/>
    </row>
    <row r="146" spans="1:28">
      <c r="A146" s="136"/>
      <c r="B146" s="136"/>
      <c r="C146" s="136"/>
      <c r="D146" s="136"/>
      <c r="E146" s="136"/>
      <c r="F146" s="136"/>
      <c r="G146" s="136"/>
      <c r="H146" s="136"/>
      <c r="I146" s="136"/>
      <c r="T146" s="136"/>
      <c r="U146" s="136"/>
      <c r="V146" s="136"/>
      <c r="W146" s="136"/>
      <c r="X146" s="136"/>
      <c r="Y146" s="136"/>
      <c r="Z146" s="136"/>
      <c r="AA146" s="136"/>
      <c r="AB146" s="136"/>
    </row>
    <row r="147" spans="1:28">
      <c r="A147" s="136"/>
      <c r="B147" s="136"/>
      <c r="C147" s="136"/>
      <c r="D147" s="136"/>
      <c r="E147" s="136"/>
      <c r="F147" s="136"/>
      <c r="G147" s="136"/>
      <c r="H147" s="136"/>
      <c r="I147" s="136"/>
      <c r="T147" s="136"/>
      <c r="U147" s="136"/>
      <c r="V147" s="136"/>
      <c r="W147" s="136"/>
      <c r="X147" s="136"/>
      <c r="Y147" s="136"/>
      <c r="Z147" s="136"/>
      <c r="AA147" s="136"/>
      <c r="AB147" s="136"/>
    </row>
    <row r="148" spans="1:28">
      <c r="A148" s="136"/>
      <c r="B148" s="136"/>
      <c r="C148" s="136"/>
      <c r="D148" s="136"/>
      <c r="E148" s="136"/>
      <c r="F148" s="136"/>
      <c r="G148" s="136"/>
      <c r="H148" s="136"/>
      <c r="I148" s="136"/>
      <c r="T148" s="136"/>
      <c r="U148" s="136"/>
      <c r="V148" s="136"/>
      <c r="W148" s="136"/>
      <c r="X148" s="136"/>
      <c r="Y148" s="136"/>
      <c r="Z148" s="136"/>
      <c r="AA148" s="136"/>
      <c r="AB148" s="136"/>
    </row>
    <row r="149" spans="1:28">
      <c r="A149" s="136"/>
      <c r="B149" s="136"/>
      <c r="C149" s="136"/>
      <c r="D149" s="136"/>
      <c r="E149" s="136"/>
      <c r="F149" s="136"/>
      <c r="G149" s="136"/>
      <c r="H149" s="136"/>
      <c r="I149" s="136"/>
      <c r="T149" s="136"/>
      <c r="U149" s="136"/>
      <c r="V149" s="136"/>
      <c r="W149" s="136"/>
      <c r="X149" s="136"/>
      <c r="Y149" s="136"/>
      <c r="Z149" s="136"/>
      <c r="AA149" s="136"/>
      <c r="AB149" s="136"/>
    </row>
    <row r="150" spans="1:28">
      <c r="A150" s="136"/>
      <c r="B150" s="136"/>
      <c r="C150" s="136"/>
      <c r="D150" s="136"/>
      <c r="E150" s="136"/>
      <c r="F150" s="136"/>
      <c r="G150" s="136"/>
      <c r="H150" s="136"/>
      <c r="I150" s="136"/>
      <c r="T150" s="136"/>
      <c r="U150" s="136"/>
      <c r="V150" s="136"/>
      <c r="W150" s="136"/>
      <c r="X150" s="136"/>
      <c r="Y150" s="136"/>
      <c r="Z150" s="136"/>
      <c r="AA150" s="136"/>
      <c r="AB150" s="136"/>
    </row>
    <row r="151" spans="1:28">
      <c r="A151" s="136"/>
      <c r="B151" s="136"/>
      <c r="C151" s="136"/>
      <c r="D151" s="136"/>
      <c r="E151" s="136"/>
      <c r="F151" s="136"/>
      <c r="G151" s="136"/>
      <c r="H151" s="136"/>
      <c r="I151" s="136"/>
      <c r="T151" s="136"/>
      <c r="U151" s="136"/>
      <c r="V151" s="136"/>
      <c r="W151" s="136"/>
      <c r="X151" s="136"/>
      <c r="Y151" s="136"/>
      <c r="Z151" s="136"/>
      <c r="AA151" s="136"/>
      <c r="AB151" s="136"/>
    </row>
    <row r="152" spans="1:28">
      <c r="A152" s="136"/>
      <c r="B152" s="136"/>
      <c r="C152" s="136"/>
      <c r="D152" s="136"/>
      <c r="E152" s="136"/>
      <c r="F152" s="136"/>
      <c r="G152" s="136"/>
      <c r="H152" s="136"/>
      <c r="I152" s="136"/>
      <c r="T152" s="136"/>
      <c r="U152" s="136"/>
      <c r="V152" s="136"/>
      <c r="W152" s="136"/>
      <c r="X152" s="136"/>
      <c r="Y152" s="136"/>
      <c r="Z152" s="136"/>
      <c r="AA152" s="136"/>
      <c r="AB152" s="136"/>
    </row>
    <row r="153" spans="1:28">
      <c r="A153" s="136"/>
      <c r="B153" s="136"/>
      <c r="C153" s="136"/>
      <c r="D153" s="136"/>
      <c r="E153" s="136"/>
      <c r="F153" s="136"/>
      <c r="G153" s="136"/>
      <c r="H153" s="136"/>
      <c r="I153" s="136"/>
      <c r="T153" s="136"/>
      <c r="U153" s="136"/>
      <c r="V153" s="136"/>
      <c r="W153" s="136"/>
      <c r="X153" s="136"/>
      <c r="Y153" s="136"/>
      <c r="Z153" s="136"/>
      <c r="AA153" s="136"/>
      <c r="AB153" s="136"/>
    </row>
    <row r="154" spans="1:28">
      <c r="A154" s="136"/>
      <c r="B154" s="136"/>
      <c r="C154" s="136"/>
      <c r="D154" s="136"/>
      <c r="E154" s="136"/>
      <c r="F154" s="136"/>
      <c r="G154" s="136"/>
      <c r="H154" s="136"/>
      <c r="I154" s="136"/>
      <c r="T154" s="136"/>
      <c r="U154" s="136"/>
      <c r="V154" s="136"/>
      <c r="W154" s="136"/>
      <c r="X154" s="136"/>
      <c r="Y154" s="136"/>
      <c r="Z154" s="136"/>
      <c r="AA154" s="136"/>
      <c r="AB154" s="136"/>
    </row>
    <row r="155" spans="1:28">
      <c r="A155" s="136"/>
      <c r="B155" s="136"/>
      <c r="C155" s="136"/>
      <c r="D155" s="136"/>
      <c r="E155" s="136"/>
      <c r="F155" s="136"/>
      <c r="G155" s="136"/>
      <c r="H155" s="136"/>
      <c r="I155" s="136"/>
      <c r="T155" s="136"/>
      <c r="U155" s="136"/>
      <c r="V155" s="136"/>
      <c r="W155" s="136"/>
      <c r="X155" s="136"/>
      <c r="Y155" s="136"/>
      <c r="Z155" s="136"/>
      <c r="AA155" s="136"/>
      <c r="AB155" s="136"/>
    </row>
    <row r="156" spans="1:28">
      <c r="A156" s="136"/>
      <c r="B156" s="136"/>
      <c r="C156" s="136"/>
      <c r="D156" s="136"/>
      <c r="E156" s="136"/>
      <c r="F156" s="136"/>
      <c r="G156" s="136"/>
      <c r="H156" s="136"/>
      <c r="I156" s="136"/>
      <c r="T156" s="136"/>
      <c r="U156" s="136"/>
      <c r="V156" s="136"/>
      <c r="W156" s="136"/>
      <c r="X156" s="136"/>
      <c r="Y156" s="136"/>
      <c r="Z156" s="136"/>
      <c r="AA156" s="136"/>
      <c r="AB156" s="136"/>
    </row>
    <row r="157" spans="1:28">
      <c r="A157" s="136"/>
      <c r="B157" s="136"/>
      <c r="C157" s="136"/>
      <c r="D157" s="136"/>
      <c r="E157" s="136"/>
      <c r="F157" s="136"/>
      <c r="G157" s="136"/>
      <c r="H157" s="136"/>
      <c r="I157" s="136"/>
      <c r="T157" s="136"/>
      <c r="U157" s="136"/>
      <c r="V157" s="136"/>
      <c r="W157" s="136"/>
      <c r="X157" s="136"/>
      <c r="Y157" s="136"/>
      <c r="Z157" s="136"/>
      <c r="AA157" s="136"/>
      <c r="AB157" s="136"/>
    </row>
    <row r="158" spans="1:28">
      <c r="A158" s="136"/>
      <c r="B158" s="136"/>
      <c r="C158" s="136"/>
      <c r="D158" s="136"/>
      <c r="E158" s="136"/>
      <c r="F158" s="136"/>
      <c r="G158" s="136"/>
      <c r="H158" s="136"/>
      <c r="I158" s="136"/>
      <c r="T158" s="136"/>
      <c r="U158" s="136"/>
      <c r="V158" s="136"/>
      <c r="W158" s="136"/>
      <c r="X158" s="136"/>
      <c r="Y158" s="136"/>
      <c r="Z158" s="136"/>
      <c r="AA158" s="136"/>
      <c r="AB158" s="136"/>
    </row>
    <row r="159" spans="1:28">
      <c r="A159" s="136"/>
      <c r="B159" s="136"/>
      <c r="C159" s="136"/>
      <c r="D159" s="136"/>
      <c r="E159" s="136"/>
      <c r="F159" s="136"/>
      <c r="G159" s="136"/>
      <c r="H159" s="136"/>
      <c r="I159" s="136"/>
      <c r="T159" s="136"/>
      <c r="U159" s="136"/>
      <c r="V159" s="136"/>
      <c r="W159" s="136"/>
      <c r="X159" s="136"/>
      <c r="Y159" s="136"/>
      <c r="Z159" s="136"/>
      <c r="AA159" s="136"/>
      <c r="AB159" s="136"/>
    </row>
    <row r="160" spans="1:28">
      <c r="A160" s="136"/>
      <c r="B160" s="136"/>
      <c r="C160" s="136"/>
      <c r="D160" s="136"/>
      <c r="E160" s="136"/>
      <c r="F160" s="136"/>
      <c r="G160" s="136"/>
      <c r="H160" s="136"/>
      <c r="I160" s="136"/>
      <c r="T160" s="136"/>
      <c r="U160" s="136"/>
      <c r="V160" s="136"/>
      <c r="W160" s="136"/>
      <c r="X160" s="136"/>
      <c r="Y160" s="136"/>
      <c r="Z160" s="136"/>
      <c r="AA160" s="136"/>
      <c r="AB160" s="136"/>
    </row>
    <row r="161" spans="1:28">
      <c r="A161" s="136"/>
      <c r="B161" s="136"/>
      <c r="C161" s="136"/>
      <c r="D161" s="136"/>
      <c r="E161" s="136"/>
      <c r="F161" s="136"/>
      <c r="G161" s="136"/>
      <c r="H161" s="136"/>
      <c r="I161" s="136"/>
      <c r="T161" s="136"/>
      <c r="U161" s="136"/>
      <c r="V161" s="136"/>
      <c r="W161" s="136"/>
      <c r="X161" s="136"/>
      <c r="Y161" s="136"/>
      <c r="Z161" s="136"/>
      <c r="AA161" s="136"/>
      <c r="AB161" s="136"/>
    </row>
    <row r="162" spans="1:28">
      <c r="A162" s="136"/>
      <c r="B162" s="136"/>
      <c r="C162" s="136"/>
      <c r="D162" s="136"/>
      <c r="E162" s="136"/>
      <c r="F162" s="136"/>
      <c r="G162" s="136"/>
      <c r="H162" s="136"/>
      <c r="I162" s="136"/>
      <c r="T162" s="136"/>
      <c r="U162" s="136"/>
      <c r="V162" s="136"/>
      <c r="W162" s="136"/>
      <c r="X162" s="136"/>
      <c r="Y162" s="136"/>
      <c r="Z162" s="136"/>
      <c r="AA162" s="136"/>
      <c r="AB162" s="136"/>
    </row>
    <row r="163" spans="1:28">
      <c r="A163" s="136"/>
      <c r="B163" s="136"/>
      <c r="C163" s="136"/>
      <c r="D163" s="136"/>
      <c r="E163" s="136"/>
      <c r="F163" s="136"/>
      <c r="G163" s="136"/>
      <c r="H163" s="136"/>
      <c r="I163" s="136"/>
      <c r="T163" s="136"/>
      <c r="U163" s="136"/>
      <c r="V163" s="136"/>
      <c r="W163" s="136"/>
      <c r="X163" s="136"/>
      <c r="Y163" s="136"/>
      <c r="Z163" s="136"/>
      <c r="AA163" s="136"/>
      <c r="AB163" s="136"/>
    </row>
    <row r="164" spans="1:28">
      <c r="A164" s="136"/>
      <c r="B164" s="136"/>
      <c r="C164" s="136"/>
      <c r="D164" s="136"/>
      <c r="E164" s="136"/>
      <c r="F164" s="136"/>
      <c r="G164" s="136"/>
      <c r="H164" s="136"/>
      <c r="I164" s="136"/>
      <c r="T164" s="136"/>
      <c r="U164" s="136"/>
      <c r="V164" s="136"/>
      <c r="W164" s="136"/>
      <c r="X164" s="136"/>
      <c r="Y164" s="136"/>
      <c r="Z164" s="136"/>
      <c r="AA164" s="136"/>
      <c r="AB164" s="136"/>
    </row>
    <row r="165" spans="1:28">
      <c r="A165" s="136"/>
      <c r="B165" s="136"/>
      <c r="C165" s="136"/>
      <c r="D165" s="136"/>
      <c r="E165" s="136"/>
      <c r="F165" s="136"/>
      <c r="G165" s="136"/>
      <c r="H165" s="136"/>
      <c r="I165" s="136"/>
      <c r="T165" s="136"/>
      <c r="U165" s="136"/>
      <c r="V165" s="136"/>
      <c r="W165" s="136"/>
      <c r="X165" s="136"/>
      <c r="Y165" s="136"/>
      <c r="Z165" s="136"/>
      <c r="AA165" s="136"/>
      <c r="AB165" s="136"/>
    </row>
    <row r="166" spans="1:28">
      <c r="A166" s="136"/>
      <c r="B166" s="136"/>
      <c r="C166" s="136"/>
      <c r="D166" s="136"/>
      <c r="E166" s="136"/>
      <c r="F166" s="136"/>
      <c r="G166" s="136"/>
      <c r="H166" s="136"/>
      <c r="I166" s="136"/>
      <c r="T166" s="136"/>
      <c r="U166" s="136"/>
      <c r="V166" s="136"/>
      <c r="W166" s="136"/>
      <c r="X166" s="136"/>
      <c r="Y166" s="136"/>
      <c r="Z166" s="136"/>
      <c r="AA166" s="136"/>
      <c r="AB166" s="136"/>
    </row>
    <row r="167" spans="1:28">
      <c r="A167" s="136"/>
      <c r="B167" s="136"/>
      <c r="C167" s="136"/>
      <c r="D167" s="136"/>
      <c r="E167" s="136"/>
      <c r="F167" s="136"/>
      <c r="G167" s="136"/>
      <c r="H167" s="136"/>
      <c r="I167" s="136"/>
      <c r="T167" s="136"/>
      <c r="U167" s="136"/>
      <c r="V167" s="136"/>
      <c r="W167" s="136"/>
      <c r="X167" s="136"/>
      <c r="Y167" s="136"/>
      <c r="Z167" s="136"/>
      <c r="AA167" s="136"/>
      <c r="AB167" s="136"/>
    </row>
    <row r="168" spans="1:28">
      <c r="A168" s="136"/>
      <c r="B168" s="136"/>
      <c r="C168" s="136"/>
      <c r="D168" s="136"/>
      <c r="E168" s="136"/>
      <c r="F168" s="136"/>
      <c r="G168" s="136"/>
      <c r="H168" s="136"/>
      <c r="I168" s="136"/>
      <c r="T168" s="136"/>
      <c r="U168" s="136"/>
      <c r="V168" s="136"/>
      <c r="W168" s="136"/>
      <c r="X168" s="136"/>
      <c r="Y168" s="136"/>
      <c r="Z168" s="136"/>
      <c r="AA168" s="136"/>
      <c r="AB168" s="136"/>
    </row>
    <row r="169" spans="1:28">
      <c r="A169" s="136"/>
      <c r="B169" s="136"/>
      <c r="C169" s="136"/>
      <c r="D169" s="136"/>
      <c r="E169" s="136"/>
      <c r="F169" s="136"/>
      <c r="G169" s="136"/>
      <c r="H169" s="136"/>
      <c r="I169" s="136"/>
      <c r="T169" s="136"/>
      <c r="U169" s="136"/>
      <c r="V169" s="136"/>
      <c r="W169" s="136"/>
      <c r="X169" s="136"/>
      <c r="Y169" s="136"/>
      <c r="Z169" s="136"/>
      <c r="AA169" s="136"/>
      <c r="AB169" s="136"/>
    </row>
    <row r="170" spans="1:28">
      <c r="A170" s="136"/>
      <c r="B170" s="136"/>
      <c r="C170" s="136"/>
      <c r="D170" s="136"/>
      <c r="E170" s="136"/>
      <c r="F170" s="136"/>
      <c r="G170" s="136"/>
      <c r="H170" s="136"/>
      <c r="I170" s="136"/>
      <c r="T170" s="136"/>
      <c r="U170" s="136"/>
      <c r="V170" s="136"/>
      <c r="W170" s="136"/>
      <c r="X170" s="136"/>
      <c r="Y170" s="136"/>
      <c r="Z170" s="136"/>
      <c r="AA170" s="136"/>
      <c r="AB170" s="136"/>
    </row>
    <row r="171" spans="1:28">
      <c r="A171" s="136"/>
      <c r="B171" s="136"/>
      <c r="C171" s="136"/>
      <c r="D171" s="136"/>
      <c r="E171" s="136"/>
      <c r="F171" s="136"/>
      <c r="G171" s="136"/>
      <c r="H171" s="136"/>
      <c r="I171" s="136"/>
      <c r="T171" s="136"/>
      <c r="U171" s="136"/>
      <c r="V171" s="136"/>
      <c r="W171" s="136"/>
      <c r="X171" s="136"/>
      <c r="Y171" s="136"/>
      <c r="Z171" s="136"/>
      <c r="AA171" s="136"/>
      <c r="AB171" s="136"/>
    </row>
    <row r="172" spans="1:28">
      <c r="A172" s="136"/>
      <c r="B172" s="136"/>
      <c r="C172" s="136"/>
      <c r="D172" s="136"/>
      <c r="E172" s="136"/>
      <c r="F172" s="136"/>
      <c r="G172" s="136"/>
      <c r="H172" s="136"/>
      <c r="I172" s="136"/>
      <c r="T172" s="136"/>
      <c r="U172" s="136"/>
      <c r="V172" s="136"/>
      <c r="W172" s="136"/>
      <c r="X172" s="136"/>
      <c r="Y172" s="136"/>
      <c r="Z172" s="136"/>
      <c r="AA172" s="136"/>
      <c r="AB172" s="136"/>
    </row>
    <row r="173" spans="1:28">
      <c r="A173" s="136"/>
      <c r="B173" s="136"/>
      <c r="C173" s="136"/>
      <c r="D173" s="136"/>
      <c r="E173" s="136"/>
      <c r="F173" s="136"/>
      <c r="G173" s="136"/>
      <c r="H173" s="136"/>
      <c r="I173" s="136"/>
      <c r="T173" s="136"/>
      <c r="U173" s="136"/>
      <c r="V173" s="136"/>
      <c r="W173" s="136"/>
      <c r="X173" s="136"/>
      <c r="Y173" s="136"/>
      <c r="Z173" s="136"/>
      <c r="AA173" s="136"/>
      <c r="AB173" s="136"/>
    </row>
    <row r="174" spans="1:28">
      <c r="A174" s="136"/>
      <c r="B174" s="136"/>
      <c r="C174" s="136"/>
      <c r="D174" s="136"/>
      <c r="E174" s="136"/>
      <c r="F174" s="136"/>
      <c r="G174" s="136"/>
      <c r="H174" s="136"/>
      <c r="I174" s="136"/>
      <c r="T174" s="136"/>
      <c r="U174" s="136"/>
      <c r="V174" s="136"/>
      <c r="W174" s="136"/>
      <c r="X174" s="136"/>
      <c r="Y174" s="136"/>
      <c r="Z174" s="136"/>
      <c r="AA174" s="136"/>
      <c r="AB174" s="136"/>
    </row>
    <row r="175" spans="1:28">
      <c r="A175" s="136"/>
      <c r="B175" s="136"/>
      <c r="C175" s="136"/>
      <c r="D175" s="136"/>
      <c r="E175" s="136"/>
      <c r="F175" s="136"/>
      <c r="G175" s="136"/>
      <c r="H175" s="136"/>
      <c r="I175" s="136"/>
      <c r="T175" s="136"/>
      <c r="U175" s="136"/>
      <c r="V175" s="136"/>
      <c r="W175" s="136"/>
      <c r="X175" s="136"/>
      <c r="Y175" s="136"/>
      <c r="Z175" s="136"/>
      <c r="AA175" s="136"/>
      <c r="AB175" s="136"/>
    </row>
    <row r="176" spans="1:28">
      <c r="A176" s="136"/>
      <c r="B176" s="136"/>
      <c r="C176" s="136"/>
      <c r="D176" s="136"/>
      <c r="E176" s="136"/>
      <c r="F176" s="136"/>
      <c r="G176" s="136"/>
      <c r="H176" s="136"/>
      <c r="I176" s="136"/>
      <c r="T176" s="136"/>
      <c r="U176" s="136"/>
      <c r="V176" s="136"/>
      <c r="W176" s="136"/>
      <c r="X176" s="136"/>
      <c r="Y176" s="136"/>
      <c r="Z176" s="136"/>
      <c r="AA176" s="136"/>
      <c r="AB176" s="136"/>
    </row>
    <row r="177" spans="1:28">
      <c r="A177" s="136"/>
      <c r="B177" s="136"/>
      <c r="C177" s="136"/>
      <c r="D177" s="136"/>
      <c r="E177" s="136"/>
      <c r="F177" s="136"/>
      <c r="G177" s="136"/>
      <c r="H177" s="136"/>
      <c r="I177" s="136"/>
      <c r="T177" s="136"/>
      <c r="U177" s="136"/>
      <c r="V177" s="136"/>
      <c r="W177" s="136"/>
      <c r="X177" s="136"/>
      <c r="Y177" s="136"/>
      <c r="Z177" s="136"/>
      <c r="AA177" s="136"/>
      <c r="AB177" s="136"/>
    </row>
    <row r="178" spans="1:28">
      <c r="A178" s="136"/>
      <c r="B178" s="136"/>
      <c r="C178" s="136"/>
      <c r="D178" s="136"/>
      <c r="E178" s="136"/>
      <c r="F178" s="136"/>
      <c r="G178" s="136"/>
      <c r="H178" s="136"/>
      <c r="I178" s="136"/>
      <c r="T178" s="136"/>
      <c r="U178" s="136"/>
      <c r="V178" s="136"/>
      <c r="W178" s="136"/>
      <c r="X178" s="136"/>
      <c r="Y178" s="136"/>
      <c r="Z178" s="136"/>
      <c r="AA178" s="136"/>
      <c r="AB178" s="136"/>
    </row>
    <row r="179" spans="1:28">
      <c r="A179" s="136"/>
      <c r="B179" s="136"/>
      <c r="C179" s="136"/>
      <c r="D179" s="136"/>
      <c r="E179" s="136"/>
      <c r="F179" s="136"/>
      <c r="G179" s="136"/>
      <c r="H179" s="136"/>
      <c r="I179" s="136"/>
      <c r="T179" s="136"/>
      <c r="U179" s="136"/>
      <c r="V179" s="136"/>
      <c r="W179" s="136"/>
      <c r="X179" s="136"/>
      <c r="Y179" s="136"/>
      <c r="Z179" s="136"/>
      <c r="AA179" s="136"/>
      <c r="AB179" s="136"/>
    </row>
    <row r="180" spans="1:28">
      <c r="A180" s="136"/>
      <c r="B180" s="136"/>
      <c r="C180" s="136"/>
      <c r="D180" s="136"/>
      <c r="E180" s="136"/>
      <c r="F180" s="136"/>
      <c r="G180" s="136"/>
      <c r="H180" s="136"/>
      <c r="I180" s="136"/>
      <c r="T180" s="136"/>
      <c r="U180" s="136"/>
      <c r="V180" s="136"/>
      <c r="W180" s="136"/>
      <c r="X180" s="136"/>
      <c r="Y180" s="136"/>
      <c r="Z180" s="136"/>
      <c r="AA180" s="136"/>
      <c r="AB180" s="136"/>
    </row>
    <row r="181" spans="1:28">
      <c r="A181" s="136"/>
      <c r="B181" s="136"/>
      <c r="C181" s="136"/>
      <c r="D181" s="136"/>
      <c r="E181" s="136"/>
      <c r="F181" s="136"/>
      <c r="G181" s="136"/>
      <c r="H181" s="136"/>
      <c r="I181" s="136"/>
      <c r="T181" s="136"/>
      <c r="U181" s="136"/>
      <c r="V181" s="136"/>
      <c r="W181" s="136"/>
      <c r="X181" s="136"/>
      <c r="Y181" s="136"/>
      <c r="Z181" s="136"/>
      <c r="AA181" s="136"/>
      <c r="AB181" s="136"/>
    </row>
    <row r="182" spans="1:28">
      <c r="A182" s="136"/>
      <c r="B182" s="136"/>
      <c r="C182" s="136"/>
      <c r="D182" s="136"/>
      <c r="E182" s="136"/>
      <c r="F182" s="136"/>
      <c r="G182" s="136"/>
      <c r="H182" s="136"/>
      <c r="I182" s="136"/>
      <c r="T182" s="136"/>
      <c r="U182" s="136"/>
      <c r="V182" s="136"/>
      <c r="W182" s="136"/>
      <c r="X182" s="136"/>
      <c r="Y182" s="136"/>
      <c r="Z182" s="136"/>
      <c r="AA182" s="136"/>
      <c r="AB182" s="136"/>
    </row>
    <row r="183" spans="1:28">
      <c r="A183" s="136"/>
      <c r="B183" s="136"/>
      <c r="C183" s="136"/>
      <c r="D183" s="136"/>
      <c r="E183" s="136"/>
      <c r="F183" s="136"/>
      <c r="G183" s="136"/>
      <c r="H183" s="136"/>
      <c r="I183" s="136"/>
      <c r="T183" s="136"/>
      <c r="U183" s="136"/>
      <c r="V183" s="136"/>
      <c r="W183" s="136"/>
      <c r="X183" s="136"/>
      <c r="Y183" s="136"/>
      <c r="Z183" s="136"/>
      <c r="AA183" s="136"/>
      <c r="AB183" s="136"/>
    </row>
    <row r="184" spans="1:28">
      <c r="A184" s="136"/>
      <c r="B184" s="136"/>
      <c r="C184" s="136"/>
      <c r="D184" s="136"/>
      <c r="E184" s="136"/>
      <c r="F184" s="136"/>
      <c r="G184" s="136"/>
      <c r="H184" s="136"/>
      <c r="I184" s="136"/>
      <c r="T184" s="136"/>
      <c r="U184" s="136"/>
      <c r="V184" s="136"/>
      <c r="W184" s="136"/>
      <c r="X184" s="136"/>
      <c r="Y184" s="136"/>
      <c r="Z184" s="136"/>
      <c r="AA184" s="136"/>
      <c r="AB184" s="136"/>
    </row>
    <row r="185" spans="1:28">
      <c r="A185" s="136"/>
      <c r="B185" s="136"/>
      <c r="C185" s="136"/>
      <c r="D185" s="136"/>
      <c r="E185" s="136"/>
      <c r="F185" s="136"/>
      <c r="G185" s="136"/>
      <c r="H185" s="136"/>
      <c r="I185" s="136"/>
      <c r="T185" s="136"/>
      <c r="U185" s="136"/>
      <c r="V185" s="136"/>
      <c r="W185" s="136"/>
      <c r="X185" s="136"/>
      <c r="Y185" s="136"/>
      <c r="Z185" s="136"/>
      <c r="AA185" s="136"/>
      <c r="AB185" s="136"/>
    </row>
    <row r="186" spans="1:28">
      <c r="A186" s="136"/>
      <c r="B186" s="136"/>
      <c r="C186" s="136"/>
      <c r="D186" s="136"/>
      <c r="E186" s="136"/>
      <c r="F186" s="136"/>
      <c r="G186" s="136"/>
      <c r="H186" s="136"/>
      <c r="I186" s="136"/>
      <c r="T186" s="136"/>
      <c r="U186" s="136"/>
      <c r="V186" s="136"/>
      <c r="W186" s="136"/>
      <c r="X186" s="136"/>
      <c r="Y186" s="136"/>
      <c r="Z186" s="136"/>
      <c r="AA186" s="136"/>
      <c r="AB186" s="136"/>
    </row>
    <row r="187" spans="1:28">
      <c r="A187" s="136"/>
      <c r="B187" s="136"/>
      <c r="C187" s="136"/>
      <c r="D187" s="136"/>
      <c r="E187" s="136"/>
      <c r="F187" s="136"/>
      <c r="G187" s="136"/>
      <c r="H187" s="136"/>
      <c r="I187" s="136"/>
      <c r="T187" s="136"/>
      <c r="U187" s="136"/>
      <c r="V187" s="136"/>
      <c r="W187" s="136"/>
      <c r="X187" s="136"/>
      <c r="Y187" s="136"/>
      <c r="Z187" s="136"/>
      <c r="AA187" s="136"/>
      <c r="AB187" s="136"/>
    </row>
    <row r="188" spans="1:28">
      <c r="A188" s="136"/>
      <c r="B188" s="136"/>
      <c r="C188" s="136"/>
      <c r="D188" s="136"/>
      <c r="E188" s="136"/>
      <c r="F188" s="136"/>
      <c r="G188" s="136"/>
      <c r="H188" s="136"/>
      <c r="I188" s="136"/>
      <c r="T188" s="136"/>
      <c r="U188" s="136"/>
      <c r="V188" s="136"/>
      <c r="W188" s="136"/>
      <c r="X188" s="136"/>
      <c r="Y188" s="136"/>
      <c r="Z188" s="136"/>
      <c r="AA188" s="136"/>
      <c r="AB188" s="136"/>
    </row>
    <row r="189" spans="1:28">
      <c r="A189" s="136"/>
      <c r="B189" s="136"/>
      <c r="C189" s="136"/>
      <c r="D189" s="136"/>
      <c r="E189" s="136"/>
      <c r="F189" s="136"/>
      <c r="G189" s="136"/>
      <c r="H189" s="136"/>
      <c r="I189" s="136"/>
      <c r="T189" s="136"/>
      <c r="U189" s="136"/>
      <c r="V189" s="136"/>
      <c r="W189" s="136"/>
      <c r="X189" s="136"/>
      <c r="Y189" s="136"/>
      <c r="Z189" s="136"/>
      <c r="AA189" s="136"/>
      <c r="AB189" s="136"/>
    </row>
    <row r="190" spans="1:28">
      <c r="A190" s="136"/>
      <c r="B190" s="136"/>
      <c r="C190" s="136"/>
      <c r="D190" s="136"/>
      <c r="E190" s="136"/>
      <c r="F190" s="136"/>
      <c r="G190" s="136"/>
      <c r="H190" s="136"/>
      <c r="I190" s="136"/>
      <c r="T190" s="136"/>
      <c r="U190" s="136"/>
      <c r="V190" s="136"/>
      <c r="W190" s="136"/>
      <c r="X190" s="136"/>
      <c r="Y190" s="136"/>
      <c r="Z190" s="136"/>
      <c r="AA190" s="136"/>
      <c r="AB190" s="136"/>
    </row>
    <row r="191" spans="1:28">
      <c r="I191" s="136"/>
      <c r="T191" s="136"/>
      <c r="U191" s="136"/>
      <c r="V191" s="136"/>
      <c r="W191" s="136"/>
      <c r="X191" s="136"/>
      <c r="Y191" s="136"/>
      <c r="Z191" s="136"/>
      <c r="AA191" s="136"/>
      <c r="AB191" s="136"/>
    </row>
    <row r="192" spans="1:28">
      <c r="I192" s="136"/>
      <c r="T192" s="136"/>
      <c r="U192" s="136"/>
      <c r="V192" s="136"/>
      <c r="W192" s="136"/>
      <c r="X192" s="136"/>
      <c r="Y192" s="136"/>
      <c r="Z192" s="136"/>
      <c r="AA192" s="136"/>
      <c r="AB192" s="136"/>
    </row>
    <row r="193" spans="9:28">
      <c r="I193" s="136"/>
      <c r="T193" s="136"/>
      <c r="U193" s="136"/>
      <c r="V193" s="136"/>
      <c r="W193" s="136"/>
      <c r="X193" s="136"/>
      <c r="Y193" s="136"/>
      <c r="Z193" s="136"/>
      <c r="AA193" s="136"/>
      <c r="AB193" s="136"/>
    </row>
    <row r="194" spans="9:28">
      <c r="I194" s="136"/>
      <c r="T194" s="136"/>
      <c r="U194" s="136"/>
      <c r="V194" s="136"/>
      <c r="W194" s="136"/>
      <c r="X194" s="136"/>
      <c r="Y194" s="136"/>
      <c r="Z194" s="136"/>
      <c r="AA194" s="136"/>
      <c r="AB194" s="136"/>
    </row>
    <row r="195" spans="9:28">
      <c r="I195" s="136"/>
      <c r="T195" s="136"/>
      <c r="U195" s="136"/>
      <c r="V195" s="136"/>
      <c r="W195" s="136"/>
      <c r="X195" s="136"/>
      <c r="Y195" s="136"/>
      <c r="Z195" s="136"/>
      <c r="AA195" s="136"/>
      <c r="AB195" s="136"/>
    </row>
    <row r="196" spans="9:28">
      <c r="I196" s="136"/>
      <c r="T196" s="136"/>
      <c r="U196" s="136"/>
      <c r="V196" s="136"/>
      <c r="W196" s="136"/>
      <c r="X196" s="136"/>
      <c r="Y196" s="136"/>
      <c r="Z196" s="136"/>
      <c r="AA196" s="136"/>
      <c r="AB196" s="136"/>
    </row>
    <row r="197" spans="9:28">
      <c r="I197" s="136"/>
      <c r="T197" s="136"/>
      <c r="U197" s="136"/>
      <c r="V197" s="136"/>
      <c r="W197" s="136"/>
      <c r="X197" s="136"/>
      <c r="Y197" s="136"/>
      <c r="Z197" s="136"/>
      <c r="AA197" s="136"/>
      <c r="AB197" s="136"/>
    </row>
    <row r="198" spans="9:28">
      <c r="I198" s="136"/>
      <c r="T198" s="136"/>
      <c r="U198" s="136"/>
      <c r="V198" s="136"/>
      <c r="W198" s="136"/>
      <c r="X198" s="136"/>
      <c r="Y198" s="136"/>
      <c r="Z198" s="136"/>
      <c r="AA198" s="136"/>
      <c r="AB198" s="136"/>
    </row>
    <row r="199" spans="9:28">
      <c r="I199" s="136"/>
      <c r="T199" s="136"/>
      <c r="U199" s="136"/>
      <c r="V199" s="136"/>
      <c r="W199" s="136"/>
      <c r="X199" s="136"/>
      <c r="Y199" s="136"/>
      <c r="Z199" s="136"/>
      <c r="AA199" s="136"/>
      <c r="AB199" s="136"/>
    </row>
    <row r="200" spans="9:28">
      <c r="I200" s="136"/>
      <c r="T200" s="136"/>
      <c r="U200" s="136"/>
      <c r="V200" s="136"/>
      <c r="W200" s="136"/>
      <c r="X200" s="136"/>
      <c r="Y200" s="136"/>
      <c r="Z200" s="136"/>
      <c r="AA200" s="136"/>
      <c r="AB200" s="136"/>
    </row>
    <row r="201" spans="9:28">
      <c r="I201" s="136"/>
      <c r="T201" s="136"/>
      <c r="U201" s="136"/>
      <c r="V201" s="136"/>
      <c r="W201" s="136"/>
      <c r="X201" s="136"/>
      <c r="Y201" s="136"/>
      <c r="Z201" s="136"/>
      <c r="AA201" s="136"/>
      <c r="AB201" s="136"/>
    </row>
    <row r="202" spans="9:28">
      <c r="I202" s="136"/>
      <c r="T202" s="136"/>
      <c r="U202" s="136"/>
      <c r="V202" s="136"/>
      <c r="W202" s="136"/>
      <c r="X202" s="136"/>
      <c r="Y202" s="136"/>
      <c r="Z202" s="136"/>
      <c r="AA202" s="136"/>
      <c r="AB202" s="136"/>
    </row>
    <row r="203" spans="9:28">
      <c r="I203" s="136"/>
      <c r="T203" s="136"/>
      <c r="U203" s="136"/>
      <c r="V203" s="136"/>
      <c r="W203" s="136"/>
      <c r="X203" s="136"/>
      <c r="Y203" s="136"/>
      <c r="Z203" s="136"/>
      <c r="AA203" s="136"/>
      <c r="AB203" s="136"/>
    </row>
    <row r="204" spans="9:28">
      <c r="I204" s="136"/>
      <c r="T204" s="136"/>
      <c r="U204" s="136"/>
      <c r="V204" s="136"/>
      <c r="W204" s="136"/>
      <c r="X204" s="136"/>
      <c r="Y204" s="136"/>
      <c r="Z204" s="136"/>
      <c r="AA204" s="136"/>
      <c r="AB204" s="136"/>
    </row>
    <row r="205" spans="9:28">
      <c r="I205" s="136"/>
      <c r="T205" s="136"/>
      <c r="U205" s="136"/>
      <c r="V205" s="136"/>
      <c r="W205" s="136"/>
      <c r="X205" s="136"/>
      <c r="Y205" s="136"/>
      <c r="Z205" s="136"/>
      <c r="AA205" s="136"/>
      <c r="AB205" s="136"/>
    </row>
    <row r="206" spans="9:28">
      <c r="I206" s="136"/>
      <c r="T206" s="136"/>
      <c r="U206" s="136"/>
      <c r="V206" s="136"/>
      <c r="W206" s="136"/>
      <c r="X206" s="136"/>
      <c r="Y206" s="136"/>
      <c r="Z206" s="136"/>
      <c r="AA206" s="136"/>
      <c r="AB206" s="136"/>
    </row>
    <row r="207" spans="9:28">
      <c r="I207" s="136"/>
      <c r="T207" s="136"/>
      <c r="U207" s="136"/>
      <c r="V207" s="136"/>
      <c r="W207" s="136"/>
      <c r="X207" s="136"/>
      <c r="Y207" s="136"/>
      <c r="Z207" s="136"/>
      <c r="AA207" s="136"/>
      <c r="AB207" s="136"/>
    </row>
    <row r="208" spans="9:28">
      <c r="I208" s="136"/>
      <c r="T208" s="136"/>
      <c r="U208" s="136"/>
      <c r="V208" s="136"/>
      <c r="W208" s="136"/>
      <c r="X208" s="136"/>
      <c r="Y208" s="136"/>
      <c r="Z208" s="136"/>
      <c r="AA208" s="136"/>
      <c r="AB208" s="136"/>
    </row>
    <row r="209" spans="9:28">
      <c r="I209" s="136"/>
      <c r="T209" s="136"/>
      <c r="U209" s="136"/>
      <c r="V209" s="136"/>
      <c r="W209" s="136"/>
      <c r="X209" s="136"/>
      <c r="Y209" s="136"/>
      <c r="Z209" s="136"/>
      <c r="AA209" s="136"/>
      <c r="AB209" s="136"/>
    </row>
    <row r="210" spans="9:28">
      <c r="I210" s="136"/>
      <c r="T210" s="136"/>
      <c r="U210" s="136"/>
      <c r="V210" s="136"/>
      <c r="W210" s="136"/>
      <c r="X210" s="136"/>
      <c r="Y210" s="136"/>
      <c r="Z210" s="136"/>
      <c r="AA210" s="136"/>
      <c r="AB210" s="136"/>
    </row>
    <row r="211" spans="9:28">
      <c r="I211" s="136"/>
      <c r="T211" s="136"/>
      <c r="U211" s="136"/>
      <c r="V211" s="136"/>
      <c r="W211" s="136"/>
      <c r="X211" s="136"/>
      <c r="Y211" s="136"/>
      <c r="Z211" s="136"/>
      <c r="AA211" s="136"/>
      <c r="AB211" s="136"/>
    </row>
    <row r="212" spans="9:28">
      <c r="I212" s="136"/>
      <c r="T212" s="136"/>
      <c r="U212" s="136"/>
      <c r="V212" s="136"/>
      <c r="W212" s="136"/>
      <c r="X212" s="136"/>
      <c r="Y212" s="136"/>
      <c r="Z212" s="136"/>
      <c r="AA212" s="136"/>
      <c r="AB212" s="136"/>
    </row>
    <row r="213" spans="9:28">
      <c r="I213" s="136"/>
      <c r="T213" s="136"/>
      <c r="U213" s="136"/>
      <c r="V213" s="136"/>
      <c r="W213" s="136"/>
      <c r="X213" s="136"/>
      <c r="Y213" s="136"/>
      <c r="Z213" s="136"/>
      <c r="AA213" s="136"/>
      <c r="AB213" s="136"/>
    </row>
    <row r="214" spans="9:28">
      <c r="I214" s="136"/>
      <c r="T214" s="136"/>
      <c r="U214" s="136"/>
      <c r="V214" s="136"/>
      <c r="W214" s="136"/>
      <c r="X214" s="136"/>
      <c r="Y214" s="136"/>
      <c r="Z214" s="136"/>
      <c r="AA214" s="136"/>
      <c r="AB214" s="136"/>
    </row>
    <row r="215" spans="9:28">
      <c r="I215" s="136"/>
      <c r="T215" s="136"/>
      <c r="U215" s="136"/>
      <c r="V215" s="136"/>
      <c r="W215" s="136"/>
      <c r="X215" s="136"/>
      <c r="Y215" s="136"/>
      <c r="Z215" s="136"/>
      <c r="AA215" s="136"/>
      <c r="AB215" s="136"/>
    </row>
    <row r="216" spans="9:28">
      <c r="I216" s="136"/>
      <c r="T216" s="136"/>
      <c r="U216" s="136"/>
      <c r="V216" s="136"/>
      <c r="W216" s="136"/>
      <c r="X216" s="136"/>
      <c r="Y216" s="136"/>
      <c r="Z216" s="136"/>
      <c r="AA216" s="136"/>
      <c r="AB216" s="136"/>
    </row>
    <row r="217" spans="9:28">
      <c r="I217" s="136"/>
      <c r="T217" s="136"/>
      <c r="U217" s="136"/>
      <c r="V217" s="136"/>
      <c r="W217" s="136"/>
      <c r="X217" s="136"/>
      <c r="Y217" s="136"/>
      <c r="Z217" s="136"/>
      <c r="AA217" s="136"/>
      <c r="AB217" s="136"/>
    </row>
    <row r="218" spans="9:28">
      <c r="I218" s="136"/>
      <c r="T218" s="136"/>
      <c r="U218" s="136"/>
      <c r="V218" s="136"/>
      <c r="W218" s="136"/>
      <c r="X218" s="136"/>
      <c r="Y218" s="136"/>
      <c r="Z218" s="136"/>
      <c r="AA218" s="136"/>
      <c r="AB218" s="136"/>
    </row>
    <row r="219" spans="9:28">
      <c r="I219" s="136"/>
      <c r="T219" s="136"/>
      <c r="U219" s="136"/>
      <c r="V219" s="136"/>
      <c r="W219" s="136"/>
      <c r="X219" s="136"/>
      <c r="Y219" s="136"/>
      <c r="Z219" s="136"/>
      <c r="AA219" s="136"/>
      <c r="AB219" s="136"/>
    </row>
    <row r="220" spans="9:28">
      <c r="I220" s="136"/>
      <c r="T220" s="136"/>
      <c r="U220" s="136"/>
      <c r="V220" s="136"/>
      <c r="W220" s="136"/>
      <c r="X220" s="136"/>
      <c r="Y220" s="136"/>
      <c r="Z220" s="136"/>
      <c r="AA220" s="136"/>
      <c r="AB220" s="136"/>
    </row>
    <row r="221" spans="9:28">
      <c r="I221" s="136"/>
      <c r="T221" s="136"/>
      <c r="U221" s="136"/>
      <c r="V221" s="136"/>
      <c r="W221" s="136"/>
      <c r="X221" s="136"/>
      <c r="Y221" s="136"/>
      <c r="Z221" s="136"/>
      <c r="AA221" s="136"/>
      <c r="AB221" s="136"/>
    </row>
    <row r="222" spans="9:28">
      <c r="I222" s="136"/>
      <c r="T222" s="136"/>
      <c r="U222" s="136"/>
      <c r="V222" s="136"/>
      <c r="W222" s="136"/>
      <c r="X222" s="136"/>
      <c r="Y222" s="136"/>
      <c r="Z222" s="136"/>
      <c r="AA222" s="136"/>
      <c r="AB222" s="136"/>
    </row>
    <row r="223" spans="9:28">
      <c r="I223" s="136"/>
      <c r="T223" s="136"/>
      <c r="U223" s="136"/>
      <c r="V223" s="136"/>
      <c r="W223" s="136"/>
      <c r="X223" s="136"/>
      <c r="Y223" s="136"/>
      <c r="Z223" s="136"/>
      <c r="AA223" s="136"/>
      <c r="AB223" s="136"/>
    </row>
    <row r="224" spans="9:28">
      <c r="I224" s="136"/>
      <c r="T224" s="136"/>
      <c r="U224" s="136"/>
      <c r="V224" s="136"/>
      <c r="W224" s="136"/>
      <c r="X224" s="136"/>
      <c r="Y224" s="136"/>
      <c r="Z224" s="136"/>
      <c r="AA224" s="136"/>
      <c r="AB224" s="136"/>
    </row>
    <row r="225" spans="9:28">
      <c r="I225" s="136"/>
      <c r="T225" s="136"/>
      <c r="U225" s="136"/>
      <c r="V225" s="136"/>
      <c r="W225" s="136"/>
      <c r="X225" s="136"/>
      <c r="Y225" s="136"/>
      <c r="Z225" s="136"/>
      <c r="AA225" s="136"/>
      <c r="AB225" s="136"/>
    </row>
    <row r="226" spans="9:28">
      <c r="I226" s="136"/>
      <c r="T226" s="136"/>
      <c r="U226" s="136"/>
      <c r="V226" s="136"/>
      <c r="W226" s="136"/>
      <c r="X226" s="136"/>
      <c r="Y226" s="136"/>
      <c r="Z226" s="136"/>
      <c r="AA226" s="136"/>
      <c r="AB226" s="136"/>
    </row>
    <row r="227" spans="9:28">
      <c r="I227" s="136"/>
      <c r="T227" s="136"/>
      <c r="U227" s="136"/>
      <c r="V227" s="136"/>
      <c r="W227" s="136"/>
      <c r="X227" s="136"/>
      <c r="Y227" s="136"/>
      <c r="Z227" s="136"/>
      <c r="AA227" s="136"/>
      <c r="AB227" s="136"/>
    </row>
    <row r="228" spans="9:28">
      <c r="I228" s="136"/>
      <c r="T228" s="136"/>
      <c r="U228" s="136"/>
      <c r="V228" s="136"/>
      <c r="W228" s="136"/>
      <c r="X228" s="136"/>
      <c r="Y228" s="136"/>
      <c r="Z228" s="136"/>
      <c r="AA228" s="136"/>
      <c r="AB228" s="136"/>
    </row>
    <row r="229" spans="9:28">
      <c r="I229" s="136"/>
      <c r="T229" s="136"/>
      <c r="U229" s="136"/>
      <c r="V229" s="136"/>
      <c r="W229" s="136"/>
      <c r="X229" s="136"/>
      <c r="Y229" s="136"/>
      <c r="Z229" s="136"/>
      <c r="AA229" s="136"/>
      <c r="AB229" s="136"/>
    </row>
    <row r="230" spans="9:28">
      <c r="I230" s="136"/>
      <c r="T230" s="136"/>
      <c r="U230" s="136"/>
      <c r="V230" s="136"/>
      <c r="W230" s="136"/>
      <c r="X230" s="136"/>
      <c r="Y230" s="136"/>
      <c r="Z230" s="136"/>
      <c r="AA230" s="136"/>
      <c r="AB230" s="136"/>
    </row>
    <row r="231" spans="9:28">
      <c r="I231" s="136"/>
      <c r="T231" s="136"/>
      <c r="U231" s="136"/>
      <c r="V231" s="136"/>
      <c r="W231" s="136"/>
      <c r="X231" s="136"/>
      <c r="Y231" s="136"/>
      <c r="Z231" s="136"/>
      <c r="AA231" s="136"/>
      <c r="AB231" s="136"/>
    </row>
    <row r="232" spans="9:28">
      <c r="I232" s="136"/>
      <c r="T232" s="136"/>
      <c r="U232" s="136"/>
      <c r="V232" s="136"/>
      <c r="W232" s="136"/>
      <c r="X232" s="136"/>
      <c r="Y232" s="136"/>
      <c r="Z232" s="136"/>
      <c r="AA232" s="136"/>
      <c r="AB232" s="136"/>
    </row>
    <row r="233" spans="9:28">
      <c r="I233" s="136"/>
      <c r="T233" s="136"/>
      <c r="U233" s="136"/>
      <c r="V233" s="136"/>
      <c r="W233" s="136"/>
      <c r="X233" s="136"/>
      <c r="Y233" s="136"/>
      <c r="Z233" s="136"/>
      <c r="AA233" s="136"/>
      <c r="AB233" s="136"/>
    </row>
    <row r="234" spans="9:28">
      <c r="I234" s="136"/>
    </row>
  </sheetData>
  <mergeCells count="2">
    <mergeCell ref="A2:G2"/>
    <mergeCell ref="B3:D3"/>
  </mergeCells>
  <phoneticPr fontId="24" type="noConversion"/>
  <dataValidations disablePrompts="1" count="1">
    <dataValidation type="list" allowBlank="1" showInputMessage="1" showErrorMessage="1" sqref="B5">
      <formula1>"1,2"</formula1>
    </dataValidation>
  </dataValidations>
  <pageMargins left="0.75" right="0.75" top="1" bottom="1" header="0.5" footer="0.5"/>
  <pageSetup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2"/>
  </sheetPr>
  <dimension ref="C2:AM39"/>
  <sheetViews>
    <sheetView workbookViewId="0">
      <pane xSplit="3" topLeftCell="V1" activePane="topRight" state="frozen"/>
      <selection activeCell="K22" sqref="K22"/>
      <selection pane="topRight" activeCell="E16" sqref="E16"/>
    </sheetView>
  </sheetViews>
  <sheetFormatPr defaultColWidth="9.140625" defaultRowHeight="15"/>
  <cols>
    <col min="3" max="3" width="28.7109375" customWidth="1"/>
    <col min="4" max="4" width="10" customWidth="1"/>
    <col min="5" max="6" width="10.28515625" customWidth="1"/>
    <col min="7" max="9" width="10.140625" bestFit="1" customWidth="1"/>
    <col min="10" max="10" width="10.28515625" customWidth="1"/>
    <col min="11" max="11" width="10.42578125" customWidth="1"/>
    <col min="12" max="15" width="10.140625" bestFit="1" customWidth="1"/>
    <col min="16" max="16" width="10.140625" customWidth="1"/>
    <col min="17" max="22" width="10.140625" bestFit="1" customWidth="1"/>
    <col min="23" max="23" width="11" customWidth="1"/>
    <col min="24" max="25" width="10.140625" bestFit="1" customWidth="1"/>
    <col min="26" max="28" width="11.140625" bestFit="1" customWidth="1"/>
    <col min="29" max="31" width="10.140625" bestFit="1" customWidth="1"/>
    <col min="32" max="32" width="10.140625" customWidth="1"/>
    <col min="33" max="37" width="10.140625" bestFit="1" customWidth="1"/>
  </cols>
  <sheetData>
    <row r="2" spans="3:39">
      <c r="C2" s="171" t="s">
        <v>257</v>
      </c>
    </row>
    <row r="3" spans="3:39" s="177" customFormat="1" ht="12.75">
      <c r="C3" s="176"/>
      <c r="D3" s="1976" t="s">
        <v>193</v>
      </c>
      <c r="E3" s="1977"/>
      <c r="F3" s="1978"/>
      <c r="G3" s="1977"/>
      <c r="H3" s="1977"/>
      <c r="I3" s="1977"/>
      <c r="J3" s="1977"/>
      <c r="K3" s="1977"/>
      <c r="L3" s="820" t="s">
        <v>234</v>
      </c>
      <c r="M3" s="1776"/>
      <c r="N3" s="1776"/>
      <c r="O3" s="1776"/>
      <c r="P3" s="1776" t="s">
        <v>1552</v>
      </c>
      <c r="Q3" s="1777"/>
      <c r="R3" s="1976" t="s">
        <v>235</v>
      </c>
      <c r="S3" s="1977"/>
      <c r="T3" s="1977"/>
      <c r="U3" s="1977"/>
      <c r="V3" s="1979"/>
      <c r="W3" s="1976" t="s">
        <v>220</v>
      </c>
      <c r="X3" s="1979"/>
      <c r="Y3" s="172" t="s">
        <v>236</v>
      </c>
      <c r="Z3" s="1975" t="s">
        <v>86</v>
      </c>
      <c r="AA3" s="1975"/>
      <c r="AB3" s="1975"/>
      <c r="AC3" s="173" t="s">
        <v>222</v>
      </c>
      <c r="AD3" s="173" t="s">
        <v>222</v>
      </c>
      <c r="AE3" s="173" t="s">
        <v>233</v>
      </c>
      <c r="AF3" s="1213" t="s">
        <v>1240</v>
      </c>
      <c r="AG3" s="186" t="s">
        <v>333</v>
      </c>
      <c r="AH3" s="186" t="s">
        <v>51</v>
      </c>
      <c r="AI3" s="186" t="s">
        <v>51</v>
      </c>
      <c r="AJ3" s="186" t="s">
        <v>333</v>
      </c>
      <c r="AK3" s="186" t="s">
        <v>333</v>
      </c>
      <c r="AL3" s="186" t="s">
        <v>333</v>
      </c>
    </row>
    <row r="4" spans="3:39" s="824" customFormat="1" ht="76.5">
      <c r="C4" s="821"/>
      <c r="D4" s="822" t="s">
        <v>237</v>
      </c>
      <c r="E4" s="822" t="s">
        <v>238</v>
      </c>
      <c r="F4" s="822" t="s">
        <v>1716</v>
      </c>
      <c r="G4" s="822" t="s">
        <v>239</v>
      </c>
      <c r="H4" s="823" t="s">
        <v>240</v>
      </c>
      <c r="I4" s="822" t="s">
        <v>241</v>
      </c>
      <c r="J4" s="822" t="s">
        <v>242</v>
      </c>
      <c r="K4" s="822" t="s">
        <v>243</v>
      </c>
      <c r="L4" s="822" t="s">
        <v>244</v>
      </c>
      <c r="M4" s="822" t="s">
        <v>245</v>
      </c>
      <c r="N4" s="822" t="s">
        <v>246</v>
      </c>
      <c r="O4" s="822" t="s">
        <v>242</v>
      </c>
      <c r="P4" s="822" t="s">
        <v>1044</v>
      </c>
      <c r="Q4" s="822" t="s">
        <v>247</v>
      </c>
      <c r="R4" s="822" t="s">
        <v>245</v>
      </c>
      <c r="S4" s="822" t="s">
        <v>246</v>
      </c>
      <c r="T4" s="822" t="s">
        <v>242</v>
      </c>
      <c r="U4" s="822" t="s">
        <v>247</v>
      </c>
      <c r="V4" s="822" t="s">
        <v>248</v>
      </c>
      <c r="W4" s="822" t="s">
        <v>242</v>
      </c>
      <c r="X4" s="822" t="s">
        <v>248</v>
      </c>
      <c r="Y4" s="822" t="s">
        <v>245</v>
      </c>
      <c r="Z4" s="822" t="s">
        <v>244</v>
      </c>
      <c r="AA4" s="822" t="s">
        <v>249</v>
      </c>
      <c r="AB4" s="822" t="s">
        <v>245</v>
      </c>
      <c r="AC4" s="822" t="s">
        <v>285</v>
      </c>
      <c r="AD4" s="822" t="s">
        <v>286</v>
      </c>
      <c r="AE4" s="822" t="s">
        <v>245</v>
      </c>
      <c r="AF4" s="1214" t="s">
        <v>1240</v>
      </c>
      <c r="AG4" s="822" t="s">
        <v>285</v>
      </c>
      <c r="AH4" s="822" t="s">
        <v>245</v>
      </c>
      <c r="AI4" s="822" t="s">
        <v>1241</v>
      </c>
      <c r="AJ4" s="822" t="s">
        <v>343</v>
      </c>
      <c r="AK4" s="822" t="s">
        <v>1043</v>
      </c>
      <c r="AL4" s="917" t="s">
        <v>275</v>
      </c>
    </row>
    <row r="5" spans="3:39" s="177" customFormat="1">
      <c r="C5" s="174" t="s">
        <v>116</v>
      </c>
      <c r="D5" s="1177">
        <v>2.54</v>
      </c>
      <c r="E5" s="1177">
        <v>2.54</v>
      </c>
      <c r="F5" s="1177">
        <v>2.54</v>
      </c>
      <c r="G5" s="1177">
        <v>1.056</v>
      </c>
      <c r="H5" s="1177">
        <v>0.26700000000000002</v>
      </c>
      <c r="I5" s="1177">
        <v>1.056</v>
      </c>
      <c r="J5" s="1177">
        <v>133.316</v>
      </c>
      <c r="K5" s="1177">
        <v>2.5</v>
      </c>
      <c r="L5" s="1177">
        <v>2.089</v>
      </c>
      <c r="M5" s="1177">
        <v>0.90500000000000003</v>
      </c>
      <c r="N5" s="1177">
        <v>3.6509999999999998</v>
      </c>
      <c r="O5" s="1177">
        <v>2.0270000000000001</v>
      </c>
      <c r="P5" s="1178">
        <f>'End use TOTE - MGO Vessel'!D49</f>
        <v>61.217754808582086</v>
      </c>
      <c r="Q5" s="1177">
        <v>0.25800000000000001</v>
      </c>
      <c r="R5" s="1177">
        <v>0.8</v>
      </c>
      <c r="S5" s="1177">
        <v>1.2010000000000001</v>
      </c>
      <c r="T5" s="1177">
        <v>2.0270000000000001</v>
      </c>
      <c r="U5" s="1177">
        <v>0.25800000000000001</v>
      </c>
      <c r="V5" s="1177">
        <v>63.02</v>
      </c>
      <c r="W5" s="1177">
        <v>598.35</v>
      </c>
      <c r="X5" s="1177">
        <v>193.82</v>
      </c>
      <c r="Y5" s="1177">
        <v>0.81999999284744263</v>
      </c>
      <c r="Z5" s="1179">
        <v>1.4950000000000001</v>
      </c>
      <c r="AA5" s="1179">
        <v>0.12199999999999996</v>
      </c>
      <c r="AB5" s="1179">
        <v>0.47154493127067021</v>
      </c>
      <c r="AC5" s="1180">
        <v>5.9088270570761976</v>
      </c>
      <c r="AD5" s="1180">
        <v>5.9088270570761976</v>
      </c>
      <c r="AE5" s="1180">
        <v>2.54</v>
      </c>
      <c r="AF5" s="1177">
        <v>2.54</v>
      </c>
      <c r="AG5" s="1180">
        <v>26.224950877139467</v>
      </c>
      <c r="AH5" s="1180">
        <v>4.2720000000000002</v>
      </c>
      <c r="AI5" s="1180">
        <v>4.2720000000000002</v>
      </c>
      <c r="AJ5" s="1180">
        <v>2.54</v>
      </c>
      <c r="AK5" s="1181">
        <f>'End use TOTE - LNG Vessel'!D50</f>
        <v>7.6258089272472115E-2</v>
      </c>
      <c r="AL5" s="1182">
        <v>79.908003051108707</v>
      </c>
    </row>
    <row r="6" spans="3:39" s="177" customFormat="1">
      <c r="C6" s="175" t="s">
        <v>119</v>
      </c>
      <c r="D6" s="1179">
        <v>22.21</v>
      </c>
      <c r="E6" s="1179">
        <v>24.97</v>
      </c>
      <c r="F6" s="1179">
        <v>24.97</v>
      </c>
      <c r="G6" s="1179">
        <v>41.286000000000001</v>
      </c>
      <c r="H6" s="1179">
        <v>14.532999999999999</v>
      </c>
      <c r="I6" s="1179">
        <v>41.286000000000001</v>
      </c>
      <c r="J6" s="1179">
        <v>705.99300000000005</v>
      </c>
      <c r="K6" s="1179">
        <v>26</v>
      </c>
      <c r="L6" s="1179">
        <v>16.209</v>
      </c>
      <c r="M6" s="1179">
        <v>36.017000000000003</v>
      </c>
      <c r="N6" s="1179">
        <v>16.152999999999999</v>
      </c>
      <c r="O6" s="1179">
        <v>657.005</v>
      </c>
      <c r="P6" s="1183">
        <f>'End use TOTE - MGO Vessel'!E49</f>
        <v>133.40858586452472</v>
      </c>
      <c r="Q6" s="1179">
        <v>1.56</v>
      </c>
      <c r="R6" s="1179">
        <v>20.867000000000001</v>
      </c>
      <c r="S6" s="1179">
        <v>25.114999999999998</v>
      </c>
      <c r="T6" s="1179">
        <v>657.005</v>
      </c>
      <c r="U6" s="1179">
        <v>1.56</v>
      </c>
      <c r="V6" s="1179">
        <v>349.15</v>
      </c>
      <c r="W6" s="1179">
        <v>1520.4380000000001</v>
      </c>
      <c r="X6" s="1179">
        <v>6907</v>
      </c>
      <c r="Y6" s="1179">
        <v>23.739999771118164</v>
      </c>
      <c r="Z6" s="1179">
        <v>12.417</v>
      </c>
      <c r="AA6" s="1179">
        <v>2.2349999999999994</v>
      </c>
      <c r="AB6" s="1179">
        <v>23.954809379648633</v>
      </c>
      <c r="AC6" s="1180">
        <v>57.875039996863535</v>
      </c>
      <c r="AD6" s="1180">
        <v>57.875039996863535</v>
      </c>
      <c r="AE6" s="1180">
        <v>22.21</v>
      </c>
      <c r="AF6" s="1179">
        <v>22.21</v>
      </c>
      <c r="AG6" s="1180">
        <v>1452.3593270187273</v>
      </c>
      <c r="AH6" s="1180">
        <v>3.5310000000000001</v>
      </c>
      <c r="AI6" s="1180">
        <v>3.5310000000000001</v>
      </c>
      <c r="AJ6" s="1180">
        <v>24.97</v>
      </c>
      <c r="AK6" s="1181">
        <f>'End use TOTE - LNG Vessel'!E50</f>
        <v>230.38981606941618</v>
      </c>
      <c r="AL6" s="1182">
        <v>90.798003172552782</v>
      </c>
    </row>
    <row r="7" spans="3:39" s="177" customFormat="1">
      <c r="C7" s="175" t="s">
        <v>250</v>
      </c>
      <c r="D7" s="1179">
        <v>36.4</v>
      </c>
      <c r="E7" s="1179">
        <v>41.05</v>
      </c>
      <c r="F7" s="1179">
        <v>41.05</v>
      </c>
      <c r="G7" s="1179">
        <v>31.969000000000001</v>
      </c>
      <c r="H7" s="1179">
        <v>17.425000000000001</v>
      </c>
      <c r="I7" s="1179">
        <v>31.969000000000001</v>
      </c>
      <c r="J7" s="1179">
        <v>832.952</v>
      </c>
      <c r="K7" s="1179">
        <v>48.900001525878899</v>
      </c>
      <c r="L7" s="1179">
        <v>433.51799999999997</v>
      </c>
      <c r="M7" s="1179">
        <v>137.08099999999999</v>
      </c>
      <c r="N7" s="1179">
        <v>177.68799999999999</v>
      </c>
      <c r="O7" s="1179">
        <v>2076.9879999999998</v>
      </c>
      <c r="P7" s="1183">
        <f>'End use TOTE - MGO Vessel'!C49</f>
        <v>1384.2263969852261</v>
      </c>
      <c r="Q7" s="1179">
        <v>256.41199999999998</v>
      </c>
      <c r="R7" s="1179">
        <v>53.86</v>
      </c>
      <c r="S7" s="1179">
        <v>66.543000000000006</v>
      </c>
      <c r="T7" s="1179">
        <v>2076.9879999999998</v>
      </c>
      <c r="U7" s="1179">
        <v>256.41199999999998</v>
      </c>
      <c r="V7" s="1179">
        <v>628.01</v>
      </c>
      <c r="W7" s="1179">
        <v>98.587999999999994</v>
      </c>
      <c r="X7" s="1179">
        <v>267.62</v>
      </c>
      <c r="Y7" s="1179">
        <v>181.60000610351562</v>
      </c>
      <c r="Z7" s="1179">
        <v>116.035</v>
      </c>
      <c r="AA7" s="1179">
        <v>11.902000000000001</v>
      </c>
      <c r="AB7" s="1179">
        <v>121.63087470943928</v>
      </c>
      <c r="AC7" s="1180">
        <v>53.120741546032335</v>
      </c>
      <c r="AD7" s="1180">
        <v>53.120741546032335</v>
      </c>
      <c r="AE7" s="1180">
        <v>36.4</v>
      </c>
      <c r="AF7" s="1179">
        <v>36.4</v>
      </c>
      <c r="AG7" s="1180">
        <v>82.257237081529823</v>
      </c>
      <c r="AH7" s="1180">
        <v>69.412999999999997</v>
      </c>
      <c r="AI7" s="1180">
        <v>69.412999999999997</v>
      </c>
      <c r="AJ7" s="1180">
        <v>41.05</v>
      </c>
      <c r="AK7" s="1181">
        <f>'End use TOTE - LNG Vessel'!C50</f>
        <v>229.83787178004269</v>
      </c>
      <c r="AL7" s="1182">
        <v>2085.2410958809787</v>
      </c>
    </row>
    <row r="8" spans="3:39" s="177" customFormat="1">
      <c r="C8" s="175" t="s">
        <v>251</v>
      </c>
      <c r="D8" s="1179">
        <v>3.5070000000000001</v>
      </c>
      <c r="E8" s="1179">
        <v>3.5070000000000001</v>
      </c>
      <c r="F8" s="1179">
        <v>3.5070000000000001</v>
      </c>
      <c r="G8" s="1179">
        <v>3.5750000000000002</v>
      </c>
      <c r="H8" s="1179">
        <v>0.13300000000000001</v>
      </c>
      <c r="I8" s="1179">
        <v>3.5750000000000002</v>
      </c>
      <c r="J8" s="1179">
        <v>7.1970000000000001</v>
      </c>
      <c r="K8" s="1179">
        <v>3.7000000476837154</v>
      </c>
      <c r="L8" s="1179">
        <v>17.379000000000001</v>
      </c>
      <c r="M8" s="1179">
        <v>35.344999999999999</v>
      </c>
      <c r="N8" s="1179">
        <v>35.344999999999999</v>
      </c>
      <c r="O8" s="1179">
        <v>54.607999999999997</v>
      </c>
      <c r="P8" s="1183">
        <f>'End use TOTE - MGO Vessel'!G49</f>
        <v>4.9430785632312908</v>
      </c>
      <c r="Q8" s="1179">
        <v>25.943999999999999</v>
      </c>
      <c r="R8" s="1179">
        <v>8.1219999999999999</v>
      </c>
      <c r="S8" s="1179">
        <v>8.4039999999999999</v>
      </c>
      <c r="T8" s="1179">
        <v>54.607999999999997</v>
      </c>
      <c r="U8" s="1179">
        <v>25.943999999999999</v>
      </c>
      <c r="V8" s="1179">
        <v>55.97</v>
      </c>
      <c r="W8" s="1179">
        <v>52.558</v>
      </c>
      <c r="X8" s="1179">
        <v>7.84</v>
      </c>
      <c r="Y8" s="1179">
        <v>29.711999893188477</v>
      </c>
      <c r="Z8" s="1179">
        <v>28.841000000000001</v>
      </c>
      <c r="AA8" s="1179">
        <v>251.84100000000001</v>
      </c>
      <c r="AB8" s="1179">
        <v>2.6634014598039615</v>
      </c>
      <c r="AC8" s="1180">
        <v>10.052277336576829</v>
      </c>
      <c r="AD8" s="1180">
        <v>10.052277336576829</v>
      </c>
      <c r="AE8" s="1180">
        <v>3.5070000000000001</v>
      </c>
      <c r="AF8" s="1179">
        <v>3.5070000000000001</v>
      </c>
      <c r="AG8" s="1180">
        <v>7.4156649562733152</v>
      </c>
      <c r="AH8" s="1180">
        <v>3.738</v>
      </c>
      <c r="AI8" s="1180">
        <v>3.738</v>
      </c>
      <c r="AJ8" s="1180">
        <v>3.5070000000000001</v>
      </c>
      <c r="AK8" s="1181">
        <f>'End use TOTE - LNG Vessel'!G50</f>
        <v>2.4666335711267702</v>
      </c>
      <c r="AL8" s="1182">
        <v>18.121400463619022</v>
      </c>
    </row>
    <row r="9" spans="3:39" s="177" customFormat="1">
      <c r="C9" s="175" t="s">
        <v>252</v>
      </c>
      <c r="D9" s="1179">
        <v>3.5070000000000001</v>
      </c>
      <c r="E9" s="1179">
        <v>3.5070000000000001</v>
      </c>
      <c r="F9" s="1179">
        <v>3.5070000000000001</v>
      </c>
      <c r="G9" s="1179">
        <v>3.5750000000000002</v>
      </c>
      <c r="H9" s="1179">
        <v>0.13300000000000001</v>
      </c>
      <c r="I9" s="1179">
        <v>3.5750000000000002</v>
      </c>
      <c r="J9" s="1179">
        <v>7.1970000000000001</v>
      </c>
      <c r="K9" s="1179">
        <v>3.7000000476837154</v>
      </c>
      <c r="L9" s="1179">
        <v>13.492000000000001</v>
      </c>
      <c r="M9" s="1179">
        <v>16.172999999999998</v>
      </c>
      <c r="N9" s="1179">
        <v>16.172999999999998</v>
      </c>
      <c r="O9" s="1179">
        <v>54.042999999999999</v>
      </c>
      <c r="P9" s="1183">
        <f>'End use TOTE - MGO Vessel'!H49</f>
        <v>4.7369486724870571</v>
      </c>
      <c r="Q9" s="1179">
        <v>6.5739999999999998</v>
      </c>
      <c r="R9" s="1179">
        <v>5.4729999999999999</v>
      </c>
      <c r="S9" s="1179">
        <v>7.5220000000000002</v>
      </c>
      <c r="T9" s="1179">
        <v>54.042999999999999</v>
      </c>
      <c r="U9" s="1179">
        <v>6.5739999999999998</v>
      </c>
      <c r="V9" s="1179">
        <v>54.290900000000001</v>
      </c>
      <c r="W9" s="1179">
        <v>52.558</v>
      </c>
      <c r="X9" s="1179">
        <v>7.6048</v>
      </c>
      <c r="Y9" s="1179">
        <v>19.312799453735352</v>
      </c>
      <c r="Z9" s="1179">
        <v>20.277999999999999</v>
      </c>
      <c r="AA9" s="1179">
        <v>73.411000000000001</v>
      </c>
      <c r="AB9" s="1179">
        <v>2.5210846263102669</v>
      </c>
      <c r="AC9" s="1180">
        <v>4.6189603060598916</v>
      </c>
      <c r="AD9" s="1180">
        <v>4.6189603060598916</v>
      </c>
      <c r="AE9" s="1180">
        <v>3.5070000000000001</v>
      </c>
      <c r="AF9" s="1179">
        <v>3.5070000000000001</v>
      </c>
      <c r="AG9" s="1180">
        <v>3.6158472110721456</v>
      </c>
      <c r="AH9" s="1180">
        <v>3.738</v>
      </c>
      <c r="AI9" s="1180">
        <v>3.738</v>
      </c>
      <c r="AJ9" s="1180">
        <v>3.5070000000000001</v>
      </c>
      <c r="AK9" s="1181">
        <f>'End use TOTE - LNG Vessel'!H50</f>
        <v>2.4636638544868199</v>
      </c>
      <c r="AL9" s="1182">
        <v>16.675300341616595</v>
      </c>
    </row>
    <row r="10" spans="3:39" s="177" customFormat="1">
      <c r="C10" s="175" t="s">
        <v>253</v>
      </c>
      <c r="D10" s="1179">
        <v>0.26856561546286878</v>
      </c>
      <c r="E10" s="1179">
        <v>0.26856561546286878</v>
      </c>
      <c r="F10" s="1179">
        <v>0.26856561546286878</v>
      </c>
      <c r="G10" s="1179">
        <v>0.26856561546286878</v>
      </c>
      <c r="H10" s="1179">
        <v>0.26856561546286878</v>
      </c>
      <c r="I10" s="1179">
        <v>0.26856561546286878</v>
      </c>
      <c r="J10" s="1179">
        <v>0.26856561546286878</v>
      </c>
      <c r="K10" s="1179">
        <v>0.26856561546286878</v>
      </c>
      <c r="L10" s="1179">
        <v>739.29700000000003</v>
      </c>
      <c r="M10" s="1179">
        <v>683.32500000000005</v>
      </c>
      <c r="N10" s="1179">
        <v>667.78499999999997</v>
      </c>
      <c r="O10" s="1179">
        <v>267.3268667464024</v>
      </c>
      <c r="P10" s="1183">
        <f>'End use TOTE - MGO Vessel'!F49</f>
        <v>1.9350788331473716</v>
      </c>
      <c r="Q10" s="1179">
        <v>267.3268667464024</v>
      </c>
      <c r="R10" s="1179">
        <v>0.54242117555469049</v>
      </c>
      <c r="S10" s="1179">
        <v>0.54242117555469049</v>
      </c>
      <c r="T10" s="1179">
        <v>0.54242117555469049</v>
      </c>
      <c r="U10" s="1179">
        <v>0.54242117555469049</v>
      </c>
      <c r="V10" s="1179">
        <v>0.54242117555469049</v>
      </c>
      <c r="W10" s="1179">
        <v>1.238427082436041</v>
      </c>
      <c r="X10" s="1179">
        <v>1.238427082436041</v>
      </c>
      <c r="Y10" s="1179">
        <v>395.46499633789062</v>
      </c>
      <c r="Z10" s="1179">
        <v>325.40600000000001</v>
      </c>
      <c r="AA10" s="1179">
        <v>4.1099999999999994</v>
      </c>
      <c r="AB10" s="1179">
        <v>544.40099999999995</v>
      </c>
      <c r="AC10" s="1180">
        <v>0.54469976387990127</v>
      </c>
      <c r="AD10" s="1180">
        <v>0.54469976387990127</v>
      </c>
      <c r="AE10" s="1180">
        <v>0.26856561546286878</v>
      </c>
      <c r="AF10" s="1179">
        <v>0.26856561546286878</v>
      </c>
      <c r="AG10" s="1180">
        <v>0</v>
      </c>
      <c r="AH10" s="1180">
        <v>0</v>
      </c>
      <c r="AI10" s="1180">
        <v>0</v>
      </c>
      <c r="AJ10" s="1180">
        <v>0</v>
      </c>
      <c r="AK10" s="1181">
        <f>'End use TOTE - LNG Vessel'!F50</f>
        <v>0.42265644671501146</v>
      </c>
      <c r="AL10" s="1182">
        <v>0</v>
      </c>
    </row>
    <row r="11" spans="3:39" s="177" customFormat="1">
      <c r="C11" s="234" t="s">
        <v>254</v>
      </c>
      <c r="D11" s="1179">
        <v>0.57865500000000003</v>
      </c>
      <c r="E11" s="1179">
        <v>0.57865500000000003</v>
      </c>
      <c r="F11" s="1179">
        <v>0.57865500000000003</v>
      </c>
      <c r="G11" s="1179">
        <v>0.103675</v>
      </c>
      <c r="H11" s="1179">
        <v>3.8569999999999998E-3</v>
      </c>
      <c r="I11" s="1179">
        <v>0.103675</v>
      </c>
      <c r="J11" s="1179">
        <v>1.4394</v>
      </c>
      <c r="K11" s="1179">
        <v>3.5150000452995296</v>
      </c>
      <c r="L11" s="1179">
        <v>0.85539280000000006</v>
      </c>
      <c r="M11" s="1179">
        <v>1.0253682</v>
      </c>
      <c r="N11" s="1179">
        <v>1.0253682</v>
      </c>
      <c r="O11" s="1179">
        <v>43.936958999999995</v>
      </c>
      <c r="P11" s="1183">
        <f>'End use TOTE - MGO Vessel'!Q49</f>
        <v>4.9917792814618736</v>
      </c>
      <c r="Q11" s="1184">
        <v>0.65739999999999998</v>
      </c>
      <c r="R11" s="1179">
        <v>0.54730000000000001</v>
      </c>
      <c r="S11" s="1179">
        <v>0.75219999999999998</v>
      </c>
      <c r="T11" s="1179">
        <v>43.936958999999995</v>
      </c>
      <c r="U11" s="1179">
        <v>0.65739999999999998</v>
      </c>
      <c r="V11" s="1179">
        <v>30.565776699999997</v>
      </c>
      <c r="W11" s="1179">
        <v>5.2558000000000007</v>
      </c>
      <c r="X11" s="1179">
        <v>1.0342528</v>
      </c>
      <c r="Y11" s="1179">
        <v>0.56007118415832513</v>
      </c>
      <c r="Z11" s="1179">
        <v>0.8719539999999999</v>
      </c>
      <c r="AA11" s="1179">
        <v>3.1566730000000001</v>
      </c>
      <c r="AB11" s="1179">
        <v>0.10840663893134148</v>
      </c>
      <c r="AC11" s="1180">
        <v>7.214303573223986E-2</v>
      </c>
      <c r="AD11" s="1180">
        <v>7.214303573223986E-2</v>
      </c>
      <c r="AE11" s="1180">
        <v>0.57865500000000003</v>
      </c>
      <c r="AF11" s="1179">
        <v>0.57865500000000003</v>
      </c>
      <c r="AG11" s="1180">
        <v>0.28686975068526033</v>
      </c>
      <c r="AH11" s="1180">
        <v>0.61677000000000004</v>
      </c>
      <c r="AI11" s="1180">
        <v>0.61677000000000004</v>
      </c>
      <c r="AJ11" s="1180">
        <v>0.57865500000000003</v>
      </c>
      <c r="AK11" s="1181">
        <f>'End use TOTE - LNG Vessel'!Q50</f>
        <v>0.53464661676617642</v>
      </c>
      <c r="AL11" s="1182">
        <v>2.5012950512424892</v>
      </c>
    </row>
    <row r="12" spans="3:39" s="177" customFormat="1">
      <c r="C12" s="234" t="s">
        <v>255</v>
      </c>
      <c r="D12" s="1179">
        <v>1.5009959999999998</v>
      </c>
      <c r="E12" s="1179">
        <v>1.5009959999999998</v>
      </c>
      <c r="F12" s="1179">
        <v>1.5009959999999998</v>
      </c>
      <c r="G12" s="1179">
        <v>2.431</v>
      </c>
      <c r="H12" s="1179">
        <v>9.0440000000000006E-2</v>
      </c>
      <c r="I12" s="1179">
        <v>2.431</v>
      </c>
      <c r="J12" s="1179">
        <v>3.0803159999999998</v>
      </c>
      <c r="K12" s="1179">
        <v>0.18500000238418576</v>
      </c>
      <c r="L12" s="1179">
        <v>0.59364800000000006</v>
      </c>
      <c r="M12" s="1179">
        <v>0.71161199999999991</v>
      </c>
      <c r="N12" s="1179">
        <v>0.71161199999999991</v>
      </c>
      <c r="O12" s="1179">
        <v>9.7817830000000008</v>
      </c>
      <c r="P12" s="1183">
        <f>'End use TOTE - MGO Vessel'!R49</f>
        <v>10.68240766232841</v>
      </c>
      <c r="Q12" s="1184">
        <v>1.6435</v>
      </c>
      <c r="R12" s="1179">
        <v>1.36825</v>
      </c>
      <c r="S12" s="1179">
        <v>1.8805000000000001</v>
      </c>
      <c r="T12" s="1179">
        <v>9.7817830000000008</v>
      </c>
      <c r="U12" s="1179">
        <v>1.6435</v>
      </c>
      <c r="V12" s="1179">
        <v>18.947524099999999</v>
      </c>
      <c r="W12" s="1179">
        <v>16.818560000000002</v>
      </c>
      <c r="X12" s="1179">
        <v>6.5705472000000009</v>
      </c>
      <c r="Y12" s="1179">
        <v>0.40556878852844241</v>
      </c>
      <c r="Z12" s="1179">
        <v>1.6425179999999997</v>
      </c>
      <c r="AA12" s="1179">
        <v>5.9462909999999995</v>
      </c>
      <c r="AB12" s="1179">
        <v>0.20420785473113159</v>
      </c>
      <c r="AC12" s="1180">
        <v>0.12543061774327594</v>
      </c>
      <c r="AD12" s="1180">
        <v>0.12543061774327594</v>
      </c>
      <c r="AE12" s="1180">
        <v>1.5009959999999998</v>
      </c>
      <c r="AF12" s="1179">
        <v>1.5009959999999998</v>
      </c>
      <c r="AG12" s="1180">
        <v>0.52145160188314055</v>
      </c>
      <c r="AH12" s="1180">
        <v>1.5998639999999997</v>
      </c>
      <c r="AI12" s="1180">
        <v>1.5998639999999997</v>
      </c>
      <c r="AJ12" s="1180">
        <v>1.5009959999999998</v>
      </c>
      <c r="AK12" s="1181">
        <f>'End use TOTE - LNG Vessel'!R50</f>
        <v>1.1441437598796169</v>
      </c>
      <c r="AL12" s="1182">
        <v>6.503367133230471</v>
      </c>
    </row>
    <row r="13" spans="3:39" s="177" customFormat="1">
      <c r="C13" s="175" t="s">
        <v>110</v>
      </c>
      <c r="D13" s="1179">
        <v>1.06</v>
      </c>
      <c r="E13" s="1179">
        <v>1.06</v>
      </c>
      <c r="F13" s="1179">
        <v>1.06</v>
      </c>
      <c r="G13" s="1179">
        <v>1.056</v>
      </c>
      <c r="H13" s="1179">
        <v>1.1419999999999999</v>
      </c>
      <c r="I13" s="1179">
        <v>1.056</v>
      </c>
      <c r="J13" s="1179">
        <v>392.35399999999998</v>
      </c>
      <c r="K13" s="1179">
        <v>49</v>
      </c>
      <c r="L13" s="1179">
        <v>3.1819999999999999</v>
      </c>
      <c r="M13" s="1179">
        <v>3.2309999999999999</v>
      </c>
      <c r="N13" s="1179">
        <v>1.5349999999999999</v>
      </c>
      <c r="O13" s="1179">
        <v>4.2210000000000001</v>
      </c>
      <c r="P13" s="1183">
        <f>'End use TOTE - MGO Vessel'!N49</f>
        <v>1.2015042004108141</v>
      </c>
      <c r="Q13" s="1179">
        <v>3.024</v>
      </c>
      <c r="R13" s="1179">
        <v>0.19800000000000001</v>
      </c>
      <c r="S13" s="1179">
        <v>0.76300000000000001</v>
      </c>
      <c r="T13" s="1179">
        <v>4.2210000000000001</v>
      </c>
      <c r="U13" s="1179">
        <v>3.024</v>
      </c>
      <c r="V13" s="1179">
        <v>0.62999999523162842</v>
      </c>
      <c r="W13" s="1179">
        <v>3</v>
      </c>
      <c r="X13" s="1179">
        <v>3.5749998897021387</v>
      </c>
      <c r="Y13" s="1179">
        <v>0.36000001430511475</v>
      </c>
      <c r="Z13" s="1179">
        <v>1.0580000000000001</v>
      </c>
      <c r="AA13" s="1179">
        <v>1.0499999999999996</v>
      </c>
      <c r="AB13" s="1179">
        <v>1.246</v>
      </c>
      <c r="AC13" s="1180">
        <v>4.7499816359937208</v>
      </c>
      <c r="AD13" s="1180">
        <v>4.7499816359937208</v>
      </c>
      <c r="AE13" s="1180">
        <v>1.06</v>
      </c>
      <c r="AF13" s="1324">
        <v>1.06</v>
      </c>
      <c r="AG13" s="1180">
        <v>309.76673694124082</v>
      </c>
      <c r="AH13" s="1180">
        <v>1.0680000000000001</v>
      </c>
      <c r="AI13" s="1180">
        <v>1.0680000000000001</v>
      </c>
      <c r="AJ13" s="1180">
        <v>1.06</v>
      </c>
      <c r="AK13" s="1181">
        <f>'End use TOTE - LNG Vessel'!N50</f>
        <v>637.29196452357257</v>
      </c>
      <c r="AL13" s="1182">
        <v>91.619997024536133</v>
      </c>
    </row>
    <row r="14" spans="3:39" s="177" customFormat="1">
      <c r="C14" s="175" t="s">
        <v>113</v>
      </c>
      <c r="D14" s="1179">
        <v>0.75</v>
      </c>
      <c r="E14" s="1179">
        <v>0.35</v>
      </c>
      <c r="F14" s="1179">
        <v>0.35</v>
      </c>
      <c r="G14" s="1179">
        <v>0.10199999999999999</v>
      </c>
      <c r="H14" s="1179">
        <v>0.11899999999999999</v>
      </c>
      <c r="I14" s="1179">
        <v>0.10199999999999999</v>
      </c>
      <c r="J14" s="1179">
        <v>0.111</v>
      </c>
      <c r="K14" s="1179">
        <v>1.1000000238418579</v>
      </c>
      <c r="L14" s="1179">
        <v>0.63800000000000001</v>
      </c>
      <c r="M14" s="1179">
        <v>1.712</v>
      </c>
      <c r="N14" s="1179">
        <v>1.712</v>
      </c>
      <c r="O14" s="1179">
        <v>0.6</v>
      </c>
      <c r="P14" s="1183">
        <f>'End use TOTE - MGO Vessel'!M49</f>
        <v>3.5234018902438509</v>
      </c>
      <c r="Q14" s="1179">
        <v>0.60299999999999998</v>
      </c>
      <c r="R14" s="1179">
        <v>0.91800000000000004</v>
      </c>
      <c r="S14" s="1179">
        <v>0.91800000000000004</v>
      </c>
      <c r="T14" s="1179">
        <v>0.6</v>
      </c>
      <c r="U14" s="1179">
        <v>0.60299999999999998</v>
      </c>
      <c r="V14" s="1179">
        <v>0.92000001668930043</v>
      </c>
      <c r="W14" s="1179">
        <v>0.6</v>
      </c>
      <c r="X14" s="1179">
        <v>1.1039999723434448</v>
      </c>
      <c r="Y14" s="1179">
        <v>2</v>
      </c>
      <c r="Z14" s="1179">
        <v>1.5860000000000001</v>
      </c>
      <c r="AA14" s="1179">
        <v>1.5809999999999997</v>
      </c>
      <c r="AB14" s="1179">
        <v>0.85699999999999998</v>
      </c>
      <c r="AC14" s="1180">
        <v>0.17522813503592519</v>
      </c>
      <c r="AD14" s="1180">
        <v>0.17522813503592519</v>
      </c>
      <c r="AE14" s="1180">
        <v>0.75</v>
      </c>
      <c r="AF14" s="1179">
        <v>0.75</v>
      </c>
      <c r="AG14" s="1180">
        <v>3.2506528037593428E-2</v>
      </c>
      <c r="AH14" s="1180">
        <v>4.806</v>
      </c>
      <c r="AI14" s="1180">
        <v>4.806</v>
      </c>
      <c r="AJ14" s="1180">
        <v>0.35</v>
      </c>
      <c r="AK14" s="1181">
        <f>'End use TOTE - LNG Vessel'!M50</f>
        <v>3.7482998832381398</v>
      </c>
      <c r="AL14" s="1182">
        <v>2</v>
      </c>
    </row>
    <row r="15" spans="3:39" s="250" customFormat="1">
      <c r="C15" s="249" t="s">
        <v>107</v>
      </c>
      <c r="D15" s="1185">
        <v>59366.949503269869</v>
      </c>
      <c r="E15" s="1785">
        <v>59263.94512586038</v>
      </c>
      <c r="F15" s="1785">
        <v>58639.945125860373</v>
      </c>
      <c r="G15" s="1185">
        <v>59341.609065174642</v>
      </c>
      <c r="H15" s="1186">
        <v>59385.872043746065</v>
      </c>
      <c r="I15" s="1185">
        <v>59341.609065174642</v>
      </c>
      <c r="J15" s="1186">
        <v>56808.789660412731</v>
      </c>
      <c r="K15" s="1185">
        <v>59229.283455650831</v>
      </c>
      <c r="L15" s="1186">
        <v>85040.498287440714</v>
      </c>
      <c r="M15" s="1185">
        <v>85012.926813631188</v>
      </c>
      <c r="N15" s="1186">
        <v>85040.247304107383</v>
      </c>
      <c r="O15" s="1185">
        <v>84030.8691279169</v>
      </c>
      <c r="P15" s="1187">
        <f>P16-P6*CO2_MW/CO_MW-P5*44/14</f>
        <v>77725.031665706381</v>
      </c>
      <c r="Q15" s="1186">
        <v>85069.659261250243</v>
      </c>
      <c r="R15" s="1185">
        <v>78163.223975801229</v>
      </c>
      <c r="S15" s="1186">
        <v>78153.745013896463</v>
      </c>
      <c r="T15" s="1185">
        <v>77148.691147229794</v>
      </c>
      <c r="U15" s="1186">
        <v>78187.481280563123</v>
      </c>
      <c r="V15" s="1185">
        <v>77452.243690100047</v>
      </c>
      <c r="W15" s="1186">
        <v>72576.771959343969</v>
      </c>
      <c r="X15" s="1185">
        <v>65371.378447742522</v>
      </c>
      <c r="Y15" s="1186">
        <v>77264.397841775266</v>
      </c>
      <c r="Z15" s="1186">
        <v>100017.06454396401</v>
      </c>
      <c r="AA15" s="1185">
        <v>100037.36601301163</v>
      </c>
      <c r="AB15" s="1186">
        <v>100001.60646895067</v>
      </c>
      <c r="AC15" s="1188">
        <v>78076.628023884026</v>
      </c>
      <c r="AD15" s="1188">
        <v>78076.628023884026</v>
      </c>
      <c r="AE15" s="1188">
        <v>57408.917611482888</v>
      </c>
      <c r="AF15" s="1185">
        <f>Input!E90</f>
        <v>68662.016739283121</v>
      </c>
      <c r="AG15" s="1188">
        <v>55095.853780569305</v>
      </c>
      <c r="AH15" s="1188">
        <v>68039.647796249905</v>
      </c>
      <c r="AI15" s="1188">
        <f>Input!F90</f>
        <v>68754.583567659967</v>
      </c>
      <c r="AJ15" s="1188">
        <v>58261.065125859473</v>
      </c>
      <c r="AK15" s="1188">
        <f>'End use TOTE - LNG Vessel'!L50</f>
        <v>56577.202465096962</v>
      </c>
      <c r="AL15" s="1189">
        <v>57667.693203810624</v>
      </c>
    </row>
    <row r="16" spans="3:39" s="177" customFormat="1" ht="12.75">
      <c r="C16" s="820" t="s">
        <v>282</v>
      </c>
      <c r="D16" s="247">
        <f t="shared" ref="D16:AB16" si="0">D15+D5*VOC_C_Ratio/CO2_C_Ratio+D6*CO_C_Ratio/CO2_C_Ratio</f>
        <v>59409.753090572827</v>
      </c>
      <c r="E16" s="247">
        <f>E15+E5*VOC_C_Ratio/CO2_C_Ratio+E6*CO_C_Ratio/CO2_C_Ratio</f>
        <v>59311.085000000909</v>
      </c>
      <c r="F16" s="247">
        <f>F15+F5*VOC_C_Ratio/CO2_C_Ratio+F6*CO_C_Ratio/CO2_C_Ratio</f>
        <v>58687.085000000901</v>
      </c>
      <c r="G16" s="247">
        <f t="shared" si="0"/>
        <v>59409.762431046023</v>
      </c>
      <c r="H16" s="247">
        <f t="shared" si="0"/>
        <v>59409.53649183159</v>
      </c>
      <c r="I16" s="247">
        <f t="shared" si="0"/>
        <v>59409.762431046023</v>
      </c>
      <c r="J16" s="247">
        <f t="shared" si="0"/>
        <v>58333.107375965192</v>
      </c>
      <c r="K16" s="247">
        <f t="shared" si="0"/>
        <v>59277.917029838813</v>
      </c>
      <c r="L16" s="247">
        <f t="shared" si="0"/>
        <v>85072.469270159694</v>
      </c>
      <c r="M16" s="247">
        <f t="shared" si="0"/>
        <v>85072.331773035592</v>
      </c>
      <c r="N16" s="247">
        <f t="shared" si="0"/>
        <v>85076.994056847921</v>
      </c>
      <c r="O16" s="247">
        <f>O15+O5*VOC_C_Ratio/CO2_C_Ratio+O6*CO_C_Ratio/CO2_C_Ratio</f>
        <v>85069.413453835921</v>
      </c>
      <c r="P16" s="1767">
        <f>P19-P13*CO2_GWP/CH4_GWP</f>
        <v>78127.03101023515</v>
      </c>
      <c r="Q16" s="247">
        <f t="shared" si="0"/>
        <v>85072.913565897761</v>
      </c>
      <c r="R16" s="247">
        <f t="shared" si="0"/>
        <v>78198.499542349702</v>
      </c>
      <c r="S16" s="247">
        <f t="shared" si="0"/>
        <v>78196.943324534033</v>
      </c>
      <c r="T16" s="247">
        <f t="shared" si="0"/>
        <v>78187.235473148816</v>
      </c>
      <c r="U16" s="247">
        <f t="shared" si="0"/>
        <v>78190.735585210641</v>
      </c>
      <c r="V16" s="247">
        <f t="shared" si="0"/>
        <v>78197.031243339661</v>
      </c>
      <c r="W16" s="247">
        <f t="shared" si="0"/>
        <v>76828.701207834427</v>
      </c>
      <c r="X16" s="247">
        <f t="shared" si="0"/>
        <v>76826.60972092404</v>
      </c>
      <c r="Y16" s="247">
        <f t="shared" si="0"/>
        <v>77304.249507123081</v>
      </c>
      <c r="Z16" s="247">
        <f t="shared" si="0"/>
        <v>100041.22824955724</v>
      </c>
      <c r="AA16" s="247">
        <f t="shared" si="0"/>
        <v>100041.25734604883</v>
      </c>
      <c r="AB16" s="247">
        <f t="shared" si="0"/>
        <v>100040.7106069178</v>
      </c>
      <c r="AC16" s="247">
        <f t="shared" ref="AC16:AJ16" si="1">AC15+AC5*VOC_C_Ratio/CO2_C_Ratio+AC6*CO_C_Ratio/CO2_C_Ratio</f>
        <v>78185.955459789518</v>
      </c>
      <c r="AD16" s="247">
        <f t="shared" si="1"/>
        <v>78185.955459789518</v>
      </c>
      <c r="AE16" s="247">
        <f t="shared" si="1"/>
        <v>57451.721198785846</v>
      </c>
      <c r="AF16" s="247">
        <f t="shared" si="1"/>
        <v>68704.820326586094</v>
      </c>
      <c r="AG16" s="247">
        <f t="shared" si="1"/>
        <v>57459.341473411587</v>
      </c>
      <c r="AH16" s="247">
        <f t="shared" si="1"/>
        <v>68058.497560929056</v>
      </c>
      <c r="AI16" s="247">
        <f t="shared" si="1"/>
        <v>68773.433332339118</v>
      </c>
      <c r="AJ16" s="247">
        <f t="shared" si="1"/>
        <v>58308.205000000002</v>
      </c>
      <c r="AK16" s="825">
        <f>Fuel_Specs!K25-AK13*CO2_MW/CH4_MW</f>
        <v>56941.901158484929</v>
      </c>
      <c r="AL16" s="248">
        <f t="shared" ref="AL16" si="2">AL15+AL5*VOC_C_Ratio/CO2_C_Ratio+AL6*CO_C_Ratio/CO2_C_Ratio</f>
        <v>58059.165008182528</v>
      </c>
    </row>
    <row r="17" spans="3:37">
      <c r="C17" s="235" t="s">
        <v>256</v>
      </c>
    </row>
    <row r="18" spans="3:37">
      <c r="C18" s="1540" t="s">
        <v>1574</v>
      </c>
      <c r="E18">
        <f>E16+E13*44/16</f>
        <v>59314.000000000909</v>
      </c>
      <c r="F18">
        <f>F16+F13*44/16</f>
        <v>58690.000000000902</v>
      </c>
      <c r="G18">
        <f t="shared" ref="G18:V18" si="3">G16+G13*44/16</f>
        <v>59412.666431046026</v>
      </c>
      <c r="H18">
        <f t="shared" si="3"/>
        <v>59412.676991831591</v>
      </c>
      <c r="I18">
        <f t="shared" si="3"/>
        <v>59412.666431046026</v>
      </c>
      <c r="J18">
        <f t="shared" si="3"/>
        <v>59412.080875965192</v>
      </c>
      <c r="K18">
        <f t="shared" si="3"/>
        <v>59412.667029838813</v>
      </c>
      <c r="L18">
        <f t="shared" si="3"/>
        <v>85081.219770159689</v>
      </c>
      <c r="M18">
        <f t="shared" si="3"/>
        <v>85081.217023035599</v>
      </c>
      <c r="N18">
        <f t="shared" si="3"/>
        <v>85081.215306847924</v>
      </c>
      <c r="O18">
        <f t="shared" si="3"/>
        <v>85081.021203835917</v>
      </c>
      <c r="P18">
        <f t="shared" si="3"/>
        <v>78130.335146786281</v>
      </c>
      <c r="Q18">
        <f t="shared" si="3"/>
        <v>85081.229565897767</v>
      </c>
      <c r="R18">
        <f t="shared" si="3"/>
        <v>78199.044042349706</v>
      </c>
      <c r="S18">
        <f t="shared" si="3"/>
        <v>78199.041574534029</v>
      </c>
      <c r="T18">
        <f t="shared" si="3"/>
        <v>78198.843223148811</v>
      </c>
      <c r="U18">
        <f t="shared" si="3"/>
        <v>78199.051585210647</v>
      </c>
      <c r="V18">
        <f t="shared" si="3"/>
        <v>78198.763743326548</v>
      </c>
      <c r="AJ18" s="1347">
        <f>AJ16+AJ13*CO2_MW/CH4_MW</f>
        <v>58311.11228225907</v>
      </c>
      <c r="AK18" s="1347">
        <f>AK16+AK13*CO2_MW/CH4_MW</f>
        <v>58689.814009718146</v>
      </c>
    </row>
    <row r="19" spans="3:37">
      <c r="P19">
        <f>Fuel_Specs!J13</f>
        <v>78127.079070403168</v>
      </c>
    </row>
    <row r="20" spans="3:37">
      <c r="D20">
        <v>9.7260273972602729</v>
      </c>
      <c r="E20" s="1784">
        <f>Fuel_Specs!J47</f>
        <v>59314.42451937154</v>
      </c>
      <c r="F20" s="1793">
        <f>Fuel_Specs!$K$25</f>
        <v>58689.814009718146</v>
      </c>
      <c r="AK20" s="1542">
        <f>Fuel_Specs!$K$25</f>
        <v>58689.814009718146</v>
      </c>
    </row>
    <row r="21" spans="3:37">
      <c r="D21">
        <v>5.8873099129972566</v>
      </c>
    </row>
    <row r="23" spans="3:37">
      <c r="D23">
        <v>1.7749999999999999</v>
      </c>
    </row>
    <row r="24" spans="3:37">
      <c r="D24">
        <v>1.7749999999999999</v>
      </c>
    </row>
    <row r="26" spans="3:37">
      <c r="D26">
        <v>3.55</v>
      </c>
    </row>
    <row r="27" spans="3:37">
      <c r="D27">
        <v>1.9339813064195988</v>
      </c>
    </row>
    <row r="29" spans="3:37">
      <c r="D29">
        <v>37.931506849315021</v>
      </c>
    </row>
    <row r="30" spans="3:37">
      <c r="D30">
        <v>0.68352524110233093</v>
      </c>
    </row>
    <row r="31" spans="3:37">
      <c r="D31">
        <v>23.467699944513363</v>
      </c>
    </row>
    <row r="33" spans="4:4">
      <c r="D33">
        <v>1.7749999999999999</v>
      </c>
    </row>
    <row r="34" spans="4:4">
      <c r="D34">
        <v>3.1985476025942448E-2</v>
      </c>
    </row>
    <row r="35" spans="4:4">
      <c r="D35">
        <v>1.0981680102240239</v>
      </c>
    </row>
    <row r="37" spans="4:4">
      <c r="D37">
        <v>122.742315</v>
      </c>
    </row>
    <row r="38" spans="4:4">
      <c r="D38">
        <v>2.2060289938879984</v>
      </c>
    </row>
    <row r="39" spans="4:4">
      <c r="D39">
        <v>75.740328790154621</v>
      </c>
    </row>
  </sheetData>
  <mergeCells count="4">
    <mergeCell ref="Z3:AB3"/>
    <mergeCell ref="D3:K3"/>
    <mergeCell ref="R3:V3"/>
    <mergeCell ref="W3:X3"/>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114"/>
  <sheetViews>
    <sheetView topLeftCell="A61" zoomScaleNormal="100" zoomScalePageLayoutView="70" workbookViewId="0">
      <selection activeCell="B2" sqref="B2:B3"/>
    </sheetView>
  </sheetViews>
  <sheetFormatPr defaultColWidth="9.140625" defaultRowHeight="15"/>
  <cols>
    <col min="1" max="1" width="0.7109375" style="568" customWidth="1"/>
    <col min="2" max="2" width="20.42578125" style="568" bestFit="1" customWidth="1"/>
    <col min="3" max="3" width="11" style="568" bestFit="1" customWidth="1"/>
    <col min="4" max="4" width="25.28515625" style="568" customWidth="1"/>
    <col min="5" max="5" width="11.140625" style="568" customWidth="1"/>
    <col min="6" max="12" width="9.140625" style="568"/>
    <col min="13" max="13" width="8.7109375" style="568" customWidth="1"/>
    <col min="14" max="14" width="21.42578125" style="568" customWidth="1"/>
    <col min="15" max="15" width="11.5703125" style="568" customWidth="1"/>
    <col min="16" max="16" width="28.28515625" style="568" customWidth="1"/>
    <col min="17" max="17" width="12.7109375" style="568" customWidth="1"/>
    <col min="18" max="18" width="16" style="568" customWidth="1"/>
    <col min="19" max="19" width="16.140625" style="568" customWidth="1"/>
    <col min="20" max="20" width="7.140625" style="568" customWidth="1"/>
    <col min="21" max="21" width="18.5703125" style="568" customWidth="1"/>
    <col min="22" max="16384" width="9.140625" style="568"/>
  </cols>
  <sheetData>
    <row r="1" spans="2:22" ht="23.25">
      <c r="B1" s="577" t="s">
        <v>857</v>
      </c>
      <c r="H1" s="569"/>
      <c r="I1" s="569"/>
      <c r="J1" s="569"/>
      <c r="K1" s="569"/>
      <c r="L1" s="569"/>
      <c r="M1" s="569"/>
      <c r="N1" s="569"/>
      <c r="O1" s="569"/>
      <c r="P1" s="569"/>
      <c r="Q1" s="569"/>
      <c r="R1" s="569"/>
    </row>
    <row r="2" spans="2:22" ht="15.75">
      <c r="B2" s="578" t="s">
        <v>1740</v>
      </c>
    </row>
    <row r="3" spans="2:22">
      <c r="B3" s="568" t="s">
        <v>1085</v>
      </c>
    </row>
    <row r="4" spans="2:22">
      <c r="B4" s="1980" t="s">
        <v>1090</v>
      </c>
      <c r="C4" s="1981"/>
      <c r="D4" s="1981"/>
      <c r="E4" s="1981"/>
      <c r="F4" s="1981"/>
      <c r="G4" s="1981"/>
      <c r="H4" s="1981"/>
      <c r="I4" s="1981"/>
      <c r="J4" s="1981"/>
      <c r="K4" s="1981"/>
      <c r="L4" s="1981"/>
      <c r="M4" s="1981"/>
      <c r="N4" s="1981"/>
      <c r="O4" s="1981"/>
      <c r="P4" s="1981"/>
      <c r="Q4" s="1981"/>
      <c r="R4" s="1981"/>
    </row>
    <row r="5" spans="2:22">
      <c r="B5" s="1052"/>
      <c r="C5" s="1053"/>
      <c r="D5" s="1053"/>
      <c r="E5" s="1053"/>
      <c r="F5" s="1053"/>
      <c r="G5" s="1053"/>
      <c r="H5" s="1053"/>
      <c r="I5" s="1053"/>
      <c r="J5" s="1053"/>
      <c r="K5" s="1053"/>
      <c r="L5" s="1053"/>
      <c r="M5" s="1053"/>
      <c r="N5" s="1053"/>
      <c r="O5" s="1053"/>
      <c r="P5" s="1053"/>
      <c r="Q5" s="1053"/>
      <c r="R5" s="1053"/>
    </row>
    <row r="6" spans="2:22">
      <c r="B6" s="580" t="s">
        <v>1559</v>
      </c>
      <c r="N6" s="580" t="s">
        <v>1563</v>
      </c>
    </row>
    <row r="7" spans="2:22" ht="33.75" customHeight="1" thickBot="1">
      <c r="B7" s="1090" t="s">
        <v>858</v>
      </c>
      <c r="C7" s="631" t="s">
        <v>859</v>
      </c>
      <c r="D7" s="631" t="s">
        <v>860</v>
      </c>
      <c r="E7" s="631" t="s">
        <v>861</v>
      </c>
      <c r="F7" s="631" t="s">
        <v>116</v>
      </c>
      <c r="G7" s="631" t="s">
        <v>862</v>
      </c>
      <c r="H7" s="631" t="s">
        <v>863</v>
      </c>
      <c r="I7" s="631" t="s">
        <v>864</v>
      </c>
      <c r="J7" s="631" t="s">
        <v>865</v>
      </c>
      <c r="K7" s="631" t="s">
        <v>866</v>
      </c>
      <c r="L7" s="583"/>
      <c r="N7" s="631" t="s">
        <v>867</v>
      </c>
      <c r="O7" s="631" t="s">
        <v>859</v>
      </c>
      <c r="P7" s="631" t="s">
        <v>860</v>
      </c>
      <c r="Q7" s="631" t="s">
        <v>1607</v>
      </c>
      <c r="R7" s="631" t="s">
        <v>869</v>
      </c>
      <c r="S7" s="631" t="s">
        <v>870</v>
      </c>
      <c r="T7" s="631" t="s">
        <v>1608</v>
      </c>
      <c r="U7" s="568" t="s">
        <v>1566</v>
      </c>
    </row>
    <row r="8" spans="2:22" ht="15.75" thickTop="1">
      <c r="B8" s="568" t="s">
        <v>871</v>
      </c>
      <c r="C8" s="568" t="s">
        <v>872</v>
      </c>
      <c r="D8" s="1086" t="str">
        <f>B8&amp;" "&amp;C8</f>
        <v>Slow speed diesel  &lt; 1999</v>
      </c>
      <c r="E8" s="1086">
        <v>17</v>
      </c>
      <c r="F8" s="1086">
        <v>0.6</v>
      </c>
      <c r="G8" s="1086">
        <v>1.4</v>
      </c>
      <c r="H8" s="1086">
        <v>0.38</v>
      </c>
      <c r="I8" s="1086">
        <v>0.24</v>
      </c>
      <c r="J8" s="1086">
        <v>0.23</v>
      </c>
      <c r="K8" s="1086">
        <v>0.24</v>
      </c>
      <c r="N8" s="568" t="s">
        <v>871</v>
      </c>
      <c r="O8" s="568" t="s">
        <v>872</v>
      </c>
      <c r="P8" s="1086" t="str">
        <f>N8&amp;" "&amp;O8</f>
        <v>Slow speed diesel  &lt; 1999</v>
      </c>
      <c r="Q8" s="1086">
        <v>589</v>
      </c>
      <c r="R8" s="1087">
        <v>3.1E-2</v>
      </c>
      <c r="S8" s="1087">
        <v>1.2E-2</v>
      </c>
      <c r="T8" s="574">
        <f t="shared" ref="T8:T16" si="0">Q8+S8*44/CH4_MW</f>
        <v>589.03291360179526</v>
      </c>
    </row>
    <row r="9" spans="2:22">
      <c r="B9" s="568" t="s">
        <v>873</v>
      </c>
      <c r="C9" s="568" t="s">
        <v>872</v>
      </c>
      <c r="D9" s="1086" t="str">
        <f t="shared" ref="D9:D17" si="1">B9&amp;" "&amp;C9</f>
        <v>Medium speed diesel  &lt; 1999</v>
      </c>
      <c r="E9" s="1086">
        <v>13.2</v>
      </c>
      <c r="F9" s="1086">
        <v>0.5</v>
      </c>
      <c r="G9" s="1086">
        <v>1.1000000000000001</v>
      </c>
      <c r="H9" s="1086">
        <v>0.42</v>
      </c>
      <c r="I9" s="1086">
        <v>0.24</v>
      </c>
      <c r="J9" s="1086">
        <v>0.23</v>
      </c>
      <c r="K9" s="1086">
        <v>0.24</v>
      </c>
      <c r="N9" s="568" t="s">
        <v>873</v>
      </c>
      <c r="O9" s="568" t="s">
        <v>872</v>
      </c>
      <c r="P9" s="1086" t="str">
        <f t="shared" ref="P9:P17" si="2">N9&amp;" "&amp;O9</f>
        <v>Medium speed diesel  &lt; 1999</v>
      </c>
      <c r="Q9" s="1086">
        <v>648</v>
      </c>
      <c r="R9" s="1087">
        <v>3.1E-2</v>
      </c>
      <c r="S9" s="1087">
        <v>0.01</v>
      </c>
      <c r="T9" s="574">
        <f t="shared" si="0"/>
        <v>648.02742800149611</v>
      </c>
    </row>
    <row r="10" spans="2:22">
      <c r="B10" s="568" t="s">
        <v>871</v>
      </c>
      <c r="C10" s="568" t="s">
        <v>874</v>
      </c>
      <c r="D10" s="1086" t="str">
        <f t="shared" si="1"/>
        <v>Slow speed diesel  2000 - 2010</v>
      </c>
      <c r="E10" s="1086">
        <v>16</v>
      </c>
      <c r="F10" s="1086">
        <v>0.6</v>
      </c>
      <c r="G10" s="1086">
        <v>1.4</v>
      </c>
      <c r="H10" s="1086">
        <v>0.38</v>
      </c>
      <c r="I10" s="1086">
        <v>0.24</v>
      </c>
      <c r="J10" s="1086">
        <v>0.23</v>
      </c>
      <c r="K10" s="1086">
        <v>0.24</v>
      </c>
      <c r="N10" s="568" t="s">
        <v>871</v>
      </c>
      <c r="O10" s="568" t="s">
        <v>874</v>
      </c>
      <c r="P10" s="1086" t="str">
        <f t="shared" si="2"/>
        <v>Slow speed diesel  2000 - 2010</v>
      </c>
      <c r="Q10" s="1086">
        <v>589</v>
      </c>
      <c r="R10" s="1087">
        <v>3.1E-2</v>
      </c>
      <c r="S10" s="1087">
        <v>1.2E-2</v>
      </c>
      <c r="T10" s="574">
        <f t="shared" si="0"/>
        <v>589.03291360179526</v>
      </c>
    </row>
    <row r="11" spans="2:22">
      <c r="B11" s="568" t="s">
        <v>873</v>
      </c>
      <c r="C11" s="568" t="s">
        <v>874</v>
      </c>
      <c r="D11" s="1086" t="str">
        <f t="shared" si="1"/>
        <v>Medium speed diesel  2000 - 2010</v>
      </c>
      <c r="E11" s="1086">
        <v>12.2</v>
      </c>
      <c r="F11" s="1086">
        <v>0.5</v>
      </c>
      <c r="G11" s="1086">
        <v>1.1000000000000001</v>
      </c>
      <c r="H11" s="1086">
        <v>0.42</v>
      </c>
      <c r="I11" s="1086">
        <v>0.24</v>
      </c>
      <c r="J11" s="1086">
        <v>0.23</v>
      </c>
      <c r="K11" s="1086">
        <v>0.24</v>
      </c>
      <c r="N11" s="568" t="s">
        <v>873</v>
      </c>
      <c r="O11" s="568" t="s">
        <v>874</v>
      </c>
      <c r="P11" s="1086" t="str">
        <f t="shared" si="2"/>
        <v>Medium speed diesel  2000 - 2010</v>
      </c>
      <c r="Q11" s="1086">
        <v>648</v>
      </c>
      <c r="R11" s="1087">
        <v>3.1E-2</v>
      </c>
      <c r="S11" s="1087">
        <v>0.01</v>
      </c>
      <c r="T11" s="574">
        <f t="shared" si="0"/>
        <v>648.02742800149611</v>
      </c>
    </row>
    <row r="12" spans="2:22">
      <c r="B12" s="568" t="s">
        <v>871</v>
      </c>
      <c r="C12" s="568" t="s">
        <v>875</v>
      </c>
      <c r="D12" s="1086" t="str">
        <f t="shared" si="1"/>
        <v>Slow speed diesel  2011 - 2015</v>
      </c>
      <c r="E12" s="1086">
        <v>14.4</v>
      </c>
      <c r="F12" s="1086">
        <v>0.6</v>
      </c>
      <c r="G12" s="1086">
        <v>1.4</v>
      </c>
      <c r="H12" s="1086">
        <v>0.38</v>
      </c>
      <c r="I12" s="1086">
        <v>0.24</v>
      </c>
      <c r="J12" s="1086">
        <v>0.23</v>
      </c>
      <c r="K12" s="1086">
        <v>0.24</v>
      </c>
      <c r="N12" s="568" t="s">
        <v>871</v>
      </c>
      <c r="O12" s="568" t="s">
        <v>875</v>
      </c>
      <c r="P12" s="1086" t="str">
        <f t="shared" si="2"/>
        <v>Slow speed diesel  2011 - 2015</v>
      </c>
      <c r="Q12" s="1086">
        <v>589</v>
      </c>
      <c r="R12" s="1087">
        <v>3.1E-2</v>
      </c>
      <c r="S12" s="1087">
        <v>1.2E-2</v>
      </c>
      <c r="T12" s="574">
        <f t="shared" si="0"/>
        <v>589.03291360179526</v>
      </c>
      <c r="V12" s="568" t="s">
        <v>1441</v>
      </c>
    </row>
    <row r="13" spans="2:22">
      <c r="B13" s="568" t="s">
        <v>873</v>
      </c>
      <c r="C13" s="568" t="s">
        <v>875</v>
      </c>
      <c r="D13" s="1086" t="str">
        <f t="shared" si="1"/>
        <v>Medium speed diesel  2011 - 2015</v>
      </c>
      <c r="E13" s="1086">
        <v>10.5</v>
      </c>
      <c r="F13" s="1086">
        <v>0.5</v>
      </c>
      <c r="G13" s="1086">
        <v>1.1000000000000001</v>
      </c>
      <c r="H13" s="1086">
        <v>0.42</v>
      </c>
      <c r="I13" s="1086">
        <v>0.24</v>
      </c>
      <c r="J13" s="1086">
        <v>0.23</v>
      </c>
      <c r="K13" s="1086">
        <v>0.24</v>
      </c>
      <c r="N13" s="1523" t="s">
        <v>873</v>
      </c>
      <c r="O13" s="1523" t="s">
        <v>875</v>
      </c>
      <c r="P13" s="1524" t="str">
        <f t="shared" si="2"/>
        <v>Medium speed diesel  2011 - 2015</v>
      </c>
      <c r="Q13" s="1524">
        <v>648</v>
      </c>
      <c r="R13" s="1087">
        <v>3.1E-2</v>
      </c>
      <c r="S13" s="1087">
        <v>0.01</v>
      </c>
      <c r="T13" s="574">
        <f t="shared" si="0"/>
        <v>648.02742800149611</v>
      </c>
      <c r="U13" s="568">
        <f>T13/Fuel_Specs!M13</f>
        <v>8.7511927619528755</v>
      </c>
    </row>
    <row r="14" spans="2:22">
      <c r="B14" s="568" t="s">
        <v>876</v>
      </c>
      <c r="C14" s="568" t="s">
        <v>877</v>
      </c>
      <c r="D14" s="1086" t="str">
        <f t="shared" si="1"/>
        <v>Lean Burn SI LNG All</v>
      </c>
      <c r="E14" s="1086">
        <v>0.9</v>
      </c>
      <c r="F14" s="1088">
        <f>S12*0.038</f>
        <v>4.5600000000000003E-4</v>
      </c>
      <c r="G14" s="1086">
        <v>1.7</v>
      </c>
      <c r="H14" s="1086">
        <v>0</v>
      </c>
      <c r="I14" s="1086">
        <f>I15</f>
        <v>0.02</v>
      </c>
      <c r="J14" s="1086">
        <f>J15</f>
        <v>0.02</v>
      </c>
      <c r="K14" s="1086">
        <f>K15</f>
        <v>0</v>
      </c>
      <c r="N14" s="568" t="s">
        <v>878</v>
      </c>
      <c r="O14" s="568" t="s">
        <v>877</v>
      </c>
      <c r="P14" s="1086" t="str">
        <f t="shared" si="2"/>
        <v>Gas turbine All</v>
      </c>
      <c r="Q14" s="1086">
        <v>922</v>
      </c>
      <c r="R14" s="1087">
        <v>0.08</v>
      </c>
      <c r="S14" s="1087">
        <v>2E-3</v>
      </c>
      <c r="T14" s="574">
        <f t="shared" si="0"/>
        <v>922.00548560029927</v>
      </c>
    </row>
    <row r="15" spans="2:22">
      <c r="B15" s="568" t="s">
        <v>879</v>
      </c>
      <c r="C15" s="568" t="s">
        <v>877</v>
      </c>
      <c r="D15" s="1086" t="str">
        <f t="shared" si="1"/>
        <v>Low Pressure DF LNG All</v>
      </c>
      <c r="E15" s="1088">
        <v>1.9</v>
      </c>
      <c r="F15" s="1088">
        <f>S13*0.038</f>
        <v>3.8000000000000002E-4</v>
      </c>
      <c r="G15" s="1086">
        <v>1.9</v>
      </c>
      <c r="H15" s="1089">
        <f>5%*H12*F100</f>
        <v>3.5150000000000003E-3</v>
      </c>
      <c r="I15" s="1086">
        <v>0.02</v>
      </c>
      <c r="J15" s="1086">
        <v>0.02</v>
      </c>
      <c r="K15" s="1086">
        <v>0</v>
      </c>
      <c r="N15" s="568" t="s">
        <v>880</v>
      </c>
      <c r="O15" s="568" t="s">
        <v>877</v>
      </c>
      <c r="P15" s="1086" t="str">
        <f t="shared" si="2"/>
        <v>Steamship All</v>
      </c>
      <c r="Q15" s="1086">
        <v>922</v>
      </c>
      <c r="R15" s="1087">
        <v>0.08</v>
      </c>
      <c r="S15" s="1087">
        <v>2E-3</v>
      </c>
      <c r="T15" s="574">
        <f t="shared" si="0"/>
        <v>922.00548560029927</v>
      </c>
    </row>
    <row r="16" spans="2:22">
      <c r="B16" s="568" t="s">
        <v>878</v>
      </c>
      <c r="C16" s="568" t="s">
        <v>881</v>
      </c>
      <c r="D16" s="1086" t="str">
        <f t="shared" si="1"/>
        <v>Gas turbine  All</v>
      </c>
      <c r="E16" s="1086">
        <v>6.1</v>
      </c>
      <c r="F16" s="1086">
        <v>0.1</v>
      </c>
      <c r="G16" s="1086">
        <v>0.2</v>
      </c>
      <c r="H16" s="1086">
        <v>0.6</v>
      </c>
      <c r="I16" s="1086">
        <v>0.1</v>
      </c>
      <c r="J16" s="1086">
        <v>0.04</v>
      </c>
      <c r="K16" s="1086">
        <v>0</v>
      </c>
      <c r="N16" s="568" t="s">
        <v>876</v>
      </c>
      <c r="O16" s="568" t="s">
        <v>877</v>
      </c>
      <c r="P16" s="1086" t="str">
        <f t="shared" si="2"/>
        <v>Lean Burn SI LNG All</v>
      </c>
      <c r="Q16" s="1086">
        <v>472</v>
      </c>
      <c r="R16" s="1087">
        <f>R13</f>
        <v>3.1E-2</v>
      </c>
      <c r="S16" s="1087">
        <v>4.0999999999999996</v>
      </c>
      <c r="T16" s="574">
        <f t="shared" si="0"/>
        <v>483.24548061338987</v>
      </c>
    </row>
    <row r="17" spans="2:22">
      <c r="B17" s="1067" t="s">
        <v>880</v>
      </c>
      <c r="C17" s="1067" t="s">
        <v>881</v>
      </c>
      <c r="D17" s="1091" t="str">
        <f t="shared" si="1"/>
        <v>Steamship  All</v>
      </c>
      <c r="E17" s="1091">
        <v>2.1</v>
      </c>
      <c r="F17" s="1091">
        <v>0.1</v>
      </c>
      <c r="G17" s="1091">
        <v>0.2</v>
      </c>
      <c r="H17" s="1091">
        <v>0.6</v>
      </c>
      <c r="I17" s="1091">
        <v>0.8</v>
      </c>
      <c r="J17" s="1091">
        <v>0.6</v>
      </c>
      <c r="K17" s="1091">
        <v>0</v>
      </c>
      <c r="N17" s="1525" t="s">
        <v>879</v>
      </c>
      <c r="O17" s="1525" t="s">
        <v>877</v>
      </c>
      <c r="P17" s="1526" t="str">
        <f t="shared" si="2"/>
        <v>Low Pressure DF LNG All</v>
      </c>
      <c r="Q17" s="1527">
        <f>T17-S17*CO2_MW/CH4_MW</f>
        <v>472.26803186489241</v>
      </c>
      <c r="R17" s="1092">
        <f>R13</f>
        <v>3.1E-2</v>
      </c>
      <c r="S17" s="1092">
        <f>Input!$H$29</f>
        <v>5.3</v>
      </c>
      <c r="T17" s="574">
        <f>U17*Fuel_Specs!M25</f>
        <v>486.8044431602421</v>
      </c>
      <c r="U17" s="568">
        <f>U13</f>
        <v>8.7511927619528755</v>
      </c>
      <c r="V17" s="568">
        <f>U17/U13</f>
        <v>1</v>
      </c>
    </row>
    <row r="18" spans="2:22">
      <c r="D18" s="1086"/>
      <c r="E18" s="1086"/>
      <c r="F18" s="1086"/>
      <c r="G18" s="1086"/>
      <c r="H18" s="1086"/>
      <c r="I18" s="1086"/>
      <c r="J18" s="1086"/>
      <c r="K18" s="1086"/>
      <c r="N18" s="1525" t="s">
        <v>1568</v>
      </c>
      <c r="O18" s="1525" t="s">
        <v>877</v>
      </c>
      <c r="P18" s="1526" t="str">
        <f t="shared" ref="P18" si="3">N18&amp;" "&amp;O18</f>
        <v>LNG, prior assumption All</v>
      </c>
      <c r="Q18" s="1526">
        <v>444</v>
      </c>
      <c r="R18" s="1092">
        <f>R14</f>
        <v>0.08</v>
      </c>
      <c r="S18" s="1092">
        <f>Input!$H$29</f>
        <v>5.3</v>
      </c>
      <c r="T18" s="574">
        <f>Q18+S18*44/CH4_MW</f>
        <v>458.53684079291861</v>
      </c>
      <c r="U18" s="568">
        <f>T18/Fuel_Specs!M26</f>
        <v>6.9256447165248094</v>
      </c>
      <c r="V18" s="568">
        <f>U13/U18</f>
        <v>1.2635925058460262</v>
      </c>
    </row>
    <row r="19" spans="2:22">
      <c r="B19" s="568" t="s">
        <v>882</v>
      </c>
      <c r="N19" s="568" t="s">
        <v>883</v>
      </c>
      <c r="R19" s="1523"/>
      <c r="S19" s="1523"/>
    </row>
    <row r="20" spans="2:22" ht="15.75">
      <c r="B20" s="568" t="s">
        <v>1095</v>
      </c>
      <c r="R20" s="1523" t="s">
        <v>1735</v>
      </c>
      <c r="S20" s="1523"/>
      <c r="U20" s="703" t="s">
        <v>1042</v>
      </c>
    </row>
    <row r="21" spans="2:22">
      <c r="B21" s="568" t="s">
        <v>884</v>
      </c>
      <c r="R21" s="1523" t="s">
        <v>1736</v>
      </c>
      <c r="S21" s="1523"/>
    </row>
    <row r="22" spans="2:22">
      <c r="B22" s="579" t="s">
        <v>885</v>
      </c>
      <c r="R22" s="1523" t="s">
        <v>1737</v>
      </c>
      <c r="S22" s="1523"/>
    </row>
    <row r="23" spans="2:22">
      <c r="B23" s="579" t="s">
        <v>886</v>
      </c>
      <c r="R23" s="1523"/>
      <c r="S23" s="1523"/>
    </row>
    <row r="24" spans="2:22">
      <c r="B24" s="568" t="s">
        <v>1560</v>
      </c>
      <c r="R24" s="1523"/>
      <c r="S24" s="1523"/>
    </row>
    <row r="25" spans="2:22">
      <c r="N25" s="580" t="s">
        <v>1089</v>
      </c>
    </row>
    <row r="26" spans="2:22" ht="15.75" thickBot="1">
      <c r="B26" s="580" t="s">
        <v>1087</v>
      </c>
      <c r="N26" s="580" t="s">
        <v>887</v>
      </c>
    </row>
    <row r="27" spans="2:22">
      <c r="B27" s="591" t="s">
        <v>888</v>
      </c>
      <c r="C27" s="581" t="s">
        <v>250</v>
      </c>
      <c r="D27" s="581" t="s">
        <v>889</v>
      </c>
      <c r="E27" s="581" t="s">
        <v>119</v>
      </c>
      <c r="F27" s="582" t="s">
        <v>890</v>
      </c>
      <c r="N27" s="922" t="s">
        <v>891</v>
      </c>
      <c r="O27" s="923" t="s">
        <v>892</v>
      </c>
      <c r="P27" s="924" t="s">
        <v>893</v>
      </c>
    </row>
    <row r="28" spans="2:22">
      <c r="B28" s="592">
        <v>0.02</v>
      </c>
      <c r="C28" s="673">
        <v>4.63</v>
      </c>
      <c r="D28" s="673">
        <v>21.18</v>
      </c>
      <c r="E28" s="673">
        <v>9.68</v>
      </c>
      <c r="F28" s="674">
        <v>7.29</v>
      </c>
      <c r="N28" s="584" t="s">
        <v>894</v>
      </c>
      <c r="O28" s="673">
        <v>0.04</v>
      </c>
      <c r="P28" s="674">
        <v>0.06</v>
      </c>
    </row>
    <row r="29" spans="2:22">
      <c r="B29" s="592">
        <v>0.03</v>
      </c>
      <c r="C29" s="673">
        <v>2.92</v>
      </c>
      <c r="D29" s="673">
        <v>11.68</v>
      </c>
      <c r="E29" s="673">
        <v>6.46</v>
      </c>
      <c r="F29" s="674">
        <v>4.33</v>
      </c>
      <c r="N29" s="584" t="s">
        <v>895</v>
      </c>
      <c r="O29" s="673">
        <v>0.04</v>
      </c>
      <c r="P29" s="674">
        <v>0.05</v>
      </c>
    </row>
    <row r="30" spans="2:22">
      <c r="B30" s="592">
        <v>0.04</v>
      </c>
      <c r="C30" s="673">
        <v>2.21</v>
      </c>
      <c r="D30" s="673">
        <v>7.71</v>
      </c>
      <c r="E30" s="673">
        <v>4.8600000000000003</v>
      </c>
      <c r="F30" s="674">
        <v>3.09</v>
      </c>
      <c r="N30" s="584" t="s">
        <v>896</v>
      </c>
      <c r="O30" s="673">
        <v>0.03</v>
      </c>
      <c r="P30" s="674">
        <v>0.03</v>
      </c>
    </row>
    <row r="31" spans="2:22">
      <c r="B31" s="592">
        <v>0.05</v>
      </c>
      <c r="C31" s="673">
        <v>1.83</v>
      </c>
      <c r="D31" s="673">
        <v>5.61</v>
      </c>
      <c r="E31" s="673">
        <v>3.89</v>
      </c>
      <c r="F31" s="674">
        <v>2.44</v>
      </c>
      <c r="N31" s="584" t="s">
        <v>897</v>
      </c>
      <c r="O31" s="673">
        <v>0.03</v>
      </c>
      <c r="P31" s="674">
        <v>0.04</v>
      </c>
    </row>
    <row r="32" spans="2:22">
      <c r="B32" s="592">
        <v>0.06</v>
      </c>
      <c r="C32" s="673">
        <v>1.6</v>
      </c>
      <c r="D32" s="673">
        <v>4.3499999999999996</v>
      </c>
      <c r="E32" s="673">
        <v>3.25</v>
      </c>
      <c r="F32" s="674">
        <v>2.04</v>
      </c>
      <c r="N32" s="584" t="s">
        <v>898</v>
      </c>
      <c r="O32" s="673">
        <v>0.03</v>
      </c>
      <c r="P32" s="674">
        <v>0.04</v>
      </c>
    </row>
    <row r="33" spans="2:16">
      <c r="B33" s="592">
        <v>7.0000000000000007E-2</v>
      </c>
      <c r="C33" s="673">
        <v>1.45</v>
      </c>
      <c r="D33" s="673">
        <v>3.52</v>
      </c>
      <c r="E33" s="673">
        <v>2.79</v>
      </c>
      <c r="F33" s="674">
        <v>1.79</v>
      </c>
      <c r="N33" s="584" t="s">
        <v>899</v>
      </c>
      <c r="O33" s="673">
        <v>0.04</v>
      </c>
      <c r="P33" s="674">
        <v>0.06</v>
      </c>
    </row>
    <row r="34" spans="2:16">
      <c r="B34" s="592">
        <v>0.08</v>
      </c>
      <c r="C34" s="673">
        <v>1.35</v>
      </c>
      <c r="D34" s="673">
        <v>2.95</v>
      </c>
      <c r="E34" s="673">
        <v>2.4500000000000002</v>
      </c>
      <c r="F34" s="674">
        <v>1.61</v>
      </c>
      <c r="N34" s="584" t="s">
        <v>900</v>
      </c>
      <c r="O34" s="673">
        <v>0.02</v>
      </c>
      <c r="P34" s="674">
        <v>0.03</v>
      </c>
    </row>
    <row r="35" spans="2:16">
      <c r="B35" s="592">
        <v>0.09</v>
      </c>
      <c r="C35" s="673">
        <v>1.27</v>
      </c>
      <c r="D35" s="673">
        <v>2.52</v>
      </c>
      <c r="E35" s="673">
        <v>2.1800000000000002</v>
      </c>
      <c r="F35" s="674">
        <v>1.48</v>
      </c>
      <c r="N35" s="584" t="s">
        <v>901</v>
      </c>
      <c r="O35" s="673">
        <v>0.02</v>
      </c>
      <c r="P35" s="674">
        <v>0.02</v>
      </c>
    </row>
    <row r="36" spans="2:16" ht="15.75" thickBot="1">
      <c r="B36" s="592">
        <v>0.1</v>
      </c>
      <c r="C36" s="673">
        <v>1.22</v>
      </c>
      <c r="D36" s="673">
        <v>2.2000000000000002</v>
      </c>
      <c r="E36" s="673">
        <v>1.96</v>
      </c>
      <c r="F36" s="674">
        <v>1.38</v>
      </c>
      <c r="N36" s="587" t="s">
        <v>902</v>
      </c>
      <c r="O36" s="679">
        <v>0.03</v>
      </c>
      <c r="P36" s="680">
        <v>0.05</v>
      </c>
    </row>
    <row r="37" spans="2:16">
      <c r="B37" s="592">
        <v>0.11</v>
      </c>
      <c r="C37" s="673">
        <v>1.17</v>
      </c>
      <c r="D37" s="673">
        <v>1.96</v>
      </c>
      <c r="E37" s="673">
        <v>1.79</v>
      </c>
      <c r="F37" s="674">
        <v>1.3</v>
      </c>
    </row>
    <row r="38" spans="2:16">
      <c r="B38" s="592">
        <v>0.12</v>
      </c>
      <c r="C38" s="673">
        <v>1.1399999999999999</v>
      </c>
      <c r="D38" s="673">
        <v>1.76</v>
      </c>
      <c r="E38" s="673">
        <v>1.64</v>
      </c>
      <c r="F38" s="674">
        <v>1.24</v>
      </c>
    </row>
    <row r="39" spans="2:16">
      <c r="B39" s="592">
        <v>0.13</v>
      </c>
      <c r="C39" s="673">
        <v>1.1100000000000001</v>
      </c>
      <c r="D39" s="673">
        <v>1.6</v>
      </c>
      <c r="E39" s="673">
        <v>1.52</v>
      </c>
      <c r="F39" s="674">
        <v>1.19</v>
      </c>
    </row>
    <row r="40" spans="2:16">
      <c r="B40" s="592">
        <v>0.14000000000000001</v>
      </c>
      <c r="C40" s="673">
        <v>1.08</v>
      </c>
      <c r="D40" s="673">
        <v>1.47</v>
      </c>
      <c r="E40" s="673">
        <v>1.41</v>
      </c>
      <c r="F40" s="674">
        <v>1.1499999999999999</v>
      </c>
    </row>
    <row r="41" spans="2:16">
      <c r="B41" s="592">
        <v>0.15</v>
      </c>
      <c r="C41" s="673">
        <v>1.06</v>
      </c>
      <c r="D41" s="673">
        <v>1.36</v>
      </c>
      <c r="E41" s="673">
        <v>1.32</v>
      </c>
      <c r="F41" s="674">
        <v>1.1100000000000001</v>
      </c>
    </row>
    <row r="42" spans="2:16">
      <c r="B42" s="592">
        <v>0.16</v>
      </c>
      <c r="C42" s="673">
        <v>1.05</v>
      </c>
      <c r="D42" s="673">
        <v>1.26</v>
      </c>
      <c r="E42" s="673">
        <v>1.24</v>
      </c>
      <c r="F42" s="674">
        <v>1.08</v>
      </c>
    </row>
    <row r="43" spans="2:16">
      <c r="B43" s="592">
        <v>0.17</v>
      </c>
      <c r="C43" s="673">
        <v>1.03</v>
      </c>
      <c r="D43" s="673">
        <v>1.6</v>
      </c>
      <c r="E43" s="673">
        <v>1.17</v>
      </c>
      <c r="F43" s="674">
        <v>1.06</v>
      </c>
    </row>
    <row r="44" spans="2:16">
      <c r="B44" s="592">
        <v>0.18</v>
      </c>
      <c r="C44" s="673">
        <v>1.02</v>
      </c>
      <c r="D44" s="673">
        <v>1.18</v>
      </c>
      <c r="E44" s="673">
        <v>1.1100000000000001</v>
      </c>
      <c r="F44" s="674">
        <v>1.04</v>
      </c>
    </row>
    <row r="45" spans="2:16">
      <c r="B45" s="592">
        <v>0.19</v>
      </c>
      <c r="C45" s="673">
        <v>1.01</v>
      </c>
      <c r="D45" s="673">
        <v>1.1100000000000001</v>
      </c>
      <c r="E45" s="673">
        <v>1.05</v>
      </c>
      <c r="F45" s="674">
        <v>1.02</v>
      </c>
    </row>
    <row r="46" spans="2:16" ht="15.75" thickBot="1">
      <c r="B46" s="593">
        <v>0.2</v>
      </c>
      <c r="C46" s="679">
        <v>1</v>
      </c>
      <c r="D46" s="679">
        <v>1</v>
      </c>
      <c r="E46" s="921">
        <v>1</v>
      </c>
      <c r="F46" s="920">
        <v>1</v>
      </c>
    </row>
    <row r="49" spans="2:24" ht="15.75" thickBot="1">
      <c r="B49" s="580" t="s">
        <v>1088</v>
      </c>
      <c r="N49" s="580" t="s">
        <v>1086</v>
      </c>
      <c r="O49" s="580"/>
    </row>
    <row r="50" spans="2:24" ht="30">
      <c r="B50" s="591" t="s">
        <v>858</v>
      </c>
      <c r="C50" s="581" t="s">
        <v>859</v>
      </c>
      <c r="D50" s="581" t="s">
        <v>860</v>
      </c>
      <c r="E50" s="581" t="s">
        <v>861</v>
      </c>
      <c r="F50" s="581" t="s">
        <v>903</v>
      </c>
      <c r="G50" s="581" t="s">
        <v>862</v>
      </c>
      <c r="H50" s="581" t="s">
        <v>863</v>
      </c>
      <c r="I50" s="581" t="s">
        <v>864</v>
      </c>
      <c r="J50" s="581" t="s">
        <v>865</v>
      </c>
      <c r="K50" s="582" t="s">
        <v>866</v>
      </c>
      <c r="L50" s="583"/>
      <c r="N50" s="922" t="s">
        <v>858</v>
      </c>
      <c r="O50" s="923" t="s">
        <v>859</v>
      </c>
      <c r="P50" s="594" t="s">
        <v>860</v>
      </c>
      <c r="Q50" s="594" t="s">
        <v>868</v>
      </c>
      <c r="R50" s="594" t="s">
        <v>869</v>
      </c>
      <c r="S50" s="594" t="s">
        <v>870</v>
      </c>
      <c r="T50" s="594" t="s">
        <v>1609</v>
      </c>
      <c r="U50" s="595" t="s">
        <v>1566</v>
      </c>
    </row>
    <row r="51" spans="2:24">
      <c r="B51" s="584" t="s">
        <v>873</v>
      </c>
      <c r="C51" s="585" t="s">
        <v>904</v>
      </c>
      <c r="D51" s="673" t="str">
        <f>B51&amp;" "&amp;C51</f>
        <v>Medium speed diesel  ≤ 1999</v>
      </c>
      <c r="E51" s="673">
        <v>13.8</v>
      </c>
      <c r="F51" s="673">
        <v>0.4</v>
      </c>
      <c r="G51" s="673">
        <v>1.1000000000000001</v>
      </c>
      <c r="H51" s="673">
        <v>0.44</v>
      </c>
      <c r="I51" s="673">
        <v>0.24</v>
      </c>
      <c r="J51" s="673">
        <v>0.23</v>
      </c>
      <c r="K51" s="918">
        <v>0.24</v>
      </c>
      <c r="N51" s="584" t="s">
        <v>873</v>
      </c>
      <c r="O51" s="596" t="s">
        <v>877</v>
      </c>
      <c r="P51" s="585" t="str">
        <f>N51&amp;" "&amp;O51</f>
        <v>Medium speed diesel All</v>
      </c>
      <c r="Q51" s="1533">
        <v>683</v>
      </c>
      <c r="R51" s="1533">
        <v>2.9000000000000001E-2</v>
      </c>
      <c r="S51" s="1533">
        <v>8.0000000000000002E-3</v>
      </c>
      <c r="T51" s="1536">
        <f>Q51+S51*CO2_MW/CH4_MW</f>
        <v>683.02194175289867</v>
      </c>
      <c r="U51" s="1538">
        <f>T51/Fuel_Specs!$M$13</f>
        <v>9.2237711162268372</v>
      </c>
    </row>
    <row r="52" spans="2:24">
      <c r="B52" s="584" t="s">
        <v>873</v>
      </c>
      <c r="C52" s="585" t="s">
        <v>874</v>
      </c>
      <c r="D52" s="673" t="str">
        <f t="shared" ref="D52:D55" si="4">B52&amp;" "&amp;C52</f>
        <v>Medium speed diesel  2000 - 2010</v>
      </c>
      <c r="E52" s="673">
        <v>12.2</v>
      </c>
      <c r="F52" s="673">
        <v>0.4</v>
      </c>
      <c r="G52" s="673">
        <v>1.1000000000000001</v>
      </c>
      <c r="H52" s="673">
        <v>0.44</v>
      </c>
      <c r="I52" s="673">
        <v>0.24</v>
      </c>
      <c r="J52" s="673">
        <v>0.23</v>
      </c>
      <c r="K52" s="918">
        <v>0.24</v>
      </c>
      <c r="N52" s="584" t="s">
        <v>873</v>
      </c>
      <c r="O52" s="585" t="s">
        <v>874</v>
      </c>
      <c r="P52" s="596" t="str">
        <f t="shared" ref="P52:P55" si="5">N52&amp;" "&amp;O52</f>
        <v>Medium speed diesel  2000 - 2010</v>
      </c>
      <c r="Q52" s="1533">
        <v>683</v>
      </c>
      <c r="R52" s="1533">
        <v>2.9000000000000001E-2</v>
      </c>
      <c r="S52" s="1533">
        <v>8.0000000000000002E-3</v>
      </c>
      <c r="T52" s="1536">
        <f>Q52+S52*CO2_MW/CH4_MW</f>
        <v>683.02194175289867</v>
      </c>
      <c r="U52" s="1538">
        <f>T52/Fuel_Specs!$M$13</f>
        <v>9.2237711162268372</v>
      </c>
    </row>
    <row r="53" spans="2:24">
      <c r="B53" s="584" t="s">
        <v>873</v>
      </c>
      <c r="C53" s="585" t="s">
        <v>875</v>
      </c>
      <c r="D53" s="673" t="str">
        <f t="shared" si="4"/>
        <v>Medium speed diesel  2011 - 2015</v>
      </c>
      <c r="E53" s="673">
        <v>10.5</v>
      </c>
      <c r="F53" s="673">
        <v>0.4</v>
      </c>
      <c r="G53" s="673">
        <v>1.1000000000000001</v>
      </c>
      <c r="H53" s="673">
        <v>0.44</v>
      </c>
      <c r="I53" s="673">
        <v>0.24</v>
      </c>
      <c r="J53" s="673">
        <v>0.23</v>
      </c>
      <c r="K53" s="918">
        <v>0.24</v>
      </c>
      <c r="N53" s="584" t="s">
        <v>873</v>
      </c>
      <c r="O53" s="585" t="s">
        <v>875</v>
      </c>
      <c r="P53" s="596" t="str">
        <f t="shared" si="5"/>
        <v>Medium speed diesel  2011 - 2015</v>
      </c>
      <c r="Q53" s="1533">
        <v>683</v>
      </c>
      <c r="R53" s="1533">
        <v>2.9000000000000001E-2</v>
      </c>
      <c r="S53" s="1533">
        <v>8.0000000000000002E-3</v>
      </c>
      <c r="T53" s="1536">
        <f>Q53+S53*CO2_MW/CH4_MW</f>
        <v>683.02194175289867</v>
      </c>
      <c r="U53" s="1538">
        <f>T53/Fuel_Specs!$M$13</f>
        <v>9.2237711162268372</v>
      </c>
    </row>
    <row r="54" spans="2:24">
      <c r="B54" s="597" t="s">
        <v>876</v>
      </c>
      <c r="C54" s="598" t="s">
        <v>877</v>
      </c>
      <c r="D54" s="673" t="str">
        <f t="shared" si="4"/>
        <v>Lean Burn SI LNG All</v>
      </c>
      <c r="E54" s="675">
        <f t="shared" ref="E54:K55" si="6">E14</f>
        <v>0.9</v>
      </c>
      <c r="F54" s="681">
        <f t="shared" si="6"/>
        <v>4.5600000000000003E-4</v>
      </c>
      <c r="G54" s="675">
        <f t="shared" si="6"/>
        <v>1.7</v>
      </c>
      <c r="H54" s="675">
        <f t="shared" si="6"/>
        <v>0</v>
      </c>
      <c r="I54" s="675">
        <f t="shared" si="6"/>
        <v>0.02</v>
      </c>
      <c r="J54" s="675">
        <f t="shared" si="6"/>
        <v>0.02</v>
      </c>
      <c r="K54" s="919">
        <f t="shared" si="6"/>
        <v>0</v>
      </c>
      <c r="N54" s="584" t="s">
        <v>876</v>
      </c>
      <c r="O54" s="596" t="s">
        <v>877</v>
      </c>
      <c r="P54" s="596" t="str">
        <f t="shared" si="5"/>
        <v>Lean Burn SI LNG All</v>
      </c>
      <c r="Q54" s="1517">
        <f>T54-S54*CO2_MW/CH4_MW</f>
        <v>501.84751045894257</v>
      </c>
      <c r="R54" s="1533">
        <v>2.9000000000000001E-2</v>
      </c>
      <c r="S54" s="1533">
        <f>S16</f>
        <v>4.0999999999999996</v>
      </c>
      <c r="T54" s="1536">
        <f>U54*Fuel_Specs!$M$25</f>
        <v>513.09265881949614</v>
      </c>
      <c r="U54" s="1538">
        <f>U53</f>
        <v>9.2237711162268372</v>
      </c>
    </row>
    <row r="55" spans="2:24" ht="15.75" thickBot="1">
      <c r="B55" s="587" t="s">
        <v>879</v>
      </c>
      <c r="C55" s="588" t="s">
        <v>877</v>
      </c>
      <c r="D55" s="679" t="str">
        <f t="shared" si="4"/>
        <v>Low Pressure DF LNG All</v>
      </c>
      <c r="E55" s="679">
        <f t="shared" si="6"/>
        <v>1.9</v>
      </c>
      <c r="F55" s="682">
        <f t="shared" si="6"/>
        <v>3.8000000000000002E-4</v>
      </c>
      <c r="G55" s="679">
        <f t="shared" si="6"/>
        <v>1.9</v>
      </c>
      <c r="H55" s="679">
        <f t="shared" si="6"/>
        <v>3.5150000000000003E-3</v>
      </c>
      <c r="I55" s="679">
        <f t="shared" si="6"/>
        <v>0.02</v>
      </c>
      <c r="J55" s="679">
        <f t="shared" si="6"/>
        <v>0.02</v>
      </c>
      <c r="K55" s="920">
        <f t="shared" si="6"/>
        <v>0</v>
      </c>
      <c r="N55" s="587" t="s">
        <v>879</v>
      </c>
      <c r="O55" s="599" t="s">
        <v>877</v>
      </c>
      <c r="P55" s="599" t="str">
        <f t="shared" si="5"/>
        <v>Low Pressure DF LNG All</v>
      </c>
      <c r="Q55" s="1518">
        <f>T55-S55*CO2_MW/CH4_MW</f>
        <v>498.55624752414644</v>
      </c>
      <c r="R55" s="1535">
        <v>2.9000000000000001E-2</v>
      </c>
      <c r="S55" s="1535">
        <f>S17</f>
        <v>5.3</v>
      </c>
      <c r="T55" s="1537">
        <f>U55*Fuel_Specs!$M$25</f>
        <v>513.09265881949614</v>
      </c>
      <c r="U55" s="1539">
        <f>U53</f>
        <v>9.2237711162268372</v>
      </c>
    </row>
    <row r="56" spans="2:24">
      <c r="B56" s="590" t="s">
        <v>905</v>
      </c>
      <c r="E56" s="600"/>
      <c r="F56" s="600"/>
      <c r="G56" s="600"/>
      <c r="H56" s="600"/>
      <c r="I56" s="600"/>
      <c r="J56" s="600"/>
      <c r="K56" s="600"/>
      <c r="T56" s="1531"/>
      <c r="U56" s="1532"/>
    </row>
    <row r="57" spans="2:24" ht="15.75" thickBot="1">
      <c r="E57" s="600"/>
      <c r="F57" s="600"/>
      <c r="G57" s="600"/>
      <c r="H57" s="600"/>
      <c r="I57" s="600"/>
      <c r="J57" s="600"/>
      <c r="K57" s="600"/>
      <c r="S57" s="1534"/>
      <c r="U57" s="612"/>
    </row>
    <row r="58" spans="2:24" ht="15.75" thickBot="1">
      <c r="B58" s="580" t="s">
        <v>1561</v>
      </c>
      <c r="N58" s="580" t="s">
        <v>1562</v>
      </c>
      <c r="O58" s="580"/>
      <c r="P58" s="580"/>
      <c r="S58" s="1534"/>
    </row>
    <row r="59" spans="2:24" ht="30">
      <c r="B59" s="601" t="s">
        <v>858</v>
      </c>
      <c r="C59" s="594" t="s">
        <v>859</v>
      </c>
      <c r="D59" s="594" t="s">
        <v>860</v>
      </c>
      <c r="E59" s="594" t="s">
        <v>861</v>
      </c>
      <c r="F59" s="594" t="s">
        <v>903</v>
      </c>
      <c r="G59" s="594" t="s">
        <v>862</v>
      </c>
      <c r="H59" s="594" t="s">
        <v>863</v>
      </c>
      <c r="I59" s="594" t="s">
        <v>864</v>
      </c>
      <c r="J59" s="594" t="s">
        <v>865</v>
      </c>
      <c r="K59" s="595" t="s">
        <v>866</v>
      </c>
      <c r="L59" s="583"/>
      <c r="N59" s="591" t="s">
        <v>858</v>
      </c>
      <c r="O59" s="581" t="s">
        <v>859</v>
      </c>
      <c r="P59" s="594" t="s">
        <v>860</v>
      </c>
      <c r="Q59" s="594" t="s">
        <v>868</v>
      </c>
      <c r="R59" s="594" t="s">
        <v>869</v>
      </c>
      <c r="S59" s="568" t="s">
        <v>870</v>
      </c>
      <c r="T59" s="568" t="s">
        <v>1571</v>
      </c>
      <c r="U59" s="568" t="s">
        <v>1572</v>
      </c>
    </row>
    <row r="60" spans="2:24">
      <c r="B60" s="584" t="s">
        <v>906</v>
      </c>
      <c r="C60" s="585" t="s">
        <v>877</v>
      </c>
      <c r="D60" s="673" t="str">
        <f>B60&amp;" "&amp;C60</f>
        <v>Fuel Oil Aux Boiler All</v>
      </c>
      <c r="E60" s="673">
        <v>2</v>
      </c>
      <c r="F60" s="673">
        <v>0.1</v>
      </c>
      <c r="G60" s="673">
        <v>0.2</v>
      </c>
      <c r="H60" s="673">
        <v>6</v>
      </c>
      <c r="I60" s="673">
        <v>0.16</v>
      </c>
      <c r="J60" s="673">
        <v>0.15</v>
      </c>
      <c r="K60" s="674">
        <v>0</v>
      </c>
      <c r="N60" s="584" t="s">
        <v>906</v>
      </c>
      <c r="O60" s="596" t="s">
        <v>877</v>
      </c>
      <c r="P60" s="585" t="str">
        <f>N60&amp;" "&amp;O60</f>
        <v>Fuel Oil Aux Boiler All</v>
      </c>
      <c r="Q60" s="1528">
        <f>922*11.57/12.45</f>
        <v>856.83052208835352</v>
      </c>
      <c r="R60" s="585">
        <v>7.4999999999999997E-2</v>
      </c>
      <c r="S60" s="586">
        <v>2E-3</v>
      </c>
      <c r="T60" s="568">
        <f>Q60+S60*CO2_MW/CH4_MW</f>
        <v>856.83600752657821</v>
      </c>
      <c r="U60" s="1567">
        <f>T60/Fuel_Specs!M13</f>
        <v>11.571018051461056</v>
      </c>
      <c r="V60" s="1523" t="s">
        <v>1738</v>
      </c>
      <c r="W60" s="1523"/>
      <c r="X60" s="1523"/>
    </row>
    <row r="61" spans="2:24" ht="15.75" thickBot="1">
      <c r="B61" s="587" t="s">
        <v>907</v>
      </c>
      <c r="C61" s="588" t="s">
        <v>877</v>
      </c>
      <c r="D61" s="679" t="str">
        <f>B61&amp;" "&amp;C61</f>
        <v>LNG Aux Boiler All</v>
      </c>
      <c r="E61" s="679">
        <f>E60</f>
        <v>2</v>
      </c>
      <c r="F61" s="679">
        <f t="shared" ref="F61:J61" si="7">F60</f>
        <v>0.1</v>
      </c>
      <c r="G61" s="679">
        <f t="shared" si="7"/>
        <v>0.2</v>
      </c>
      <c r="H61" s="679">
        <v>0</v>
      </c>
      <c r="I61" s="679">
        <f t="shared" si="7"/>
        <v>0.16</v>
      </c>
      <c r="J61" s="679">
        <f t="shared" si="7"/>
        <v>0.15</v>
      </c>
      <c r="K61" s="680">
        <v>0</v>
      </c>
      <c r="N61" s="587" t="s">
        <v>907</v>
      </c>
      <c r="O61" s="599" t="s">
        <v>877</v>
      </c>
      <c r="P61" s="599" t="str">
        <f>N61&amp;" "&amp;O61</f>
        <v>LNG Aux Boiler All</v>
      </c>
      <c r="Q61" s="602">
        <f>T61-S61*CO2_MW/CH4_MW</f>
        <v>643.65797308232732</v>
      </c>
      <c r="R61" s="588">
        <f>R60</f>
        <v>7.4999999999999997E-2</v>
      </c>
      <c r="S61" s="589">
        <f>S60*AVERAGE(S52:S53)/S51</f>
        <v>2E-3</v>
      </c>
      <c r="T61" s="568">
        <f>U61*Fuel_Specs!M25</f>
        <v>643.66345852055201</v>
      </c>
      <c r="U61" s="1567">
        <f>U60</f>
        <v>11.571018051461056</v>
      </c>
      <c r="V61" s="1523"/>
      <c r="W61" s="1523"/>
      <c r="X61" s="1523"/>
    </row>
    <row r="62" spans="2:24">
      <c r="B62" s="568" t="s">
        <v>908</v>
      </c>
      <c r="N62" s="568" t="s">
        <v>1569</v>
      </c>
      <c r="U62" s="1837">
        <f>U61/U60</f>
        <v>1</v>
      </c>
      <c r="V62" s="568" t="s">
        <v>1441</v>
      </c>
    </row>
    <row r="63" spans="2:24" ht="30" customHeight="1">
      <c r="N63" s="1982" t="s">
        <v>1570</v>
      </c>
      <c r="O63" s="1982"/>
      <c r="P63" s="1982"/>
      <c r="Q63" s="1982"/>
      <c r="R63" s="1982"/>
      <c r="S63" s="1982"/>
      <c r="T63" s="1982"/>
      <c r="U63" s="1982"/>
    </row>
    <row r="64" spans="2:24">
      <c r="N64" s="1983" t="s">
        <v>909</v>
      </c>
      <c r="O64" s="1983"/>
      <c r="P64" s="1983"/>
      <c r="Q64" s="1983"/>
      <c r="R64" s="1983"/>
      <c r="S64" s="1983"/>
      <c r="T64" s="1983"/>
      <c r="U64" s="1983"/>
    </row>
    <row r="65" spans="2:21">
      <c r="N65" s="1983"/>
      <c r="O65" s="1983"/>
      <c r="P65" s="1983"/>
      <c r="Q65" s="1983"/>
      <c r="R65" s="1983"/>
      <c r="S65" s="1983"/>
      <c r="T65" s="1983"/>
      <c r="U65" s="1983"/>
    </row>
    <row r="67" spans="2:21" ht="15.75" thickBot="1">
      <c r="B67" s="580" t="s">
        <v>1094</v>
      </c>
      <c r="N67" s="580" t="s">
        <v>1093</v>
      </c>
    </row>
    <row r="68" spans="2:21">
      <c r="B68" s="591" t="s">
        <v>891</v>
      </c>
      <c r="C68" s="581" t="s">
        <v>910</v>
      </c>
      <c r="D68" s="581" t="s">
        <v>911</v>
      </c>
      <c r="E68" s="582" t="s">
        <v>912</v>
      </c>
      <c r="N68" s="591" t="s">
        <v>891</v>
      </c>
      <c r="O68" s="581" t="s">
        <v>910</v>
      </c>
      <c r="P68" s="581" t="s">
        <v>911</v>
      </c>
      <c r="Q68" s="582" t="s">
        <v>1091</v>
      </c>
    </row>
    <row r="69" spans="2:21">
      <c r="B69" s="584" t="s">
        <v>894</v>
      </c>
      <c r="C69" s="673">
        <v>590</v>
      </c>
      <c r="D69" s="673">
        <v>1224</v>
      </c>
      <c r="E69" s="674">
        <v>876</v>
      </c>
      <c r="N69" s="584" t="s">
        <v>894</v>
      </c>
      <c r="O69" s="673">
        <v>0</v>
      </c>
      <c r="P69" s="673">
        <v>184</v>
      </c>
      <c r="Q69" s="674">
        <v>314</v>
      </c>
    </row>
    <row r="70" spans="2:21">
      <c r="B70" s="584" t="s">
        <v>895</v>
      </c>
      <c r="C70" s="673">
        <v>266</v>
      </c>
      <c r="D70" s="673">
        <v>384</v>
      </c>
      <c r="E70" s="674">
        <v>157</v>
      </c>
      <c r="N70" s="584" t="s">
        <v>895</v>
      </c>
      <c r="O70" s="673">
        <v>0</v>
      </c>
      <c r="P70" s="673">
        <v>94</v>
      </c>
      <c r="Q70" s="674">
        <v>125</v>
      </c>
    </row>
    <row r="71" spans="2:21">
      <c r="B71" s="584" t="s">
        <v>913</v>
      </c>
      <c r="C71" s="673">
        <v>462</v>
      </c>
      <c r="D71" s="673">
        <v>807</v>
      </c>
      <c r="E71" s="674">
        <v>258</v>
      </c>
      <c r="N71" s="584" t="s">
        <v>913</v>
      </c>
      <c r="O71" s="673">
        <v>0</v>
      </c>
      <c r="P71" s="673">
        <v>103</v>
      </c>
      <c r="Q71" s="674">
        <v>125</v>
      </c>
    </row>
    <row r="72" spans="2:21">
      <c r="B72" s="584" t="s">
        <v>914</v>
      </c>
      <c r="C72" s="673">
        <v>305</v>
      </c>
      <c r="D72" s="673">
        <v>1223</v>
      </c>
      <c r="E72" s="674">
        <v>136</v>
      </c>
      <c r="N72" s="584" t="s">
        <v>914</v>
      </c>
      <c r="O72" s="673">
        <v>0</v>
      </c>
      <c r="P72" s="673">
        <v>94</v>
      </c>
      <c r="Q72" s="674">
        <v>134</v>
      </c>
    </row>
    <row r="73" spans="2:21">
      <c r="B73" s="584" t="s">
        <v>915</v>
      </c>
      <c r="C73" s="925">
        <v>266</v>
      </c>
      <c r="D73" s="673">
        <v>1275</v>
      </c>
      <c r="E73" s="674">
        <v>157</v>
      </c>
      <c r="N73" s="584" t="s">
        <v>915</v>
      </c>
      <c r="O73" s="673">
        <v>0</v>
      </c>
      <c r="P73" s="925">
        <v>134</v>
      </c>
      <c r="Q73" s="926">
        <v>134</v>
      </c>
    </row>
    <row r="74" spans="2:21">
      <c r="B74" s="584" t="s">
        <v>916</v>
      </c>
      <c r="C74" s="673">
        <v>892</v>
      </c>
      <c r="D74" s="673">
        <v>1275</v>
      </c>
      <c r="E74" s="674">
        <v>536</v>
      </c>
      <c r="N74" s="584" t="s">
        <v>916</v>
      </c>
      <c r="O74" s="673">
        <v>0</v>
      </c>
      <c r="P74" s="673">
        <v>213</v>
      </c>
      <c r="Q74" s="674">
        <v>273</v>
      </c>
    </row>
    <row r="75" spans="2:21">
      <c r="B75" s="584" t="s">
        <v>917</v>
      </c>
      <c r="C75" s="673">
        <v>1280</v>
      </c>
      <c r="D75" s="673">
        <v>1911</v>
      </c>
      <c r="E75" s="674">
        <v>945</v>
      </c>
      <c r="N75" s="584" t="s">
        <v>917</v>
      </c>
      <c r="O75" s="673">
        <v>0</v>
      </c>
      <c r="P75" s="673">
        <v>282</v>
      </c>
      <c r="Q75" s="674">
        <v>361</v>
      </c>
    </row>
    <row r="76" spans="2:21">
      <c r="B76" s="584" t="s">
        <v>918</v>
      </c>
      <c r="C76" s="673">
        <v>888</v>
      </c>
      <c r="D76" s="673">
        <v>1685</v>
      </c>
      <c r="E76" s="674">
        <v>965</v>
      </c>
      <c r="N76" s="584" t="s">
        <v>918</v>
      </c>
      <c r="O76" s="673">
        <v>0</v>
      </c>
      <c r="P76" s="673">
        <v>328</v>
      </c>
      <c r="Q76" s="674">
        <v>420</v>
      </c>
    </row>
    <row r="77" spans="2:21">
      <c r="B77" s="584" t="s">
        <v>919</v>
      </c>
      <c r="C77" s="673">
        <v>1499</v>
      </c>
      <c r="D77" s="673">
        <v>2528</v>
      </c>
      <c r="E77" s="674">
        <v>1196</v>
      </c>
      <c r="N77" s="584" t="s">
        <v>919</v>
      </c>
      <c r="O77" s="673">
        <v>0</v>
      </c>
      <c r="P77" s="673">
        <v>371</v>
      </c>
      <c r="Q77" s="674">
        <v>477</v>
      </c>
    </row>
    <row r="78" spans="2:21">
      <c r="B78" s="584" t="s">
        <v>920</v>
      </c>
      <c r="C78" s="673">
        <v>1444</v>
      </c>
      <c r="D78" s="673">
        <v>2458</v>
      </c>
      <c r="E78" s="674">
        <v>1202</v>
      </c>
      <c r="N78" s="584" t="s">
        <v>920</v>
      </c>
      <c r="O78" s="673">
        <v>0</v>
      </c>
      <c r="P78" s="673">
        <v>473</v>
      </c>
      <c r="Q78" s="674">
        <v>579</v>
      </c>
    </row>
    <row r="79" spans="2:21">
      <c r="B79" s="584" t="s">
        <v>921</v>
      </c>
      <c r="C79" s="673">
        <v>1598</v>
      </c>
      <c r="D79" s="673">
        <v>2665</v>
      </c>
      <c r="E79" s="674">
        <v>1461</v>
      </c>
      <c r="N79" s="584" t="s">
        <v>921</v>
      </c>
      <c r="O79" s="673">
        <v>0</v>
      </c>
      <c r="P79" s="673">
        <v>567</v>
      </c>
      <c r="Q79" s="674">
        <v>615</v>
      </c>
    </row>
    <row r="80" spans="2:21">
      <c r="B80" s="584" t="s">
        <v>922</v>
      </c>
      <c r="C80" s="673">
        <v>1332</v>
      </c>
      <c r="D80" s="673">
        <v>2675</v>
      </c>
      <c r="E80" s="674">
        <v>1325</v>
      </c>
      <c r="N80" s="584" t="s">
        <v>922</v>
      </c>
      <c r="O80" s="673">
        <v>0</v>
      </c>
      <c r="P80" s="673">
        <v>470</v>
      </c>
      <c r="Q80" s="674">
        <v>623</v>
      </c>
    </row>
    <row r="81" spans="2:17">
      <c r="B81" s="584" t="s">
        <v>923</v>
      </c>
      <c r="C81" s="673">
        <v>1497</v>
      </c>
      <c r="D81" s="673">
        <v>4769</v>
      </c>
      <c r="E81" s="674">
        <v>1449</v>
      </c>
      <c r="N81" s="584" t="s">
        <v>923</v>
      </c>
      <c r="O81" s="673">
        <v>0</v>
      </c>
      <c r="P81" s="673">
        <v>506</v>
      </c>
      <c r="Q81" s="674">
        <v>668</v>
      </c>
    </row>
    <row r="82" spans="2:17">
      <c r="B82" s="584" t="s">
        <v>924</v>
      </c>
      <c r="C82" s="673">
        <v>1495</v>
      </c>
      <c r="D82" s="673">
        <v>4551</v>
      </c>
      <c r="E82" s="674">
        <v>1383</v>
      </c>
      <c r="N82" s="584" t="s">
        <v>924</v>
      </c>
      <c r="O82" s="673">
        <v>0</v>
      </c>
      <c r="P82" s="673">
        <v>613</v>
      </c>
      <c r="Q82" s="674">
        <v>677</v>
      </c>
    </row>
    <row r="83" spans="2:17">
      <c r="B83" s="584" t="s">
        <v>925</v>
      </c>
      <c r="C83" s="673">
        <v>1662</v>
      </c>
      <c r="D83" s="673">
        <v>2617</v>
      </c>
      <c r="E83" s="674">
        <v>887</v>
      </c>
      <c r="N83" s="584" t="s">
        <v>925</v>
      </c>
      <c r="O83" s="673">
        <v>0</v>
      </c>
      <c r="P83" s="673">
        <v>458</v>
      </c>
      <c r="Q83" s="674">
        <v>581</v>
      </c>
    </row>
    <row r="84" spans="2:17">
      <c r="B84" s="584" t="s">
        <v>897</v>
      </c>
      <c r="C84" s="673" t="s">
        <v>926</v>
      </c>
      <c r="D84" s="673" t="s">
        <v>926</v>
      </c>
      <c r="E84" s="674" t="s">
        <v>926</v>
      </c>
      <c r="N84" s="584" t="s">
        <v>897</v>
      </c>
      <c r="O84" s="673">
        <v>0</v>
      </c>
      <c r="P84" s="673">
        <v>361</v>
      </c>
      <c r="Q84" s="674">
        <v>306</v>
      </c>
    </row>
    <row r="85" spans="2:17">
      <c r="B85" s="584" t="s">
        <v>898</v>
      </c>
      <c r="C85" s="673">
        <v>471</v>
      </c>
      <c r="D85" s="673">
        <v>1096</v>
      </c>
      <c r="E85" s="674">
        <v>829</v>
      </c>
      <c r="N85" s="584" t="s">
        <v>898</v>
      </c>
      <c r="O85" s="673"/>
      <c r="P85" s="673">
        <v>124</v>
      </c>
      <c r="Q85" s="674">
        <v>134</v>
      </c>
    </row>
    <row r="86" spans="2:17">
      <c r="B86" s="584" t="s">
        <v>899</v>
      </c>
      <c r="C86" s="673">
        <v>79</v>
      </c>
      <c r="D86" s="673">
        <v>208</v>
      </c>
      <c r="E86" s="674">
        <v>102</v>
      </c>
      <c r="N86" s="584" t="s">
        <v>899</v>
      </c>
      <c r="O86" s="673">
        <v>0</v>
      </c>
      <c r="P86" s="673">
        <v>0</v>
      </c>
      <c r="Q86" s="674">
        <v>0</v>
      </c>
    </row>
    <row r="87" spans="2:17">
      <c r="B87" s="584" t="s">
        <v>900</v>
      </c>
      <c r="C87" s="673">
        <v>1247</v>
      </c>
      <c r="D87" s="673">
        <v>1168</v>
      </c>
      <c r="E87" s="674">
        <v>900</v>
      </c>
      <c r="N87" s="584" t="s">
        <v>900</v>
      </c>
      <c r="O87" s="673">
        <v>0</v>
      </c>
      <c r="P87" s="673">
        <v>237</v>
      </c>
      <c r="Q87" s="674">
        <v>304</v>
      </c>
    </row>
    <row r="88" spans="2:17">
      <c r="B88" s="584" t="s">
        <v>901</v>
      </c>
      <c r="C88" s="673">
        <v>132</v>
      </c>
      <c r="D88" s="673">
        <v>396</v>
      </c>
      <c r="E88" s="674">
        <v>229</v>
      </c>
      <c r="N88" s="584" t="s">
        <v>901</v>
      </c>
      <c r="O88" s="673">
        <v>0</v>
      </c>
      <c r="P88" s="673">
        <v>148</v>
      </c>
      <c r="Q88" s="674">
        <v>259</v>
      </c>
    </row>
    <row r="89" spans="2:17">
      <c r="B89" s="584" t="s">
        <v>927</v>
      </c>
      <c r="C89" s="673">
        <v>556</v>
      </c>
      <c r="D89" s="673">
        <v>628</v>
      </c>
      <c r="E89" s="674">
        <v>909</v>
      </c>
      <c r="N89" s="584" t="s">
        <v>927</v>
      </c>
      <c r="O89" s="673">
        <v>0</v>
      </c>
      <c r="P89" s="673">
        <v>438</v>
      </c>
      <c r="Q89" s="674">
        <v>5030</v>
      </c>
    </row>
    <row r="90" spans="2:17">
      <c r="B90" s="584" t="s">
        <v>928</v>
      </c>
      <c r="C90" s="673">
        <v>417</v>
      </c>
      <c r="D90" s="673">
        <v>583</v>
      </c>
      <c r="E90" s="674">
        <v>1271</v>
      </c>
      <c r="N90" s="584" t="s">
        <v>928</v>
      </c>
      <c r="O90" s="673">
        <v>0</v>
      </c>
      <c r="P90" s="673">
        <v>136</v>
      </c>
      <c r="Q90" s="674">
        <v>568</v>
      </c>
    </row>
    <row r="91" spans="2:17">
      <c r="B91" s="584" t="s">
        <v>929</v>
      </c>
      <c r="C91" s="673">
        <v>560</v>
      </c>
      <c r="D91" s="673">
        <v>600</v>
      </c>
      <c r="E91" s="674">
        <v>900</v>
      </c>
      <c r="N91" s="584" t="s">
        <v>929</v>
      </c>
      <c r="O91" s="673">
        <v>0</v>
      </c>
      <c r="P91" s="673">
        <v>144</v>
      </c>
      <c r="Q91" s="674">
        <v>2586</v>
      </c>
    </row>
    <row r="92" spans="2:17">
      <c r="B92" s="584" t="s">
        <v>930</v>
      </c>
      <c r="C92" s="673">
        <v>488</v>
      </c>
      <c r="D92" s="673">
        <v>600</v>
      </c>
      <c r="E92" s="674">
        <v>379</v>
      </c>
      <c r="N92" s="584" t="s">
        <v>930</v>
      </c>
      <c r="O92" s="673">
        <v>0</v>
      </c>
      <c r="P92" s="673">
        <v>351</v>
      </c>
      <c r="Q92" s="674">
        <v>3421</v>
      </c>
    </row>
    <row r="93" spans="2:17" ht="15.75" thickBot="1">
      <c r="B93" s="587" t="s">
        <v>931</v>
      </c>
      <c r="C93" s="679">
        <v>858</v>
      </c>
      <c r="D93" s="679">
        <v>1289</v>
      </c>
      <c r="E93" s="680">
        <v>2902</v>
      </c>
      <c r="N93" s="587" t="s">
        <v>931</v>
      </c>
      <c r="O93" s="679">
        <v>0</v>
      </c>
      <c r="P93" s="679">
        <v>191</v>
      </c>
      <c r="Q93" s="680">
        <v>5843</v>
      </c>
    </row>
    <row r="94" spans="2:17">
      <c r="N94" s="568" t="s">
        <v>1092</v>
      </c>
    </row>
    <row r="96" spans="2:17" ht="15.75" thickBot="1">
      <c r="B96" s="580" t="s">
        <v>932</v>
      </c>
    </row>
    <row r="97" spans="2:12">
      <c r="B97" s="591" t="s">
        <v>933</v>
      </c>
      <c r="C97" s="581" t="s">
        <v>861</v>
      </c>
      <c r="D97" s="581" t="s">
        <v>903</v>
      </c>
      <c r="E97" s="581" t="s">
        <v>862</v>
      </c>
      <c r="F97" s="581" t="s">
        <v>863</v>
      </c>
      <c r="G97" s="581" t="s">
        <v>864</v>
      </c>
      <c r="H97" s="581" t="s">
        <v>865</v>
      </c>
      <c r="I97" s="581" t="s">
        <v>866</v>
      </c>
      <c r="J97" s="581" t="s">
        <v>868</v>
      </c>
      <c r="K97" s="581" t="s">
        <v>869</v>
      </c>
      <c r="L97" s="582" t="s">
        <v>870</v>
      </c>
    </row>
    <row r="98" spans="2:12">
      <c r="B98" s="584" t="s">
        <v>934</v>
      </c>
      <c r="C98" s="673">
        <v>1</v>
      </c>
      <c r="D98" s="673">
        <v>1</v>
      </c>
      <c r="E98" s="673">
        <v>1</v>
      </c>
      <c r="F98" s="673">
        <v>1</v>
      </c>
      <c r="G98" s="673">
        <v>1</v>
      </c>
      <c r="H98" s="673">
        <v>1</v>
      </c>
      <c r="I98" s="673">
        <v>1</v>
      </c>
      <c r="J98" s="673">
        <v>1</v>
      </c>
      <c r="K98" s="673">
        <v>1</v>
      </c>
      <c r="L98" s="674">
        <v>1</v>
      </c>
    </row>
    <row r="99" spans="2:12">
      <c r="B99" s="584" t="s">
        <v>935</v>
      </c>
      <c r="C99" s="673">
        <v>1</v>
      </c>
      <c r="D99" s="673">
        <v>1</v>
      </c>
      <c r="E99" s="673">
        <v>1</v>
      </c>
      <c r="F99" s="673">
        <v>0.55500000000000005</v>
      </c>
      <c r="G99" s="673">
        <v>0.82</v>
      </c>
      <c r="H99" s="673">
        <v>0.82</v>
      </c>
      <c r="I99" s="673">
        <v>0.82</v>
      </c>
      <c r="J99" s="673">
        <v>1</v>
      </c>
      <c r="K99" s="673">
        <v>1</v>
      </c>
      <c r="L99" s="674">
        <v>1</v>
      </c>
    </row>
    <row r="100" spans="2:12">
      <c r="B100" s="584" t="s">
        <v>936</v>
      </c>
      <c r="C100" s="673">
        <v>0.94</v>
      </c>
      <c r="D100" s="673">
        <v>1</v>
      </c>
      <c r="E100" s="673">
        <v>1</v>
      </c>
      <c r="F100" s="673">
        <v>0.185</v>
      </c>
      <c r="G100" s="673">
        <v>0.25</v>
      </c>
      <c r="H100" s="673">
        <v>0.25</v>
      </c>
      <c r="I100" s="673">
        <v>0.25</v>
      </c>
      <c r="J100" s="673">
        <v>1</v>
      </c>
      <c r="K100" s="673">
        <v>0.94</v>
      </c>
      <c r="L100" s="674">
        <v>1</v>
      </c>
    </row>
    <row r="101" spans="2:12">
      <c r="B101" s="584" t="s">
        <v>937</v>
      </c>
      <c r="C101" s="673">
        <v>0.94</v>
      </c>
      <c r="D101" s="673">
        <v>1</v>
      </c>
      <c r="E101" s="673">
        <v>1</v>
      </c>
      <c r="F101" s="673">
        <v>0.55500000000000005</v>
      </c>
      <c r="G101" s="673">
        <v>0.47</v>
      </c>
      <c r="H101" s="673">
        <v>0.47</v>
      </c>
      <c r="I101" s="673">
        <v>0.47</v>
      </c>
      <c r="J101" s="673">
        <v>1</v>
      </c>
      <c r="K101" s="673">
        <v>0.94</v>
      </c>
      <c r="L101" s="674">
        <v>1</v>
      </c>
    </row>
    <row r="102" spans="2:12">
      <c r="B102" s="584" t="s">
        <v>938</v>
      </c>
      <c r="C102" s="673">
        <v>0.94</v>
      </c>
      <c r="D102" s="673">
        <v>1</v>
      </c>
      <c r="E102" s="673">
        <v>1</v>
      </c>
      <c r="F102" s="673">
        <v>3.6999999999999998E-2</v>
      </c>
      <c r="G102" s="673">
        <v>0.17</v>
      </c>
      <c r="H102" s="673">
        <v>0.17</v>
      </c>
      <c r="I102" s="673">
        <v>0.17</v>
      </c>
      <c r="J102" s="673">
        <v>1</v>
      </c>
      <c r="K102" s="673">
        <v>0.94</v>
      </c>
      <c r="L102" s="674">
        <v>1</v>
      </c>
    </row>
    <row r="103" spans="2:12">
      <c r="B103" s="584" t="s">
        <v>939</v>
      </c>
      <c r="C103" s="673">
        <v>0.94</v>
      </c>
      <c r="D103" s="673">
        <v>1</v>
      </c>
      <c r="E103" s="673">
        <v>1</v>
      </c>
      <c r="F103" s="673">
        <v>0.111</v>
      </c>
      <c r="G103" s="673">
        <v>0.21</v>
      </c>
      <c r="H103" s="673">
        <v>0.21</v>
      </c>
      <c r="I103" s="673">
        <v>0.21</v>
      </c>
      <c r="J103" s="673">
        <v>1</v>
      </c>
      <c r="K103" s="673">
        <v>0.94</v>
      </c>
      <c r="L103" s="674">
        <v>1</v>
      </c>
    </row>
    <row r="104" spans="2:12">
      <c r="B104" s="584" t="s">
        <v>940</v>
      </c>
      <c r="C104" s="673">
        <v>0.94</v>
      </c>
      <c r="D104" s="673">
        <v>1</v>
      </c>
      <c r="E104" s="673">
        <v>1</v>
      </c>
      <c r="F104" s="673">
        <v>0.14799999999999999</v>
      </c>
      <c r="G104" s="673">
        <v>0.23</v>
      </c>
      <c r="H104" s="673">
        <v>0.23</v>
      </c>
      <c r="I104" s="673">
        <v>0.23</v>
      </c>
      <c r="J104" s="673">
        <v>1</v>
      </c>
      <c r="K104" s="673">
        <v>0.94</v>
      </c>
      <c r="L104" s="674">
        <v>1</v>
      </c>
    </row>
    <row r="105" spans="2:12">
      <c r="B105" s="597" t="s">
        <v>941</v>
      </c>
      <c r="C105" s="675">
        <f>C102</f>
        <v>0.94</v>
      </c>
      <c r="D105" s="675">
        <f t="shared" ref="D105:L105" si="8">D102</f>
        <v>1</v>
      </c>
      <c r="E105" s="675">
        <f t="shared" si="8"/>
        <v>1</v>
      </c>
      <c r="F105" s="676">
        <f>F102-(F100-F102)/0.4*(0.1-0.0015)</f>
        <v>5.5499999999999994E-4</v>
      </c>
      <c r="G105" s="677">
        <f t="shared" ref="G105:I105" si="9">G102-(G100-G102)/0.4*(0.1-0.0015)</f>
        <v>0.15030000000000002</v>
      </c>
      <c r="H105" s="677">
        <f t="shared" si="9"/>
        <v>0.15030000000000002</v>
      </c>
      <c r="I105" s="677">
        <f t="shared" si="9"/>
        <v>0.15030000000000002</v>
      </c>
      <c r="J105" s="675">
        <f t="shared" si="8"/>
        <v>1</v>
      </c>
      <c r="K105" s="675">
        <f t="shared" si="8"/>
        <v>0.94</v>
      </c>
      <c r="L105" s="678">
        <f t="shared" si="8"/>
        <v>1</v>
      </c>
    </row>
    <row r="106" spans="2:12" ht="15.75" thickBot="1">
      <c r="B106" s="587" t="s">
        <v>333</v>
      </c>
      <c r="C106" s="679">
        <v>1</v>
      </c>
      <c r="D106" s="679">
        <v>1</v>
      </c>
      <c r="E106" s="679">
        <v>1</v>
      </c>
      <c r="F106" s="679">
        <v>1</v>
      </c>
      <c r="G106" s="679">
        <v>1</v>
      </c>
      <c r="H106" s="679">
        <v>1</v>
      </c>
      <c r="I106" s="679">
        <v>1</v>
      </c>
      <c r="J106" s="679">
        <v>1</v>
      </c>
      <c r="K106" s="679">
        <v>1</v>
      </c>
      <c r="L106" s="680">
        <v>1</v>
      </c>
    </row>
    <row r="107" spans="2:12">
      <c r="B107" s="603" t="s">
        <v>942</v>
      </c>
    </row>
    <row r="108" spans="2:12">
      <c r="B108" s="604" t="s">
        <v>943</v>
      </c>
    </row>
    <row r="109" spans="2:12" ht="15.75" thickBot="1"/>
    <row r="110" spans="2:12" ht="30">
      <c r="B110" s="922" t="s">
        <v>944</v>
      </c>
      <c r="C110" s="1521" t="s">
        <v>945</v>
      </c>
      <c r="D110" s="923" t="s">
        <v>191</v>
      </c>
      <c r="E110" s="924" t="s">
        <v>20</v>
      </c>
    </row>
    <row r="111" spans="2:12">
      <c r="B111" s="584" t="s">
        <v>946</v>
      </c>
      <c r="C111" s="1519">
        <f>Q13*(12/44)/Fuel_Specs!$F$13</f>
        <v>204.30898581187597</v>
      </c>
      <c r="D111" s="585" t="s">
        <v>1558</v>
      </c>
      <c r="E111" s="586" t="s">
        <v>1096</v>
      </c>
    </row>
    <row r="112" spans="2:12">
      <c r="B112" s="584" t="s">
        <v>947</v>
      </c>
      <c r="C112" s="1519">
        <f>Q53*(12/44)/Fuel_Specs!$F$13</f>
        <v>215.34419337887545</v>
      </c>
      <c r="D112" s="585" t="s">
        <v>1558</v>
      </c>
      <c r="E112" s="586" t="s">
        <v>1096</v>
      </c>
    </row>
    <row r="113" spans="2:9" ht="15.75" thickBot="1">
      <c r="B113" s="587" t="s">
        <v>229</v>
      </c>
      <c r="C113" s="1520">
        <f>Q60*(12/44)/Fuel_Specs!$F$13</f>
        <v>270.15150459958596</v>
      </c>
      <c r="D113" s="588" t="s">
        <v>1558</v>
      </c>
      <c r="E113" s="589" t="s">
        <v>1096</v>
      </c>
      <c r="F113" s="600"/>
      <c r="G113" s="600"/>
      <c r="H113" s="600"/>
      <c r="I113" s="600"/>
    </row>
    <row r="114" spans="2:9"/>
  </sheetData>
  <mergeCells count="3">
    <mergeCell ref="B4:R4"/>
    <mergeCell ref="N63:U63"/>
    <mergeCell ref="N64:U65"/>
  </mergeCells>
  <hyperlinks>
    <hyperlink ref="B22" r:id="rId1"/>
    <hyperlink ref="B23" r:id="rId2"/>
  </hyperlinks>
  <pageMargins left="0.7" right="0.7" top="0.75" bottom="0.75" header="0.3" footer="0.3"/>
  <pageSetup paperSize="17" scale="72" fitToHeight="0" orientation="landscape" r:id="rId3"/>
  <headerFooter>
    <oddFooter>&amp;C&amp;P</oddFooter>
  </headerFooter>
  <rowBreaks count="2" manualBreakCount="2">
    <brk id="57" max="20" man="1"/>
    <brk id="109" max="20" man="1"/>
  </rowBreaks>
  <legacy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25"/>
  <sheetViews>
    <sheetView topLeftCell="A13" zoomScale="85" zoomScaleNormal="85" zoomScaleSheetLayoutView="100" zoomScalePageLayoutView="85" workbookViewId="0">
      <selection activeCell="D18" sqref="D18"/>
    </sheetView>
  </sheetViews>
  <sheetFormatPr defaultColWidth="9.140625" defaultRowHeight="15"/>
  <cols>
    <col min="1" max="1" width="29.28515625" style="433" customWidth="1"/>
    <col min="2" max="2" width="9.28515625" style="433" customWidth="1"/>
    <col min="3" max="8" width="11.5703125" style="433" customWidth="1"/>
    <col min="9" max="12" width="9.28515625" style="433" customWidth="1"/>
    <col min="13" max="13" width="1.5703125" style="433" bestFit="1" customWidth="1"/>
    <col min="14" max="15" width="9.28515625" style="433" bestFit="1" customWidth="1"/>
    <col min="16" max="20" width="9.140625" style="433"/>
    <col min="21" max="21" width="12" style="433" bestFit="1" customWidth="1"/>
    <col min="22" max="24" width="9.140625" style="433"/>
    <col min="25" max="16384" width="9.140625" style="434"/>
  </cols>
  <sheetData>
    <row r="1" spans="1:33">
      <c r="A1" s="430" t="s">
        <v>561</v>
      </c>
      <c r="B1" s="431"/>
      <c r="C1" s="431"/>
      <c r="D1" s="431"/>
      <c r="E1" s="431"/>
      <c r="F1" s="431"/>
      <c r="G1" s="431"/>
      <c r="H1" s="432"/>
      <c r="I1" s="432"/>
      <c r="J1" s="432"/>
      <c r="K1" s="432"/>
      <c r="L1" s="431"/>
    </row>
    <row r="2" spans="1:33">
      <c r="A2" s="435">
        <v>0.799393301232598</v>
      </c>
      <c r="H2" s="432"/>
      <c r="I2" s="432"/>
      <c r="J2" s="432"/>
      <c r="K2" s="432"/>
    </row>
    <row r="3" spans="1:33" s="433" customFormat="1">
      <c r="H3" s="436"/>
      <c r="I3" s="437"/>
      <c r="J3" s="437"/>
      <c r="K3" s="437"/>
      <c r="Y3" s="434"/>
      <c r="Z3" s="434"/>
      <c r="AA3" s="434"/>
      <c r="AB3" s="434"/>
      <c r="AC3" s="434"/>
      <c r="AD3" s="434"/>
      <c r="AE3" s="434"/>
      <c r="AF3" s="434"/>
      <c r="AG3" s="434"/>
    </row>
    <row r="4" spans="1:33" s="433" customFormat="1" ht="17.25">
      <c r="A4" s="1985" t="s">
        <v>562</v>
      </c>
      <c r="B4" s="1985" t="s">
        <v>563</v>
      </c>
      <c r="C4" s="438" t="s">
        <v>564</v>
      </c>
      <c r="D4" s="439"/>
      <c r="E4" s="439"/>
      <c r="F4" s="439"/>
      <c r="G4" s="440"/>
      <c r="H4" s="441"/>
      <c r="I4" s="442"/>
      <c r="J4" s="442"/>
      <c r="K4" s="442"/>
      <c r="L4" s="1985" t="s">
        <v>222</v>
      </c>
      <c r="M4" s="443"/>
      <c r="Y4" s="434"/>
      <c r="Z4" s="434"/>
      <c r="AA4" s="434"/>
      <c r="AB4" s="434"/>
      <c r="AC4" s="434"/>
      <c r="AD4" s="434"/>
      <c r="AE4" s="434"/>
      <c r="AF4" s="434"/>
      <c r="AG4" s="434"/>
    </row>
    <row r="5" spans="1:33" s="433" customFormat="1" ht="45.75" thickBot="1">
      <c r="A5" s="1986"/>
      <c r="B5" s="1986"/>
      <c r="C5" s="444" t="s">
        <v>565</v>
      </c>
      <c r="D5" s="444" t="s">
        <v>566</v>
      </c>
      <c r="E5" s="444" t="s">
        <v>567</v>
      </c>
      <c r="F5" s="444" t="s">
        <v>568</v>
      </c>
      <c r="G5" s="444" t="s">
        <v>569</v>
      </c>
      <c r="H5" s="444" t="s">
        <v>570</v>
      </c>
      <c r="I5" s="444" t="s">
        <v>571</v>
      </c>
      <c r="J5" s="444" t="s">
        <v>572</v>
      </c>
      <c r="K5" s="444" t="s">
        <v>573</v>
      </c>
      <c r="L5" s="1986"/>
      <c r="Y5" s="434"/>
      <c r="Z5" s="434"/>
      <c r="AA5" s="434"/>
      <c r="AB5" s="434"/>
      <c r="AC5" s="434"/>
      <c r="AD5" s="434"/>
      <c r="AE5" s="434"/>
      <c r="AF5" s="434"/>
      <c r="AG5" s="434"/>
    </row>
    <row r="6" spans="1:33" s="433" customFormat="1" ht="15.75" thickTop="1">
      <c r="A6" s="445"/>
      <c r="B6" s="445"/>
      <c r="C6" s="445"/>
      <c r="D6" s="445"/>
      <c r="E6" s="445"/>
      <c r="F6" s="445"/>
      <c r="G6" s="445"/>
      <c r="H6" s="446"/>
      <c r="I6" s="445"/>
      <c r="J6" s="445"/>
      <c r="K6" s="445"/>
      <c r="L6" s="445"/>
      <c r="Y6" s="434"/>
      <c r="Z6" s="434"/>
      <c r="AA6" s="434"/>
      <c r="AB6" s="434"/>
      <c r="AC6" s="434"/>
      <c r="AD6" s="434"/>
      <c r="AE6" s="434"/>
      <c r="AF6" s="434"/>
      <c r="AG6" s="434"/>
    </row>
    <row r="7" spans="1:33" s="433" customFormat="1">
      <c r="A7" s="447" t="s">
        <v>574</v>
      </c>
      <c r="B7" s="448">
        <v>1092.953013546987</v>
      </c>
      <c r="C7" s="448">
        <v>346.23717985554839</v>
      </c>
      <c r="D7" s="448">
        <v>466.33610909845947</v>
      </c>
      <c r="E7" s="448">
        <v>1644.1750560155813</v>
      </c>
      <c r="F7" s="448">
        <v>864.47497351433378</v>
      </c>
      <c r="G7" s="448">
        <v>1824.5610612756359</v>
      </c>
      <c r="H7" s="448">
        <v>1143.7958220361359</v>
      </c>
      <c r="I7" s="448">
        <v>506</v>
      </c>
      <c r="J7" s="448">
        <v>506</v>
      </c>
      <c r="K7" s="448">
        <v>222.64</v>
      </c>
      <c r="L7" s="448">
        <v>138000</v>
      </c>
      <c r="Y7" s="434"/>
      <c r="Z7" s="434"/>
      <c r="AA7" s="434"/>
      <c r="AB7" s="434"/>
      <c r="AC7" s="434"/>
      <c r="AD7" s="434"/>
      <c r="AE7" s="434"/>
      <c r="AF7" s="434"/>
      <c r="AG7" s="434"/>
    </row>
    <row r="8" spans="1:33" s="433" customFormat="1">
      <c r="A8" s="449" t="s">
        <v>575</v>
      </c>
      <c r="B8" s="450">
        <v>4.6091924175538819E-2</v>
      </c>
      <c r="C8" s="450">
        <v>0.10126895175657308</v>
      </c>
      <c r="D8" s="450">
        <v>9.117505691797996E-2</v>
      </c>
      <c r="E8" s="450">
        <v>8.787460055544935E-2</v>
      </c>
      <c r="F8" s="450">
        <v>9.7307698556057434E-2</v>
      </c>
      <c r="G8" s="450">
        <v>8.6622386649299124E-2</v>
      </c>
      <c r="H8" s="450">
        <v>4.9390038631467341E-2</v>
      </c>
      <c r="I8" s="450">
        <v>5.8439999999999999E-2</v>
      </c>
      <c r="J8" s="450">
        <v>5.8560000000000001E-2</v>
      </c>
      <c r="K8" s="450">
        <v>6.744E-2</v>
      </c>
      <c r="L8" s="450"/>
      <c r="Y8" s="434"/>
      <c r="Z8" s="434"/>
      <c r="AA8" s="434"/>
      <c r="AB8" s="434"/>
      <c r="AC8" s="434"/>
      <c r="AD8" s="434"/>
      <c r="AE8" s="434"/>
      <c r="AF8" s="434"/>
      <c r="AG8" s="434"/>
    </row>
    <row r="9" spans="1:33" s="433" customFormat="1" ht="17.25">
      <c r="A9" s="449" t="s">
        <v>576</v>
      </c>
      <c r="B9" s="451">
        <v>24.795171026156947</v>
      </c>
      <c r="C9" s="448">
        <v>336.87458824993291</v>
      </c>
      <c r="D9" s="448">
        <v>911.72258587687475</v>
      </c>
      <c r="E9" s="448">
        <v>523.91654973154107</v>
      </c>
      <c r="F9" s="448">
        <v>249.93794879712377</v>
      </c>
      <c r="G9" s="448">
        <v>587.2286661244068</v>
      </c>
      <c r="H9" s="448">
        <v>16.770121337302225</v>
      </c>
      <c r="I9" s="448">
        <v>0</v>
      </c>
      <c r="J9" s="448">
        <v>0</v>
      </c>
      <c r="K9" s="448">
        <v>0</v>
      </c>
      <c r="L9" s="451">
        <v>15</v>
      </c>
      <c r="M9" s="452"/>
      <c r="Y9" s="434"/>
      <c r="Z9" s="434"/>
      <c r="AA9" s="434"/>
      <c r="AB9" s="434"/>
      <c r="AC9" s="434"/>
      <c r="AD9" s="434"/>
      <c r="AE9" s="434"/>
      <c r="AF9" s="434"/>
      <c r="AG9" s="434"/>
    </row>
    <row r="10" spans="1:33" s="433" customFormat="1">
      <c r="A10" s="449" t="s">
        <v>577</v>
      </c>
      <c r="B10" s="453" t="s">
        <v>578</v>
      </c>
      <c r="C10" s="454">
        <v>9.5983657774938627E-2</v>
      </c>
      <c r="D10" s="455">
        <v>0.14373965861351329</v>
      </c>
      <c r="E10" s="455">
        <v>0.50587162903882654</v>
      </c>
      <c r="F10" s="455">
        <v>0.24189374112487722</v>
      </c>
      <c r="G10" s="455">
        <v>0.57573269935898719</v>
      </c>
      <c r="H10" s="455">
        <v>0.17223700359430283</v>
      </c>
      <c r="I10" s="456">
        <v>1.0156311215023474E-3</v>
      </c>
      <c r="J10" s="456">
        <v>1.0156311215023474E-3</v>
      </c>
      <c r="K10" s="456">
        <v>1.0156311215023474E-3</v>
      </c>
      <c r="L10" s="453"/>
      <c r="M10" s="452"/>
      <c r="Y10" s="434"/>
      <c r="Z10" s="434"/>
      <c r="AA10" s="434"/>
      <c r="AB10" s="434"/>
      <c r="AC10" s="434"/>
      <c r="AD10" s="434"/>
      <c r="AE10" s="434"/>
      <c r="AF10" s="434"/>
      <c r="AG10" s="434"/>
    </row>
    <row r="11" spans="1:33" s="433" customFormat="1" ht="17.25">
      <c r="A11" s="457" t="s">
        <v>579</v>
      </c>
      <c r="B11" s="458">
        <v>2980</v>
      </c>
      <c r="C11" s="458">
        <f t="shared" ref="C11:K15" si="0">$B11</f>
        <v>2980</v>
      </c>
      <c r="D11" s="458">
        <f t="shared" si="0"/>
        <v>2980</v>
      </c>
      <c r="E11" s="458">
        <f t="shared" si="0"/>
        <v>2980</v>
      </c>
      <c r="F11" s="458">
        <f>$B11</f>
        <v>2980</v>
      </c>
      <c r="G11" s="458">
        <f>$B11</f>
        <v>2980</v>
      </c>
      <c r="H11" s="458">
        <f t="shared" ref="H11:K11" si="1">$B11</f>
        <v>2980</v>
      </c>
      <c r="I11" s="458">
        <f t="shared" si="1"/>
        <v>2980</v>
      </c>
      <c r="J11" s="458">
        <f t="shared" si="1"/>
        <v>2980</v>
      </c>
      <c r="K11" s="458">
        <f t="shared" si="1"/>
        <v>2980</v>
      </c>
      <c r="L11" s="458"/>
      <c r="Y11" s="434"/>
      <c r="Z11" s="434"/>
      <c r="AA11" s="434"/>
      <c r="AB11" s="434"/>
      <c r="AC11" s="434"/>
      <c r="AD11" s="434"/>
      <c r="AE11" s="434"/>
      <c r="AF11" s="434"/>
      <c r="AG11" s="434"/>
    </row>
    <row r="12" spans="1:33" s="433" customFormat="1" ht="17.25">
      <c r="A12" s="457" t="s">
        <v>580</v>
      </c>
      <c r="B12" s="458">
        <v>144</v>
      </c>
      <c r="C12" s="458">
        <f t="shared" si="0"/>
        <v>144</v>
      </c>
      <c r="D12" s="458">
        <f t="shared" si="0"/>
        <v>144</v>
      </c>
      <c r="E12" s="458">
        <f t="shared" si="0"/>
        <v>144</v>
      </c>
      <c r="F12" s="458">
        <f t="shared" si="0"/>
        <v>144</v>
      </c>
      <c r="G12" s="458">
        <f t="shared" si="0"/>
        <v>144</v>
      </c>
      <c r="H12" s="458">
        <f t="shared" si="0"/>
        <v>144</v>
      </c>
      <c r="I12" s="458">
        <f t="shared" si="0"/>
        <v>144</v>
      </c>
      <c r="J12" s="458">
        <f t="shared" si="0"/>
        <v>144</v>
      </c>
      <c r="K12" s="458">
        <f t="shared" si="0"/>
        <v>144</v>
      </c>
      <c r="L12" s="458"/>
      <c r="Y12" s="434"/>
      <c r="Z12" s="434"/>
      <c r="AA12" s="434"/>
      <c r="AB12" s="434"/>
      <c r="AC12" s="434"/>
      <c r="AD12" s="434"/>
      <c r="AE12" s="434"/>
      <c r="AF12" s="434"/>
      <c r="AG12" s="434"/>
    </row>
    <row r="13" spans="1:33" s="433" customFormat="1" ht="17.25">
      <c r="A13" s="457" t="s">
        <v>581</v>
      </c>
      <c r="B13" s="458">
        <v>986</v>
      </c>
      <c r="C13" s="458">
        <f t="shared" si="0"/>
        <v>986</v>
      </c>
      <c r="D13" s="458">
        <f t="shared" si="0"/>
        <v>986</v>
      </c>
      <c r="E13" s="458">
        <f t="shared" si="0"/>
        <v>986</v>
      </c>
      <c r="F13" s="458">
        <f t="shared" si="0"/>
        <v>986</v>
      </c>
      <c r="G13" s="458">
        <f t="shared" si="0"/>
        <v>986</v>
      </c>
      <c r="H13" s="458">
        <f t="shared" si="0"/>
        <v>986</v>
      </c>
      <c r="I13" s="458">
        <f t="shared" si="0"/>
        <v>986</v>
      </c>
      <c r="J13" s="458">
        <f t="shared" si="0"/>
        <v>986</v>
      </c>
      <c r="K13" s="458">
        <f t="shared" si="0"/>
        <v>986</v>
      </c>
      <c r="L13" s="458"/>
      <c r="Y13" s="434"/>
      <c r="Z13" s="434"/>
      <c r="AA13" s="434"/>
      <c r="AB13" s="434"/>
      <c r="AC13" s="434"/>
      <c r="AD13" s="434"/>
      <c r="AE13" s="434"/>
      <c r="AF13" s="434"/>
      <c r="AG13" s="434"/>
    </row>
    <row r="14" spans="1:33" s="433" customFormat="1" ht="17.25">
      <c r="A14" s="457" t="s">
        <v>582</v>
      </c>
      <c r="B14" s="458">
        <v>165</v>
      </c>
      <c r="C14" s="458">
        <f t="shared" si="0"/>
        <v>165</v>
      </c>
      <c r="D14" s="458">
        <f t="shared" si="0"/>
        <v>165</v>
      </c>
      <c r="E14" s="458">
        <f t="shared" si="0"/>
        <v>165</v>
      </c>
      <c r="F14" s="458">
        <f t="shared" si="0"/>
        <v>165</v>
      </c>
      <c r="G14" s="458">
        <f t="shared" si="0"/>
        <v>165</v>
      </c>
      <c r="H14" s="458">
        <f t="shared" si="0"/>
        <v>165</v>
      </c>
      <c r="I14" s="458">
        <f t="shared" si="0"/>
        <v>165</v>
      </c>
      <c r="J14" s="458">
        <f t="shared" si="0"/>
        <v>165</v>
      </c>
      <c r="K14" s="458">
        <f t="shared" si="0"/>
        <v>165</v>
      </c>
      <c r="L14" s="458"/>
      <c r="Y14" s="434"/>
      <c r="Z14" s="434"/>
      <c r="AA14" s="434"/>
      <c r="AB14" s="434"/>
      <c r="AC14" s="434"/>
      <c r="AD14" s="434"/>
      <c r="AE14" s="434"/>
      <c r="AF14" s="434"/>
      <c r="AG14" s="434"/>
    </row>
    <row r="15" spans="1:33" s="433" customFormat="1" ht="17.25">
      <c r="A15" s="457" t="s">
        <v>583</v>
      </c>
      <c r="B15" s="458">
        <v>2570</v>
      </c>
      <c r="C15" s="458">
        <f t="shared" si="0"/>
        <v>2570</v>
      </c>
      <c r="D15" s="458">
        <f t="shared" si="0"/>
        <v>2570</v>
      </c>
      <c r="E15" s="458">
        <f t="shared" si="0"/>
        <v>2570</v>
      </c>
      <c r="F15" s="458">
        <f t="shared" si="0"/>
        <v>2570</v>
      </c>
      <c r="G15" s="458">
        <f t="shared" si="0"/>
        <v>2570</v>
      </c>
      <c r="H15" s="458">
        <f t="shared" si="0"/>
        <v>2570</v>
      </c>
      <c r="I15" s="458">
        <f t="shared" si="0"/>
        <v>2570</v>
      </c>
      <c r="J15" s="458">
        <f t="shared" si="0"/>
        <v>2570</v>
      </c>
      <c r="K15" s="458">
        <f t="shared" si="0"/>
        <v>2570</v>
      </c>
      <c r="L15" s="458"/>
      <c r="Y15" s="434"/>
      <c r="Z15" s="434"/>
      <c r="AA15" s="434"/>
      <c r="AB15" s="434"/>
      <c r="AC15" s="434"/>
      <c r="AD15" s="434"/>
      <c r="AE15" s="434"/>
      <c r="AF15" s="434"/>
      <c r="AG15" s="434"/>
    </row>
    <row r="16" spans="1:33" s="433" customFormat="1">
      <c r="A16" s="459"/>
      <c r="B16" s="460"/>
      <c r="C16" s="460"/>
      <c r="D16" s="460"/>
      <c r="E16" s="460"/>
      <c r="F16" s="460"/>
      <c r="G16" s="460"/>
      <c r="H16" s="461"/>
      <c r="I16" s="461"/>
      <c r="J16" s="461"/>
      <c r="K16" s="461"/>
      <c r="L16" s="460"/>
      <c r="Y16" s="434"/>
      <c r="Z16" s="434"/>
      <c r="AA16" s="434"/>
      <c r="AB16" s="434"/>
      <c r="AC16" s="434"/>
      <c r="AD16" s="434"/>
      <c r="AE16" s="434"/>
      <c r="AF16" s="434"/>
      <c r="AG16" s="434"/>
    </row>
    <row r="17" spans="1:33" s="433" customFormat="1">
      <c r="Y17" s="434"/>
      <c r="Z17" s="434"/>
      <c r="AA17" s="434"/>
      <c r="AB17" s="434"/>
      <c r="AC17" s="434"/>
      <c r="AD17" s="434"/>
      <c r="AE17" s="434"/>
      <c r="AF17" s="434"/>
      <c r="AG17" s="434"/>
    </row>
    <row r="18" spans="1:33" s="433" customFormat="1">
      <c r="A18" s="462" t="s">
        <v>584</v>
      </c>
      <c r="Y18" s="434"/>
      <c r="Z18" s="434"/>
      <c r="AA18" s="434"/>
      <c r="AB18" s="434"/>
      <c r="AC18" s="434"/>
      <c r="AD18" s="434"/>
      <c r="AE18" s="434"/>
      <c r="AF18" s="434"/>
      <c r="AG18" s="434"/>
    </row>
    <row r="19" spans="1:33" s="433" customFormat="1" ht="17.25">
      <c r="A19" s="1987" t="s">
        <v>585</v>
      </c>
      <c r="B19" s="1987"/>
      <c r="C19" s="1987"/>
      <c r="D19" s="1987"/>
      <c r="E19" s="1987"/>
      <c r="F19" s="1987"/>
      <c r="G19" s="1987"/>
      <c r="M19" s="443"/>
      <c r="Y19" s="434"/>
      <c r="Z19" s="434"/>
      <c r="AA19" s="434"/>
      <c r="AB19" s="434"/>
      <c r="AC19" s="434"/>
      <c r="AD19" s="434"/>
      <c r="AE19" s="434"/>
      <c r="AF19" s="434"/>
      <c r="AG19" s="434"/>
    </row>
    <row r="20" spans="1:33" s="433" customFormat="1" ht="17.25">
      <c r="A20" s="1988" t="s">
        <v>586</v>
      </c>
      <c r="B20" s="1988"/>
      <c r="C20" s="1988"/>
      <c r="D20" s="1988"/>
      <c r="E20" s="1988"/>
      <c r="F20" s="1988"/>
      <c r="G20" s="1988"/>
      <c r="H20" s="1988"/>
      <c r="I20" s="1988"/>
      <c r="J20" s="1988"/>
      <c r="K20" s="1988"/>
      <c r="M20" s="443"/>
      <c r="N20" s="463"/>
      <c r="Y20" s="434"/>
      <c r="Z20" s="434"/>
      <c r="AA20" s="434"/>
      <c r="AB20" s="434"/>
      <c r="AC20" s="434"/>
      <c r="AD20" s="434"/>
      <c r="AE20" s="434"/>
      <c r="AF20" s="434"/>
      <c r="AG20" s="434"/>
    </row>
    <row r="21" spans="1:33" s="433" customFormat="1" ht="30.75" customHeight="1">
      <c r="A21" s="1988"/>
      <c r="B21" s="1988"/>
      <c r="C21" s="1988"/>
      <c r="D21" s="1988"/>
      <c r="E21" s="1988"/>
      <c r="F21" s="1988"/>
      <c r="G21" s="1988"/>
      <c r="H21" s="1988"/>
      <c r="I21" s="1988"/>
      <c r="J21" s="1988"/>
      <c r="K21" s="1988"/>
      <c r="M21" s="443"/>
      <c r="Y21" s="434"/>
      <c r="Z21" s="434"/>
      <c r="AA21" s="434"/>
      <c r="AB21" s="434"/>
      <c r="AC21" s="434"/>
      <c r="AD21" s="434"/>
      <c r="AE21" s="434"/>
      <c r="AF21" s="434"/>
      <c r="AG21" s="434"/>
    </row>
    <row r="22" spans="1:33" s="433" customFormat="1" ht="17.25">
      <c r="A22" s="1984" t="s">
        <v>587</v>
      </c>
      <c r="B22" s="1984"/>
      <c r="C22" s="1984"/>
      <c r="D22" s="1984"/>
      <c r="E22" s="1984"/>
      <c r="F22" s="1984"/>
      <c r="G22" s="1984"/>
      <c r="H22" s="1984"/>
      <c r="I22" s="1984"/>
      <c r="J22" s="1984"/>
      <c r="K22" s="1984"/>
      <c r="M22" s="443"/>
      <c r="N22" s="464"/>
      <c r="O22" s="464"/>
      <c r="Y22" s="434"/>
      <c r="Z22" s="434"/>
      <c r="AA22" s="434"/>
      <c r="AB22" s="434"/>
      <c r="AC22" s="434"/>
      <c r="AD22" s="434"/>
      <c r="AE22" s="434"/>
      <c r="AF22" s="434"/>
      <c r="AG22" s="434"/>
    </row>
    <row r="23" spans="1:33" s="433" customFormat="1">
      <c r="A23" s="1984"/>
      <c r="B23" s="1984"/>
      <c r="C23" s="1984"/>
      <c r="D23" s="1984"/>
      <c r="E23" s="1984"/>
      <c r="F23" s="1984"/>
      <c r="G23" s="1984"/>
      <c r="H23" s="1984"/>
      <c r="I23" s="1984"/>
      <c r="J23" s="1984"/>
      <c r="K23" s="1984"/>
      <c r="M23" s="464"/>
      <c r="N23" s="464"/>
      <c r="O23" s="464"/>
      <c r="Y23" s="434"/>
      <c r="Z23" s="434"/>
      <c r="AA23" s="434"/>
      <c r="AB23" s="434"/>
      <c r="AC23" s="434"/>
      <c r="AD23" s="434"/>
      <c r="AE23" s="434"/>
      <c r="AF23" s="434"/>
      <c r="AG23" s="434"/>
    </row>
    <row r="24" spans="1:33" s="433" customFormat="1">
      <c r="A24" s="464"/>
      <c r="B24" s="464"/>
      <c r="C24" s="464"/>
      <c r="D24" s="464"/>
      <c r="E24" s="464"/>
      <c r="F24" s="464"/>
      <c r="G24" s="464"/>
      <c r="H24" s="465"/>
      <c r="I24" s="464"/>
      <c r="J24" s="464"/>
      <c r="K24" s="464"/>
      <c r="M24" s="464"/>
      <c r="N24" s="464"/>
      <c r="O24" s="464"/>
      <c r="Y24" s="434"/>
      <c r="Z24" s="434"/>
      <c r="AA24" s="434"/>
      <c r="AB24" s="434"/>
      <c r="AC24" s="434"/>
      <c r="AD24" s="434"/>
      <c r="AE24" s="434"/>
      <c r="AF24" s="434"/>
      <c r="AG24" s="434"/>
    </row>
    <row r="25" spans="1:33">
      <c r="C25" s="466"/>
    </row>
  </sheetData>
  <mergeCells count="6">
    <mergeCell ref="A22:K23"/>
    <mergeCell ref="A4:A5"/>
    <mergeCell ref="B4:B5"/>
    <mergeCell ref="L4:L5"/>
    <mergeCell ref="A19:G19"/>
    <mergeCell ref="A20:K21"/>
  </mergeCells>
  <printOptions horizontalCentered="1"/>
  <pageMargins left="0.75" right="0.75" top="1.6" bottom="1" header="0.75" footer="0.5"/>
  <pageSetup scale="99" fitToHeight="0" orientation="landscape" r:id="rId1"/>
  <headerFooter>
    <oddHeader>&amp;C&amp;"-,Bold"Table B-2
Combusted Gas Characteristics
Puget Sound Energy – Liquefied Natural Gas Project
Tacoma, Washington&amp;R&amp;8Page &amp;P of &amp;N</oddHeader>
    <oddFooter>&amp;L&amp;6 May 2017  &amp;Z&amp;F  &amp;A&amp;R&amp;9Landau Associates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Q11"/>
  <sheetViews>
    <sheetView tabSelected="1" zoomScaleNormal="100" zoomScaleSheetLayoutView="50" workbookViewId="0">
      <selection activeCell="B16" sqref="B16"/>
    </sheetView>
  </sheetViews>
  <sheetFormatPr defaultColWidth="9.140625" defaultRowHeight="15"/>
  <cols>
    <col min="1" max="16384" width="9.140625" style="567"/>
  </cols>
  <sheetData>
    <row r="2" spans="1:43">
      <c r="A2" s="685" t="s">
        <v>1030</v>
      </c>
      <c r="AN2" s="686"/>
      <c r="AO2" s="686"/>
      <c r="AP2" s="686"/>
      <c r="AQ2" s="686"/>
    </row>
    <row r="3" spans="1:43">
      <c r="A3" s="687" t="s">
        <v>1029</v>
      </c>
      <c r="AN3" s="686"/>
      <c r="AO3" s="686"/>
      <c r="AP3" s="686"/>
      <c r="AQ3" s="686"/>
    </row>
    <row r="4" spans="1:43">
      <c r="A4" s="688"/>
      <c r="B4" s="689" t="s">
        <v>76</v>
      </c>
      <c r="C4" s="690"/>
      <c r="D4" s="690"/>
      <c r="E4" s="690"/>
      <c r="F4" s="690"/>
      <c r="G4" s="690"/>
      <c r="H4" s="689" t="s">
        <v>86</v>
      </c>
      <c r="I4" s="690"/>
      <c r="J4" s="689" t="s">
        <v>1028</v>
      </c>
      <c r="K4" s="690"/>
      <c r="L4" s="690"/>
      <c r="M4" s="689" t="s">
        <v>222</v>
      </c>
      <c r="N4" s="690"/>
      <c r="O4" s="690"/>
      <c r="P4" s="690"/>
      <c r="Q4" s="690"/>
      <c r="R4" s="690"/>
      <c r="S4" s="690"/>
      <c r="T4" s="690"/>
      <c r="U4" s="689" t="s">
        <v>220</v>
      </c>
      <c r="V4" s="690"/>
      <c r="W4" s="690"/>
      <c r="X4" s="689" t="s">
        <v>1027</v>
      </c>
      <c r="Y4" s="690"/>
      <c r="Z4" s="690"/>
      <c r="AA4" s="690"/>
      <c r="AB4" s="689" t="s">
        <v>31</v>
      </c>
      <c r="AC4" s="691" t="s">
        <v>1026</v>
      </c>
      <c r="AD4" s="689" t="s">
        <v>1025</v>
      </c>
      <c r="AE4" s="690"/>
      <c r="AF4" s="692"/>
      <c r="AG4" s="567" t="s">
        <v>1024</v>
      </c>
    </row>
    <row r="5" spans="1:43">
      <c r="B5" s="693" t="s">
        <v>229</v>
      </c>
      <c r="C5" s="687" t="s">
        <v>858</v>
      </c>
      <c r="D5" s="687" t="s">
        <v>1023</v>
      </c>
      <c r="E5" s="687" t="s">
        <v>1013</v>
      </c>
      <c r="F5" s="687" t="s">
        <v>1014</v>
      </c>
      <c r="G5" s="687" t="s">
        <v>1022</v>
      </c>
      <c r="H5" s="693" t="s">
        <v>229</v>
      </c>
      <c r="I5" s="687" t="s">
        <v>1021</v>
      </c>
      <c r="J5" s="693" t="s">
        <v>1019</v>
      </c>
      <c r="K5" s="687" t="s">
        <v>1021</v>
      </c>
      <c r="L5" s="687" t="s">
        <v>1020</v>
      </c>
      <c r="M5" s="693" t="s">
        <v>1019</v>
      </c>
      <c r="N5" s="687" t="s">
        <v>1013</v>
      </c>
      <c r="O5" s="687" t="s">
        <v>858</v>
      </c>
      <c r="P5" s="687" t="s">
        <v>1018</v>
      </c>
      <c r="Q5" s="687" t="s">
        <v>1014</v>
      </c>
      <c r="R5" s="687" t="s">
        <v>286</v>
      </c>
      <c r="S5" s="687" t="s">
        <v>1017</v>
      </c>
      <c r="T5" s="687" t="s">
        <v>1016</v>
      </c>
      <c r="U5" s="693" t="s">
        <v>858</v>
      </c>
      <c r="V5" s="687" t="s">
        <v>1015</v>
      </c>
      <c r="W5" s="687" t="s">
        <v>1014</v>
      </c>
      <c r="X5" s="693" t="s">
        <v>229</v>
      </c>
      <c r="Y5" s="687" t="s">
        <v>858</v>
      </c>
      <c r="Z5" s="687" t="s">
        <v>1013</v>
      </c>
      <c r="AA5" s="687" t="s">
        <v>1012</v>
      </c>
      <c r="AB5" s="693" t="s">
        <v>229</v>
      </c>
      <c r="AC5" s="694" t="s">
        <v>229</v>
      </c>
      <c r="AD5" s="693" t="s">
        <v>897</v>
      </c>
      <c r="AE5" s="687" t="s">
        <v>1011</v>
      </c>
      <c r="AF5" s="692"/>
    </row>
    <row r="6" spans="1:43">
      <c r="A6" s="695" t="s">
        <v>254</v>
      </c>
      <c r="B6" s="696">
        <v>16.5</v>
      </c>
      <c r="C6" s="697">
        <v>20</v>
      </c>
      <c r="D6" s="697">
        <v>2.9</v>
      </c>
      <c r="E6" s="697">
        <v>2.9</v>
      </c>
      <c r="F6" s="697">
        <v>9.7503313393272926</v>
      </c>
      <c r="G6" s="697">
        <v>95</v>
      </c>
      <c r="H6" s="696">
        <v>4.3</v>
      </c>
      <c r="I6" s="697">
        <v>4.3</v>
      </c>
      <c r="J6" s="696">
        <v>13.8</v>
      </c>
      <c r="K6" s="697">
        <v>13.8</v>
      </c>
      <c r="L6" s="697">
        <v>12.1</v>
      </c>
      <c r="M6" s="696">
        <v>10</v>
      </c>
      <c r="N6" s="697">
        <v>10</v>
      </c>
      <c r="O6" s="697">
        <v>81.3</v>
      </c>
      <c r="P6" s="697">
        <v>56.3</v>
      </c>
      <c r="Q6" s="697">
        <v>77.127655913386434</v>
      </c>
      <c r="R6" s="697">
        <v>8.4</v>
      </c>
      <c r="S6" s="697">
        <v>16</v>
      </c>
      <c r="T6" s="697">
        <v>8.1</v>
      </c>
      <c r="U6" s="696">
        <v>10</v>
      </c>
      <c r="V6" s="697">
        <v>13.6</v>
      </c>
      <c r="W6" s="697">
        <v>9.7503313393272926</v>
      </c>
      <c r="X6" s="696">
        <v>6.34</v>
      </c>
      <c r="Y6" s="697">
        <v>15</v>
      </c>
      <c r="Z6" s="697">
        <v>6</v>
      </c>
      <c r="AA6" s="697">
        <v>15</v>
      </c>
      <c r="AB6" s="696">
        <v>2.9</v>
      </c>
      <c r="AC6" s="698">
        <v>6.2</v>
      </c>
      <c r="AD6" s="696">
        <v>31.3</v>
      </c>
      <c r="AE6" s="697">
        <v>35.799999999999997</v>
      </c>
      <c r="AF6" s="692"/>
    </row>
    <row r="7" spans="1:43">
      <c r="A7" s="699" t="s">
        <v>255</v>
      </c>
      <c r="B7" s="700">
        <v>42.8</v>
      </c>
      <c r="C7" s="701">
        <v>42.8</v>
      </c>
      <c r="D7" s="701">
        <v>68</v>
      </c>
      <c r="E7" s="701">
        <v>68</v>
      </c>
      <c r="F7" s="701">
        <v>83.701687144034096</v>
      </c>
      <c r="G7" s="701">
        <v>5</v>
      </c>
      <c r="H7" s="700">
        <v>8.1</v>
      </c>
      <c r="I7" s="701">
        <v>8.1</v>
      </c>
      <c r="J7" s="700">
        <v>32.6</v>
      </c>
      <c r="K7" s="701">
        <v>32.6</v>
      </c>
      <c r="L7" s="701">
        <v>33.9</v>
      </c>
      <c r="M7" s="700">
        <v>25</v>
      </c>
      <c r="N7" s="701">
        <v>25</v>
      </c>
      <c r="O7" s="701">
        <v>18.100000000000001</v>
      </c>
      <c r="P7" s="701">
        <v>34.9</v>
      </c>
      <c r="Q7" s="701">
        <v>21.073859686555764</v>
      </c>
      <c r="R7" s="701">
        <v>88.6</v>
      </c>
      <c r="S7" s="701">
        <v>66</v>
      </c>
      <c r="T7" s="701">
        <v>88</v>
      </c>
      <c r="U7" s="700">
        <v>32</v>
      </c>
      <c r="V7" s="701">
        <v>86.4</v>
      </c>
      <c r="W7" s="701">
        <v>83.701687144034096</v>
      </c>
      <c r="X7" s="700">
        <v>4.4000000000000004</v>
      </c>
      <c r="Y7" s="701">
        <v>39</v>
      </c>
      <c r="Z7" s="701">
        <v>4</v>
      </c>
      <c r="AA7" s="701">
        <v>39</v>
      </c>
      <c r="AB7" s="700">
        <v>2.1</v>
      </c>
      <c r="AC7" s="702">
        <v>79.900000000000006</v>
      </c>
      <c r="AD7" s="700">
        <v>30.3</v>
      </c>
      <c r="AE7" s="701">
        <v>26</v>
      </c>
      <c r="AF7" s="692"/>
    </row>
    <row r="11" spans="1:43" ht="18.75">
      <c r="A11" s="606"/>
    </row>
  </sheetData>
  <pageMargins left="0.7" right="0.7" top="0.75" bottom="0.75" header="0.3" footer="0.25"/>
  <pageSetup paperSize="17" scale="65" fitToHeight="0" orientation="landscape" r:id="rId1"/>
  <headerFooter scaleWithDoc="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4:M67"/>
  <sheetViews>
    <sheetView showGridLines="0" zoomScale="82" zoomScaleNormal="82" workbookViewId="0">
      <selection activeCell="G25" sqref="G25"/>
    </sheetView>
  </sheetViews>
  <sheetFormatPr defaultColWidth="9.140625" defaultRowHeight="15"/>
  <cols>
    <col min="2" max="2" width="19.85546875" customWidth="1"/>
    <col min="3" max="3" width="11.7109375" customWidth="1"/>
    <col min="4" max="4" width="13.42578125" customWidth="1"/>
    <col min="5" max="5" width="11.5703125" customWidth="1"/>
    <col min="6" max="6" width="15" customWidth="1"/>
    <col min="7" max="7" width="11" customWidth="1"/>
  </cols>
  <sheetData>
    <row r="4" spans="2:8" ht="38.25" customHeight="1" thickBot="1">
      <c r="B4" s="1280" t="s">
        <v>1392</v>
      </c>
      <c r="C4" s="1281" t="s">
        <v>1390</v>
      </c>
      <c r="D4" s="1281" t="s">
        <v>1391</v>
      </c>
      <c r="E4" s="915" t="s">
        <v>1051</v>
      </c>
      <c r="F4" s="157" t="s">
        <v>1052</v>
      </c>
      <c r="H4" s="156"/>
    </row>
    <row r="5" spans="2:8" ht="16.5" thickTop="1">
      <c r="B5" s="1282" t="s">
        <v>1055</v>
      </c>
      <c r="C5" s="1283">
        <f>Results!E5</f>
        <v>1580.7997202170586</v>
      </c>
      <c r="D5" s="1283"/>
      <c r="E5" s="916"/>
      <c r="F5" s="164"/>
    </row>
    <row r="6" spans="2:8" ht="15.75">
      <c r="B6" s="1282" t="s">
        <v>1388</v>
      </c>
      <c r="C6" s="1283">
        <f>Results!E11</f>
        <v>215757.18498103466</v>
      </c>
      <c r="D6" s="1283">
        <f>Results!E36</f>
        <v>298718.59670037974</v>
      </c>
      <c r="E6" s="1245">
        <f>'Results FEIS scenario A'!K5+'Results FEIS scenario A'!K6+'Results FEIS scenario A'!K7+'Results FEIS scenario A'!K10</f>
        <v>69299.090233008988</v>
      </c>
      <c r="F6" s="1247">
        <f>'Results FEIS scenario A'!N5+'Results FEIS scenario A'!N6+'Results FEIS scenario A'!N7+'Results FEIS scenario A'!N22+'Results FEIS scenario A'!N27</f>
        <v>119237.89482183899</v>
      </c>
    </row>
    <row r="7" spans="2:8" ht="15.75">
      <c r="B7" s="1282" t="s">
        <v>1053</v>
      </c>
      <c r="C7" s="1283">
        <f>Results!E17</f>
        <v>113280.84210940388</v>
      </c>
      <c r="D7" s="1283">
        <v>0</v>
      </c>
      <c r="E7" s="1245">
        <f>'Results FEIS scenario A'!K9</f>
        <v>33538.556699216962</v>
      </c>
      <c r="F7" s="1247">
        <v>0</v>
      </c>
    </row>
    <row r="8" spans="2:8" ht="15.75">
      <c r="B8" s="1282" t="s">
        <v>1054</v>
      </c>
      <c r="C8" s="1283">
        <f>Results!E21</f>
        <v>1035496.574604254</v>
      </c>
      <c r="D8" s="1283">
        <f>Results!E44</f>
        <v>1097761.3723053162</v>
      </c>
      <c r="E8" s="1245">
        <f>'Results FEIS scenario A'!K11+'Results FEIS scenario A'!K19+'Results FEIS scenario A'!K24</f>
        <v>488941.96755081962</v>
      </c>
      <c r="F8" s="1247">
        <f>'Results FEIS scenario A'!N23+'Results FEIS scenario A'!N28</f>
        <v>573926.32171790814</v>
      </c>
    </row>
    <row r="9" spans="2:8" ht="15.75">
      <c r="B9" s="1284" t="s">
        <v>200</v>
      </c>
      <c r="C9" s="1285">
        <f>SUM(C5:C8)</f>
        <v>1366115.4014149096</v>
      </c>
      <c r="D9" s="1285">
        <f>SUM(D5:D8)</f>
        <v>1396479.969005696</v>
      </c>
      <c r="E9" s="1246">
        <f>SUM(E5:E8)</f>
        <v>591779.61448304553</v>
      </c>
      <c r="F9" s="1248">
        <f>SUM(F5:F8)</f>
        <v>693164.21653974708</v>
      </c>
    </row>
    <row r="10" spans="2:8" ht="15.75">
      <c r="B10" s="1286" t="s">
        <v>1389</v>
      </c>
      <c r="C10" s="1287">
        <f>C9-D9</f>
        <v>-30364.567590786377</v>
      </c>
      <c r="D10" s="1282"/>
      <c r="E10" s="148">
        <f>E9-F9</f>
        <v>-101384.60205670155</v>
      </c>
    </row>
    <row r="11" spans="2:8">
      <c r="C11">
        <f>C10/D9</f>
        <v>-2.1743647073152201E-2</v>
      </c>
      <c r="E11" s="1129">
        <f>E10/F9</f>
        <v>-0.14626346778662369</v>
      </c>
    </row>
    <row r="13" spans="2:8" ht="32.25" customHeight="1"/>
    <row r="16" spans="2:8" ht="30.75" thickBot="1">
      <c r="B16" s="874" t="s">
        <v>1082</v>
      </c>
      <c r="C16" s="157" t="s">
        <v>1391</v>
      </c>
      <c r="D16" s="157" t="s">
        <v>1390</v>
      </c>
      <c r="E16" s="157" t="s">
        <v>1393</v>
      </c>
    </row>
    <row r="17" spans="2:13" ht="15.75" thickTop="1">
      <c r="B17" t="s">
        <v>1055</v>
      </c>
      <c r="C17" s="164"/>
      <c r="D17" s="164">
        <f>Results!E5</f>
        <v>1580.7997202170586</v>
      </c>
    </row>
    <row r="18" spans="2:13">
      <c r="B18" t="s">
        <v>231</v>
      </c>
      <c r="C18" s="164">
        <f>-Results!E36</f>
        <v>-298718.59670037974</v>
      </c>
      <c r="D18" s="164">
        <f>Results!E11</f>
        <v>215757.18498103466</v>
      </c>
    </row>
    <row r="19" spans="2:13">
      <c r="B19" t="s">
        <v>1053</v>
      </c>
      <c r="C19" s="164">
        <v>0</v>
      </c>
      <c r="D19" s="164">
        <f>Results!E17</f>
        <v>113280.84210940388</v>
      </c>
    </row>
    <row r="20" spans="2:13">
      <c r="B20" t="s">
        <v>1054</v>
      </c>
      <c r="C20" s="164">
        <f>-Results!E44</f>
        <v>-1097761.3723053162</v>
      </c>
      <c r="D20" s="164">
        <f>Results!E21</f>
        <v>1035496.574604254</v>
      </c>
    </row>
    <row r="21" spans="2:13">
      <c r="B21" s="158" t="s">
        <v>200</v>
      </c>
      <c r="C21" s="829">
        <f>SUM(C17:C20)</f>
        <v>-1396479.969005696</v>
      </c>
      <c r="D21" s="829">
        <f>SUM(D17:D20)</f>
        <v>1366115.4014149096</v>
      </c>
      <c r="E21" s="148">
        <f>D21+C21</f>
        <v>-30364.567590786377</v>
      </c>
    </row>
    <row r="24" spans="2:13">
      <c r="M24" s="153"/>
    </row>
    <row r="45" ht="32.25" customHeight="1"/>
    <row r="46" ht="15" customHeight="1"/>
    <row r="67" ht="17.25" customHeight="1"/>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P136"/>
  <sheetViews>
    <sheetView topLeftCell="B17" zoomScale="78" zoomScaleNormal="78" workbookViewId="0">
      <selection activeCell="K25" sqref="K25"/>
    </sheetView>
  </sheetViews>
  <sheetFormatPr defaultColWidth="9.140625" defaultRowHeight="15"/>
  <cols>
    <col min="3" max="3" width="30" customWidth="1"/>
    <col min="4" max="4" width="17.5703125" customWidth="1"/>
    <col min="5" max="8" width="16.140625" customWidth="1"/>
    <col min="11" max="11" width="16.7109375" bestFit="1" customWidth="1"/>
    <col min="12" max="12" width="30.140625" customWidth="1"/>
    <col min="13" max="13" width="12" customWidth="1"/>
    <col min="14" max="14" width="11.7109375" customWidth="1"/>
    <col min="15" max="15" width="13" customWidth="1"/>
    <col min="16" max="16" width="11.140625" customWidth="1"/>
    <col min="17" max="17" width="11.7109375" customWidth="1"/>
  </cols>
  <sheetData>
    <row r="1" spans="3:11" hidden="1">
      <c r="C1" s="198" t="s">
        <v>281</v>
      </c>
      <c r="D1" s="198" t="s">
        <v>191</v>
      </c>
      <c r="E1" s="199"/>
      <c r="F1" s="199"/>
      <c r="G1" s="199"/>
      <c r="H1" s="199"/>
      <c r="J1" s="197" t="s">
        <v>191</v>
      </c>
      <c r="K1" s="197"/>
    </row>
    <row r="2" spans="3:11" hidden="1">
      <c r="C2" s="200" t="s">
        <v>273</v>
      </c>
      <c r="D2" s="201" t="s">
        <v>279</v>
      </c>
      <c r="E2" s="196">
        <f>Factors!D63/1000000*$J2</f>
        <v>10043.150396525965</v>
      </c>
      <c r="F2" s="202">
        <f>Factors!E63/1000000*$J2</f>
        <v>0.54218745000000002</v>
      </c>
      <c r="G2" s="202">
        <f>Factors!F63/1000000*$J2</f>
        <v>7.707E-2</v>
      </c>
      <c r="H2" s="196">
        <f>E2+F2*CH4_GWP+G2*N2O_GWP</f>
        <v>10079.671942775965</v>
      </c>
      <c r="J2" s="197">
        <f>Fuel_Specs!$C$12</f>
        <v>128450</v>
      </c>
      <c r="K2" s="197"/>
    </row>
    <row r="3" spans="3:11" hidden="1">
      <c r="C3" s="200" t="s">
        <v>288</v>
      </c>
      <c r="D3" s="201" t="s">
        <v>279</v>
      </c>
      <c r="E3" s="196">
        <f>Factors!D64/1000000*$J3</f>
        <v>10042.985978809964</v>
      </c>
      <c r="F3" s="202">
        <f>Factors!E64/1000000*$J3</f>
        <v>0.61013514114339351</v>
      </c>
      <c r="G3" s="202">
        <f>Factors!F64/1000000*$J3</f>
        <v>2.2508053945364589E-2</v>
      </c>
      <c r="H3" s="196">
        <f>E3+F3*CH4_GWP+G3*N2O_GWP</f>
        <v>10064.946757414267</v>
      </c>
      <c r="J3" s="197">
        <f>Fuel_Specs!$C$12</f>
        <v>128450</v>
      </c>
      <c r="K3" s="197"/>
    </row>
    <row r="4" spans="3:11" hidden="1">
      <c r="C4" s="200" t="s">
        <v>277</v>
      </c>
      <c r="D4" s="201" t="s">
        <v>279</v>
      </c>
      <c r="E4" s="196">
        <f>Factors!D66/1000000*$J4</f>
        <v>8727.8564496467661</v>
      </c>
      <c r="F4" s="202">
        <f>Factors!E66/1000000*$J4</f>
        <v>0.34080452926191457</v>
      </c>
      <c r="G4" s="202">
        <f>Factors!F66/1000000*$J4</f>
        <v>6.8160905852382908E-2</v>
      </c>
      <c r="H4" s="196">
        <f>E4+F4*CH4_GWP+G4*N2O_GWP</f>
        <v>8756.6885128223257</v>
      </c>
      <c r="J4" s="197">
        <f>Fuel_Specs!$C$9</f>
        <v>113601.50975397152</v>
      </c>
      <c r="K4" s="197"/>
    </row>
    <row r="5" spans="3:11" hidden="1">
      <c r="C5" s="200" t="s">
        <v>278</v>
      </c>
      <c r="D5" s="201" t="s">
        <v>279</v>
      </c>
      <c r="E5" s="196">
        <f>Factors!D67/1000000*$J5</f>
        <v>10965.325854377381</v>
      </c>
      <c r="F5" s="202">
        <f>Factors!E67/1000000*$J5</f>
        <v>0.16863414496298632</v>
      </c>
      <c r="G5" s="202">
        <f>Factors!F67/1000000*$J5</f>
        <v>0.49451834202417816</v>
      </c>
      <c r="H5" s="196">
        <f>E5+F5*CH4_GWP+G5*N2O_GWP</f>
        <v>11116.908173924661</v>
      </c>
      <c r="J5" s="197">
        <f>Fuel_Specs!$C$18</f>
        <v>140352.52220119376</v>
      </c>
      <c r="K5" s="197"/>
    </row>
    <row r="6" spans="3:11" hidden="1">
      <c r="C6" s="200" t="s">
        <v>289</v>
      </c>
      <c r="D6" s="201" t="s">
        <v>280</v>
      </c>
      <c r="E6" s="196">
        <f>Factors!D68*$J$6</f>
        <v>52669.698892861779</v>
      </c>
      <c r="F6" s="202">
        <f>Factors!E68*$J$6</f>
        <v>354.26137864077668</v>
      </c>
      <c r="G6" s="202">
        <f>Factors!F68*$J$6</f>
        <v>0.1002233009708738</v>
      </c>
      <c r="H6" s="196">
        <f>Factors!G68*$J$6</f>
        <v>61556.099902570517</v>
      </c>
      <c r="J6" s="197">
        <f>930/1030</f>
        <v>0.90291262135922334</v>
      </c>
      <c r="K6" s="197"/>
    </row>
    <row r="7" spans="3:11" hidden="1">
      <c r="C7" s="200" t="s">
        <v>290</v>
      </c>
      <c r="D7" s="201" t="s">
        <v>280</v>
      </c>
      <c r="E7" s="196">
        <f>Factors!D69*$J$6</f>
        <v>53641.6203275761</v>
      </c>
      <c r="F7" s="202">
        <f>Factors!E69*$J$6</f>
        <v>1.031126213592233</v>
      </c>
      <c r="G7" s="202">
        <f>Factors!F69*$J$6</f>
        <v>0.10744660194174757</v>
      </c>
      <c r="H7" s="196">
        <f>Factors!G69*$J$6</f>
        <v>53699.41757029455</v>
      </c>
      <c r="J7" s="197">
        <f>930/1030</f>
        <v>0.90291262135922334</v>
      </c>
      <c r="K7" s="197"/>
    </row>
    <row r="8" spans="3:11" hidden="1">
      <c r="C8" s="200" t="s">
        <v>291</v>
      </c>
      <c r="D8" s="201" t="s">
        <v>280</v>
      </c>
      <c r="E8" s="196">
        <f>Factors!D71*$J$6</f>
        <v>53641.815897313332</v>
      </c>
      <c r="F8" s="202">
        <f>Factors!E71*$J$6</f>
        <v>0.95708737864077675</v>
      </c>
      <c r="G8" s="202">
        <f>Factors!F71*$J$6</f>
        <v>0.67718446601941751</v>
      </c>
      <c r="H8" s="196">
        <f>Factors!G71*$J$6</f>
        <v>53867.544052653138</v>
      </c>
      <c r="J8" s="197">
        <f>930/1030</f>
        <v>0.90291262135922334</v>
      </c>
      <c r="K8" s="197"/>
    </row>
    <row r="9" spans="3:11" hidden="1">
      <c r="C9" s="200" t="s">
        <v>292</v>
      </c>
      <c r="D9" s="201" t="s">
        <v>280</v>
      </c>
      <c r="E9" s="196">
        <f>Factors!D81*$J$6</f>
        <v>53641.815897313332</v>
      </c>
      <c r="F9" s="202">
        <f>Factors!E81*$J$6</f>
        <v>0.95708737864077675</v>
      </c>
      <c r="G9" s="202">
        <f>Factors!F81*$J$6</f>
        <v>0.67718446601941751</v>
      </c>
      <c r="H9" s="196">
        <f>Factors!G81*$J$6</f>
        <v>53867.544052653138</v>
      </c>
      <c r="J9" s="197">
        <v>0.9</v>
      </c>
      <c r="K9" s="197"/>
    </row>
    <row r="10" spans="3:11" hidden="1">
      <c r="C10" s="203" t="s">
        <v>232</v>
      </c>
      <c r="D10" s="204" t="s">
        <v>295</v>
      </c>
      <c r="E10" s="205">
        <f>Factors!D82/1000000*$J10</f>
        <v>2272619.2461007899</v>
      </c>
      <c r="F10" s="206">
        <f>Factors!E82/1000000*$J10</f>
        <v>24.034402660238001</v>
      </c>
      <c r="G10" s="206">
        <f>Factors!F82/1000000*$J10</f>
        <v>36.028887163646004</v>
      </c>
      <c r="H10" s="205">
        <f>E10+F10*CH4_GWP+G10*N2O_GWP</f>
        <v>2283956.7145420625</v>
      </c>
      <c r="J10" s="197">
        <f>Fuel_Specs!D57/tonneperton</f>
        <v>22716826.710999999</v>
      </c>
      <c r="K10" s="197" t="s">
        <v>294</v>
      </c>
    </row>
    <row r="11" spans="3:11" hidden="1">
      <c r="C11" s="198" t="s">
        <v>297</v>
      </c>
      <c r="D11" s="198" t="s">
        <v>191</v>
      </c>
      <c r="E11" s="199"/>
      <c r="F11" s="199"/>
      <c r="G11" s="199"/>
      <c r="H11" s="199"/>
    </row>
    <row r="12" spans="3:11" hidden="1">
      <c r="C12" s="200" t="s">
        <v>222</v>
      </c>
      <c r="D12" s="201" t="s">
        <v>279</v>
      </c>
      <c r="E12" s="196">
        <v>9500</v>
      </c>
      <c r="F12" s="202">
        <f>F2/1000000*$I12</f>
        <v>0</v>
      </c>
      <c r="G12" s="202">
        <f>G2/1000000*$I12</f>
        <v>0</v>
      </c>
      <c r="H12" s="196">
        <f>E12+F12*CH4_GWP+G12*N2O_GWP</f>
        <v>9500</v>
      </c>
    </row>
    <row r="13" spans="3:11" hidden="1">
      <c r="C13" s="200" t="s">
        <v>277</v>
      </c>
      <c r="D13" s="201" t="s">
        <v>279</v>
      </c>
      <c r="E13" s="196">
        <v>8000</v>
      </c>
      <c r="F13" s="202">
        <f>F4/1000000*$I13</f>
        <v>0</v>
      </c>
      <c r="G13" s="202">
        <f>G4/1000000*$I13</f>
        <v>0</v>
      </c>
      <c r="H13" s="196">
        <f>E13+F13*CH4_GWP+G13*N2O_GWP</f>
        <v>8000</v>
      </c>
    </row>
    <row r="14" spans="3:11" hidden="1">
      <c r="C14" s="200" t="s">
        <v>278</v>
      </c>
      <c r="D14" s="201" t="s">
        <v>279</v>
      </c>
      <c r="E14" s="196">
        <v>10500</v>
      </c>
      <c r="F14" s="202">
        <f>F5/1000000*$I14</f>
        <v>0</v>
      </c>
      <c r="G14" s="202">
        <f>G5/1000000*$I14</f>
        <v>0</v>
      </c>
      <c r="H14" s="196">
        <f>E14+F14*CH4_GWP+G14*N2O_GWP</f>
        <v>10500</v>
      </c>
    </row>
    <row r="15" spans="3:11" hidden="1">
      <c r="C15" s="203" t="s">
        <v>193</v>
      </c>
      <c r="D15" s="204" t="s">
        <v>280</v>
      </c>
      <c r="E15" s="205">
        <v>49000</v>
      </c>
      <c r="F15" s="206">
        <f>F6*$J$6</f>
        <v>319.86707003487606</v>
      </c>
      <c r="G15" s="206">
        <f>G6*$J$6</f>
        <v>9.0492883400886057E-2</v>
      </c>
      <c r="H15" s="205">
        <f>H6*$J$6</f>
        <v>55579.779523680176</v>
      </c>
    </row>
    <row r="16" spans="3:11">
      <c r="C16" s="200"/>
      <c r="D16" s="201"/>
      <c r="E16" s="192">
        <f>IF(scenario="A",Input!D10,Input!I10)</f>
        <v>500000</v>
      </c>
      <c r="F16" s="1271" t="s">
        <v>530</v>
      </c>
      <c r="G16" s="202"/>
      <c r="H16" s="196"/>
    </row>
    <row r="18" spans="1:16">
      <c r="A18" s="1109" t="str">
        <f>IF(scenario="A","Scenario A","Scenario B")</f>
        <v>Scenario B</v>
      </c>
      <c r="C18" s="1386"/>
      <c r="D18" s="668"/>
      <c r="E18" s="1848" t="s">
        <v>526</v>
      </c>
      <c r="F18" s="1848"/>
      <c r="G18" s="1111"/>
      <c r="H18" s="668"/>
    </row>
    <row r="19" spans="1:16" ht="15.75" thickBot="1">
      <c r="C19" s="215" t="s">
        <v>363</v>
      </c>
      <c r="D19" s="215" t="s">
        <v>272</v>
      </c>
      <c r="E19" s="216" t="s">
        <v>539</v>
      </c>
      <c r="F19" s="216" t="s">
        <v>540</v>
      </c>
      <c r="G19" s="1110" t="s">
        <v>1441</v>
      </c>
      <c r="H19" s="216" t="s">
        <v>23</v>
      </c>
    </row>
    <row r="20" spans="1:16" ht="15.75" thickTop="1">
      <c r="C20" s="189" t="s">
        <v>1616</v>
      </c>
      <c r="D20" s="183"/>
      <c r="E20" s="194"/>
      <c r="F20" s="192"/>
      <c r="G20" s="193"/>
      <c r="H20" s="192"/>
    </row>
    <row r="21" spans="1:16">
      <c r="C21" s="190" t="s">
        <v>333</v>
      </c>
      <c r="D21" s="190" t="s">
        <v>1224</v>
      </c>
      <c r="E21" s="191">
        <f>IF(scenario="A",Input!F11,Input!K11)</f>
        <v>1.9565749586664143</v>
      </c>
      <c r="F21" s="192">
        <f>E21*H21/1000</f>
        <v>150.9606669505759</v>
      </c>
      <c r="G21" s="671">
        <v>1</v>
      </c>
      <c r="H21" s="192">
        <f>Fuel_Specs!C25</f>
        <v>77155.575502954132</v>
      </c>
      <c r="J21">
        <v>9.7260273972602729</v>
      </c>
      <c r="K21">
        <f>F21*1000000000/10</f>
        <v>15096066695.05759</v>
      </c>
      <c r="L21" t="s">
        <v>1712</v>
      </c>
      <c r="M21">
        <f>K21/12000</f>
        <v>1258005.557921466</v>
      </c>
      <c r="N21" t="s">
        <v>1207</v>
      </c>
      <c r="O21">
        <f>M21/1000/24</f>
        <v>52.416898246727747</v>
      </c>
      <c r="P21" t="s">
        <v>106</v>
      </c>
    </row>
    <row r="22" spans="1:16">
      <c r="C22" s="190" t="s">
        <v>1176</v>
      </c>
      <c r="D22" s="190" t="s">
        <v>1224</v>
      </c>
      <c r="E22" s="195">
        <f>F22/H22*1000</f>
        <v>1.1843440984881204</v>
      </c>
      <c r="F22" s="192">
        <f>F21*G21</f>
        <v>150.9606669505759</v>
      </c>
      <c r="G22" s="671"/>
      <c r="H22" s="192">
        <f>Fuel_Specs!C14</f>
        <v>127463.51938029277</v>
      </c>
      <c r="J22">
        <v>5.8873099129972566</v>
      </c>
    </row>
    <row r="23" spans="1:16">
      <c r="C23" s="189" t="s">
        <v>1351</v>
      </c>
      <c r="D23" s="183"/>
      <c r="E23" s="194"/>
      <c r="F23" s="192"/>
      <c r="G23" s="671"/>
      <c r="H23" s="192"/>
    </row>
    <row r="24" spans="1:16">
      <c r="C24" s="190" t="s">
        <v>333</v>
      </c>
      <c r="D24" s="190" t="s">
        <v>1373</v>
      </c>
      <c r="E24" s="191">
        <f>IF(scenario="A",Input!F12,Input!K12)</f>
        <v>1.7749999999999999</v>
      </c>
      <c r="F24" s="192">
        <f>E24*H24/1000</f>
        <v>136.95114651774358</v>
      </c>
      <c r="G24" s="671">
        <v>1</v>
      </c>
      <c r="H24" s="192">
        <f>Fuel_Specs!C25</f>
        <v>77155.575502954132</v>
      </c>
      <c r="J24">
        <v>1.7749999999999999</v>
      </c>
    </row>
    <row r="25" spans="1:16">
      <c r="C25" s="190" t="s">
        <v>1622</v>
      </c>
      <c r="D25" s="190" t="s">
        <v>1373</v>
      </c>
      <c r="E25" s="191">
        <f>E24</f>
        <v>1.7749999999999999</v>
      </c>
      <c r="F25" s="192">
        <f>F24*G24</f>
        <v>136.95114651774358</v>
      </c>
      <c r="G25" s="671"/>
      <c r="H25" s="192">
        <f>H24</f>
        <v>77155.575502954132</v>
      </c>
      <c r="J25">
        <v>1.7749999999999999</v>
      </c>
    </row>
    <row r="26" spans="1:16">
      <c r="C26" s="189" t="s">
        <v>357</v>
      </c>
      <c r="D26" s="183"/>
      <c r="E26" s="194"/>
      <c r="F26" s="192"/>
      <c r="G26" s="671"/>
      <c r="H26" s="192"/>
    </row>
    <row r="27" spans="1:16">
      <c r="C27" s="190" t="s">
        <v>333</v>
      </c>
      <c r="D27" s="190" t="s">
        <v>340</v>
      </c>
      <c r="E27" s="191">
        <f>IF(scenario="A",Input!F13,Input!K13)</f>
        <v>3.55</v>
      </c>
      <c r="F27" s="192">
        <f>E27*H27/1000</f>
        <v>273.90229303548716</v>
      </c>
      <c r="G27" s="671">
        <v>0.9</v>
      </c>
      <c r="H27" s="192">
        <f>Fuel_Specs!C25</f>
        <v>77155.575502954132</v>
      </c>
      <c r="J27">
        <v>3.55</v>
      </c>
      <c r="K27" t="s">
        <v>1228</v>
      </c>
    </row>
    <row r="28" spans="1:16">
      <c r="C28" s="190" t="s">
        <v>339</v>
      </c>
      <c r="D28" s="190" t="s">
        <v>340</v>
      </c>
      <c r="E28" s="191">
        <f>F28/H28*1000</f>
        <v>1.9339813064195988</v>
      </c>
      <c r="F28" s="192">
        <f>F27*G27</f>
        <v>246.51206373193844</v>
      </c>
      <c r="G28" s="671"/>
      <c r="H28" s="192">
        <f>Fuel_Specs!C14</f>
        <v>127463.51938029277</v>
      </c>
      <c r="J28">
        <v>1.9339813064195988</v>
      </c>
    </row>
    <row r="29" spans="1:16">
      <c r="C29" s="189" t="s">
        <v>354</v>
      </c>
      <c r="D29" s="183"/>
      <c r="E29" s="189"/>
      <c r="F29" s="183"/>
      <c r="G29" s="1144"/>
      <c r="H29" s="183"/>
    </row>
    <row r="30" spans="1:16">
      <c r="A30" t="s">
        <v>1457</v>
      </c>
      <c r="C30" s="190" t="s">
        <v>333</v>
      </c>
      <c r="D30" s="190" t="s">
        <v>275</v>
      </c>
      <c r="E30" s="191">
        <f>IF(scenario="A",Input!F14,Input!K14)</f>
        <v>37.931506849315021</v>
      </c>
      <c r="F30" s="192">
        <f>E30*H30/1000</f>
        <v>2926.6272406531471</v>
      </c>
      <c r="G30" s="671">
        <f>Input!G21</f>
        <v>1</v>
      </c>
      <c r="H30" s="192">
        <f>Fuel_Specs!C25</f>
        <v>77155.575502954132</v>
      </c>
      <c r="J30">
        <v>37.931506849315021</v>
      </c>
    </row>
    <row r="31" spans="1:16">
      <c r="C31" s="190" t="s">
        <v>1175</v>
      </c>
      <c r="D31" s="190" t="s">
        <v>275</v>
      </c>
      <c r="E31" s="191">
        <f>F31/H31*1000</f>
        <v>0.68352524110233093</v>
      </c>
      <c r="F31" s="192">
        <f>F30*'End use TOTE - LNG Vessel'!$E$8</f>
        <v>87.798817219594412</v>
      </c>
      <c r="G31" s="671">
        <v>1</v>
      </c>
      <c r="H31" s="192">
        <f>Fuel_Specs!$C$13</f>
        <v>128450</v>
      </c>
      <c r="J31">
        <v>0.62555924070773594</v>
      </c>
    </row>
    <row r="32" spans="1:16">
      <c r="C32" s="190" t="s">
        <v>1556</v>
      </c>
      <c r="D32" s="190" t="s">
        <v>275</v>
      </c>
      <c r="E32" s="191">
        <f>F32/H32*1000</f>
        <v>23.467699944513363</v>
      </c>
      <c r="F32" s="192">
        <f>(F30)*G30+F31*G31</f>
        <v>3014.4260578727417</v>
      </c>
      <c r="G32" s="671"/>
      <c r="H32" s="192">
        <f>Fuel_Specs!C13</f>
        <v>128450</v>
      </c>
      <c r="J32">
        <v>21.477533930965599</v>
      </c>
    </row>
    <row r="33" spans="1:12">
      <c r="C33" s="189" t="s">
        <v>358</v>
      </c>
      <c r="D33" s="193"/>
      <c r="E33" s="191"/>
      <c r="F33" s="192"/>
      <c r="G33" s="671"/>
      <c r="H33" s="192"/>
    </row>
    <row r="34" spans="1:12">
      <c r="A34" t="s">
        <v>1458</v>
      </c>
      <c r="C34" s="190" t="s">
        <v>333</v>
      </c>
      <c r="D34" s="190" t="s">
        <v>275</v>
      </c>
      <c r="E34" s="191">
        <f>IF(scenario="A",Input!F15,Input!K15)</f>
        <v>1.7749999999999999</v>
      </c>
      <c r="F34" s="192">
        <f>E34*H34/1000</f>
        <v>136.95114651774358</v>
      </c>
      <c r="G34" s="671">
        <f>G30</f>
        <v>1</v>
      </c>
      <c r="H34" s="192">
        <f>Fuel_Specs!C25</f>
        <v>77155.575502954132</v>
      </c>
      <c r="I34" s="193"/>
      <c r="J34">
        <v>1.7749999999999999</v>
      </c>
    </row>
    <row r="35" spans="1:12">
      <c r="C35" s="190" t="s">
        <v>1097</v>
      </c>
      <c r="D35" s="190" t="s">
        <v>275</v>
      </c>
      <c r="E35" s="191">
        <f>F35/H35*1000</f>
        <v>3.1985476025942448E-2</v>
      </c>
      <c r="F35" s="192">
        <f>F34*'End use TOTE - LNG Vessel'!$E$8</f>
        <v>4.108534395532307</v>
      </c>
      <c r="G35" s="671"/>
      <c r="H35" s="192">
        <f>Fuel_Specs!$C$13</f>
        <v>128450</v>
      </c>
      <c r="I35" s="193"/>
      <c r="J35">
        <v>2.927296446901588E-2</v>
      </c>
    </row>
    <row r="36" spans="1:12">
      <c r="C36" s="190" t="s">
        <v>1556</v>
      </c>
      <c r="D36" s="190" t="s">
        <v>275</v>
      </c>
      <c r="E36" s="191">
        <f>F36/H36*1000</f>
        <v>1.0981680102240239</v>
      </c>
      <c r="F36" s="192">
        <f>(F34+F35)*G34</f>
        <v>141.05968091327588</v>
      </c>
      <c r="G36" s="218"/>
      <c r="H36" s="192">
        <f>Fuel_Specs!$C$13</f>
        <v>128450</v>
      </c>
      <c r="I36" s="193"/>
      <c r="J36">
        <v>1.0050384467695452</v>
      </c>
    </row>
    <row r="37" spans="1:12">
      <c r="C37" s="189" t="s">
        <v>359</v>
      </c>
      <c r="D37" s="193"/>
      <c r="E37" s="191"/>
      <c r="F37" s="192"/>
      <c r="G37" s="218"/>
      <c r="H37" s="192"/>
      <c r="I37" s="193"/>
    </row>
    <row r="38" spans="1:12">
      <c r="C38" s="190" t="s">
        <v>333</v>
      </c>
      <c r="D38" s="190" t="s">
        <v>275</v>
      </c>
      <c r="E38" s="191">
        <f>IF(scenario="A",Input!F16,Input!K16)</f>
        <v>130.51191819201856</v>
      </c>
      <c r="F38" s="192">
        <f>E38*H38/1000*(1-'PSE LNG Operations'!E125)</f>
        <v>10043.380871595593</v>
      </c>
      <c r="G38" s="671">
        <f>G30</f>
        <v>1</v>
      </c>
      <c r="H38" s="192">
        <f>Fuel_Specs!C25</f>
        <v>77155.575502954132</v>
      </c>
      <c r="I38" s="193"/>
      <c r="J38">
        <v>122.742315</v>
      </c>
      <c r="K38">
        <f>J40/J38</f>
        <v>0.56621884325044791</v>
      </c>
    </row>
    <row r="39" spans="1:12">
      <c r="C39" s="190" t="s">
        <v>1097</v>
      </c>
      <c r="D39" s="190" t="s">
        <v>275</v>
      </c>
      <c r="E39" s="191">
        <f>F39/H39*1000</f>
        <v>2.3456708925486014</v>
      </c>
      <c r="F39" s="192">
        <f>F38*'End use TOTE - LNG Vessel'!$E$8</f>
        <v>301.3014261478678</v>
      </c>
      <c r="G39" s="671">
        <v>1</v>
      </c>
      <c r="H39" s="192">
        <f>Fuel_Specs!$C$13</f>
        <v>128450</v>
      </c>
      <c r="I39" s="193"/>
      <c r="J39">
        <v>2.0242430568111294</v>
      </c>
      <c r="K39">
        <f>E40/E38</f>
        <v>0.61706778782976857</v>
      </c>
    </row>
    <row r="40" spans="1:12">
      <c r="C40" s="190" t="s">
        <v>1556</v>
      </c>
      <c r="D40" s="190" t="s">
        <v>275</v>
      </c>
      <c r="E40" s="191">
        <f>F40/H40*1000</f>
        <v>80.534700644168623</v>
      </c>
      <c r="F40" s="192">
        <f>(F38)*G38+F39*G39</f>
        <v>10344.68229774346</v>
      </c>
      <c r="G40" s="1261"/>
      <c r="H40" s="232">
        <f>Fuel_Specs!$C$13</f>
        <v>128450</v>
      </c>
      <c r="I40" s="193"/>
      <c r="J40">
        <v>69.499011617182106</v>
      </c>
    </row>
    <row r="41" spans="1:12">
      <c r="C41" s="1387" t="s">
        <v>365</v>
      </c>
      <c r="D41" s="1387"/>
      <c r="E41" s="1513">
        <f>E21+E24+E27+E30+E34+E38</f>
        <v>177.5</v>
      </c>
      <c r="F41" s="829">
        <f>F21+F24+F27+F30+F34+F38</f>
        <v>13668.77336527029</v>
      </c>
      <c r="K41" s="192"/>
    </row>
    <row r="43" spans="1:12">
      <c r="C43" s="1279" t="s">
        <v>1387</v>
      </c>
      <c r="D43" s="149"/>
    </row>
    <row r="44" spans="1:12">
      <c r="C44" s="212" t="str">
        <f>A18</f>
        <v>Scenario B</v>
      </c>
      <c r="D44" s="263"/>
      <c r="E44" s="1847" t="s">
        <v>1183</v>
      </c>
      <c r="F44" s="1847"/>
      <c r="G44" s="1847"/>
      <c r="H44" s="1847"/>
    </row>
    <row r="45" spans="1:12" ht="18.75" thickBot="1">
      <c r="C45" s="182" t="s">
        <v>341</v>
      </c>
      <c r="D45" s="182" t="s">
        <v>272</v>
      </c>
      <c r="E45" s="187" t="s">
        <v>271</v>
      </c>
      <c r="F45" s="187" t="s">
        <v>266</v>
      </c>
      <c r="G45" s="187" t="s">
        <v>267</v>
      </c>
      <c r="H45" s="187" t="s">
        <v>264</v>
      </c>
    </row>
    <row r="46" spans="1:12" ht="15.75" thickTop="1">
      <c r="C46" s="189" t="s">
        <v>1616</v>
      </c>
      <c r="D46" s="183"/>
      <c r="E46" s="195"/>
      <c r="F46" s="195"/>
      <c r="G46" s="195"/>
      <c r="H46" s="195"/>
      <c r="J46" s="1225" t="s">
        <v>488</v>
      </c>
    </row>
    <row r="47" spans="1:12">
      <c r="C47" s="190" t="s">
        <v>333</v>
      </c>
      <c r="D47" s="190" t="s">
        <v>229</v>
      </c>
      <c r="E47" s="192">
        <f>F21*Factors!$D$74/1000</f>
        <v>8859.4414929852755</v>
      </c>
      <c r="F47" s="195">
        <f>F21*Factors!$E$74/1000</f>
        <v>0.16001830696761046</v>
      </c>
      <c r="G47" s="195">
        <f>F21*Factors!$F$74/1000</f>
        <v>5.2836233432701558E-2</v>
      </c>
      <c r="H47" s="192">
        <f>E47+F47*CH4_GWP+G47*N2O_GWP</f>
        <v>8879.1871482224105</v>
      </c>
      <c r="J47">
        <v>43853.636910170688</v>
      </c>
      <c r="K47" s="1824">
        <f>H47/H48</f>
        <v>0.98950235175079004</v>
      </c>
      <c r="L47" t="s">
        <v>1733</v>
      </c>
    </row>
    <row r="48" spans="1:12">
      <c r="C48" s="190" t="s">
        <v>193</v>
      </c>
      <c r="D48" s="190" t="s">
        <v>229</v>
      </c>
      <c r="E48" s="192">
        <f>F22*Factors!$D$70/1000</f>
        <v>8953.6409491624345</v>
      </c>
      <c r="F48" s="195">
        <f>F22*Factors!$E$70/1000</f>
        <v>0.16001830696761046</v>
      </c>
      <c r="G48" s="195">
        <f>F22*Factors!$F$70/1000</f>
        <v>5.2836233432701558E-2</v>
      </c>
      <c r="H48" s="192">
        <f>E48+F48*CH4_GWP+G48*N2O_GWP</f>
        <v>8973.3866043995695</v>
      </c>
      <c r="J48">
        <v>58890.503999524837</v>
      </c>
    </row>
    <row r="49" spans="2:10">
      <c r="C49" s="189" t="s">
        <v>1352</v>
      </c>
      <c r="D49" s="183"/>
      <c r="E49" s="192"/>
      <c r="F49" s="192"/>
      <c r="G49" s="195"/>
      <c r="H49" s="192"/>
    </row>
    <row r="50" spans="2:10">
      <c r="B50" t="s">
        <v>222</v>
      </c>
      <c r="C50" s="190" t="s">
        <v>1374</v>
      </c>
      <c r="D50" s="190" t="s">
        <v>340</v>
      </c>
      <c r="E50" s="192">
        <f>'End use Gig Harbor'!D16</f>
        <v>4.1849260391675385</v>
      </c>
      <c r="F50" s="195">
        <f>'End use Gig Harbor'!E16</f>
        <v>2.25926555715E-4</v>
      </c>
      <c r="G50" s="195">
        <f>'End use Gig Harbor'!F16</f>
        <v>3.2114649E-5</v>
      </c>
      <c r="H50" s="228">
        <f>E50+F50*CH4_GWP+G50*N2O_GWP</f>
        <v>4.2001443684624133</v>
      </c>
      <c r="J50">
        <v>4.2001443684624133</v>
      </c>
    </row>
    <row r="51" spans="2:10">
      <c r="B51" t="s">
        <v>222</v>
      </c>
      <c r="C51" s="190" t="s">
        <v>333</v>
      </c>
      <c r="D51" s="190" t="s">
        <v>340</v>
      </c>
      <c r="E51" s="192">
        <f>'End use Gig Harbor'!D17</f>
        <v>43.079415721189754</v>
      </c>
      <c r="F51" s="195">
        <f>'End use Gig Harbor'!E17</f>
        <v>2.6171763504281589E-3</v>
      </c>
      <c r="G51" s="195">
        <f>'End use Gig Harbor'!F17</f>
        <v>9.6548358728488684E-5</v>
      </c>
      <c r="H51" s="192">
        <f>E51+F51*CH4_GWP+G51*N2O_GWP</f>
        <v>43.173616540851548</v>
      </c>
      <c r="J51">
        <v>43.173616540851548</v>
      </c>
    </row>
    <row r="52" spans="2:10">
      <c r="C52" s="190" t="s">
        <v>1375</v>
      </c>
      <c r="D52" s="190" t="s">
        <v>1373</v>
      </c>
      <c r="E52" s="192">
        <f>$F$24*Factors!D$74/1000</f>
        <v>8037.2635765343948</v>
      </c>
      <c r="F52" s="195">
        <f>$F$24*Factors!E$74/1000</f>
        <v>0.14516821530880822</v>
      </c>
      <c r="G52" s="195">
        <f>$F$24*Factors!F$74/1000</f>
        <v>4.793290128121025E-2</v>
      </c>
      <c r="H52" s="192">
        <f>E52+F52*CH4_GWP+G52*N2O_GWP</f>
        <v>8055.1767864989151</v>
      </c>
      <c r="J52">
        <v>8143.2103529918622</v>
      </c>
    </row>
    <row r="53" spans="2:10">
      <c r="C53" s="190" t="s">
        <v>1353</v>
      </c>
      <c r="D53" s="190" t="s">
        <v>1373</v>
      </c>
      <c r="E53" s="192">
        <f>$F$25*Factors!D$74/1000</f>
        <v>8037.2635765343948</v>
      </c>
      <c r="F53" s="195">
        <f>$F$25*Factors!E$74/1000</f>
        <v>0.14516821530880822</v>
      </c>
      <c r="G53" s="195">
        <f>$F$25*Factors!F$74/1000</f>
        <v>4.793290128121025E-2</v>
      </c>
      <c r="H53" s="192">
        <f>E53+F53*CH4_GWP+G53*N2O_GWP</f>
        <v>8055.1767864989151</v>
      </c>
      <c r="J53">
        <v>8143.2103529918622</v>
      </c>
    </row>
    <row r="54" spans="2:10">
      <c r="C54" s="189" t="s">
        <v>357</v>
      </c>
      <c r="D54" s="183"/>
      <c r="E54" s="192"/>
      <c r="F54" s="192"/>
      <c r="G54" s="195"/>
      <c r="H54" s="192"/>
    </row>
    <row r="55" spans="2:10">
      <c r="C55" s="190" t="s">
        <v>333</v>
      </c>
      <c r="D55" s="190" t="s">
        <v>340</v>
      </c>
      <c r="E55" s="192">
        <f>'End use On-road trucking'!D22</f>
        <v>15738.245385876504</v>
      </c>
      <c r="F55" s="192">
        <f>'End use On-road trucking'!E22</f>
        <v>84.845819554326411</v>
      </c>
      <c r="G55" s="195">
        <f>'End use On-road trucking'!F22</f>
        <v>8.9036125681191958E-3</v>
      </c>
      <c r="H55" s="192">
        <f>E55+F55*CH4_GWP+G55*N2O_GWP</f>
        <v>17862.044151279966</v>
      </c>
      <c r="J55">
        <v>17862.044151279966</v>
      </c>
    </row>
    <row r="56" spans="2:10">
      <c r="C56" s="190" t="s">
        <v>339</v>
      </c>
      <c r="D56" s="190" t="s">
        <v>340</v>
      </c>
      <c r="E56" s="192">
        <f>'End use On-road trucking'!D23</f>
        <v>19273.781235246133</v>
      </c>
      <c r="F56" s="228">
        <f>'End use On-road trucking'!E23</f>
        <v>1.1709277757776213</v>
      </c>
      <c r="G56" s="195">
        <f>'End use On-road trucking'!F23</f>
        <v>4.3195849191604699E-2</v>
      </c>
      <c r="H56" s="192">
        <f>E56+F56*CH4_GWP+G56*N2O_GWP</f>
        <v>19315.926792699673</v>
      </c>
      <c r="J56">
        <v>19315.926792699673</v>
      </c>
    </row>
    <row r="57" spans="2:10">
      <c r="C57" s="189" t="s">
        <v>354</v>
      </c>
      <c r="D57" s="183"/>
      <c r="E57" s="261"/>
      <c r="F57" s="261"/>
      <c r="G57" s="1093"/>
      <c r="H57" s="192"/>
    </row>
    <row r="58" spans="2:10">
      <c r="C58" s="190" t="s">
        <v>333</v>
      </c>
      <c r="D58" s="190" t="s">
        <v>275</v>
      </c>
      <c r="E58" s="164">
        <f>$F30*Factors!D$72/1000</f>
        <v>166647.71906500097</v>
      </c>
      <c r="F58" s="228">
        <f>$F30*Factors!E$72/1000</f>
        <v>1865.1160236240464</v>
      </c>
      <c r="G58" s="228">
        <f>$F30*Factors!F$72/1000</f>
        <v>10.96987654442175</v>
      </c>
      <c r="H58" s="192">
        <f>E58+F58*CH4_GWP+G58*N2O_GWP</f>
        <v>216544.64286583982</v>
      </c>
      <c r="J58">
        <v>226164.58996947008</v>
      </c>
    </row>
    <row r="59" spans="2:10">
      <c r="C59" s="190" t="s">
        <v>1100</v>
      </c>
      <c r="D59" s="190" t="s">
        <v>275</v>
      </c>
      <c r="E59" s="192">
        <f>(F31)*Factors!$D$67/1000</f>
        <v>6859.4609155772205</v>
      </c>
      <c r="F59" s="228">
        <f>F31*Factors!$E$67/1000</f>
        <v>0.105490647680444</v>
      </c>
      <c r="G59" s="195">
        <f>F31*Factors!$F$67/1000</f>
        <v>0.3093505185526933</v>
      </c>
      <c r="H59" s="192">
        <f>E59+F59*CH4_GWP+G59*N2O_GWP</f>
        <v>6954.2846362979344</v>
      </c>
      <c r="J59">
        <v>7611.3968521576062</v>
      </c>
    </row>
    <row r="60" spans="2:10">
      <c r="C60" s="190" t="s">
        <v>1555</v>
      </c>
      <c r="D60" s="190" t="s">
        <v>275</v>
      </c>
      <c r="E60" s="192">
        <f>F32*Factors!$D$67/1000</f>
        <v>235508.15810148459</v>
      </c>
      <c r="F60" s="228">
        <f>F32*Factors!$E$67/1000</f>
        <v>3.6218455703619106</v>
      </c>
      <c r="G60" s="195">
        <f>F32*Factors!$F$67/1000</f>
        <v>10.621034470309137</v>
      </c>
      <c r="H60" s="192">
        <f>E60+F60*CH4_GWP+G60*N2O_GWP</f>
        <v>238763.77251289575</v>
      </c>
      <c r="J60">
        <v>261324.62525741121</v>
      </c>
    </row>
    <row r="61" spans="2:10">
      <c r="C61" s="189" t="s">
        <v>358</v>
      </c>
      <c r="D61" s="183"/>
      <c r="E61" s="192"/>
      <c r="F61" s="192"/>
      <c r="G61" s="195"/>
      <c r="H61" s="192"/>
    </row>
    <row r="62" spans="2:10">
      <c r="C62" s="190" t="s">
        <v>1099</v>
      </c>
      <c r="D62" s="190" t="s">
        <v>275</v>
      </c>
      <c r="E62" s="192">
        <f>F34*Factors!$D$72/1000</f>
        <v>7798.2586485545417</v>
      </c>
      <c r="F62" s="192">
        <f>F34*Factors!$E$72/1000</f>
        <v>87.277865208048425</v>
      </c>
      <c r="G62" s="195">
        <f>F34*Factors!$F$72/1000</f>
        <v>0.51333396650178753</v>
      </c>
      <c r="H62" s="192">
        <f>E62+F62*CH4_GWP+G62*N2O_GWP</f>
        <v>10133.178800773285</v>
      </c>
      <c r="J62">
        <v>10575.307570764762</v>
      </c>
    </row>
    <row r="63" spans="2:10">
      <c r="C63" s="190" t="s">
        <v>1100</v>
      </c>
      <c r="D63" s="190" t="s">
        <v>275</v>
      </c>
      <c r="E63" s="192">
        <f>(F35)*Factors!$D$67/1000</f>
        <v>320.98759412637025</v>
      </c>
      <c r="F63" s="192">
        <f>F35*Factors!$E$67/1000</f>
        <v>4.9364213337643719E-3</v>
      </c>
      <c r="G63" s="195">
        <f>F35*Factors!$F$67/1000</f>
        <v>1.4476017855350408E-2</v>
      </c>
      <c r="H63" s="192">
        <f>E63+F63*CH4_GWP+G63*N2O_GWP</f>
        <v>325.42485798060875</v>
      </c>
      <c r="J63">
        <v>356.17433987660633</v>
      </c>
    </row>
    <row r="64" spans="2:10">
      <c r="C64" s="190" t="s">
        <v>288</v>
      </c>
      <c r="D64" s="190" t="s">
        <v>340</v>
      </c>
      <c r="E64" s="192">
        <v>0</v>
      </c>
      <c r="F64" s="192">
        <v>0</v>
      </c>
      <c r="G64" s="195">
        <v>0</v>
      </c>
      <c r="H64" s="192">
        <v>0</v>
      </c>
      <c r="I64" s="169" t="s">
        <v>1475</v>
      </c>
      <c r="J64">
        <v>0</v>
      </c>
    </row>
    <row r="65" spans="3:11">
      <c r="C65" s="190" t="s">
        <v>1555</v>
      </c>
      <c r="D65" s="190" t="s">
        <v>275</v>
      </c>
      <c r="E65" s="192">
        <f>F36*Factors!$D$67/1000</f>
        <v>11020.574065005381</v>
      </c>
      <c r="F65" s="195">
        <f>F36*Factors!$E$67/1000</f>
        <v>0.16948379912591011</v>
      </c>
      <c r="G65" s="195">
        <f>F36*Factors!$F$67/1000</f>
        <v>0.49700994636703072</v>
      </c>
      <c r="H65" s="192">
        <f>E65+F65*CH4_GWP+G65*N2O_GWP</f>
        <v>11172.920124000904</v>
      </c>
      <c r="J65">
        <v>12228.652335763485</v>
      </c>
    </row>
    <row r="66" spans="3:11">
      <c r="C66" s="189" t="s">
        <v>359</v>
      </c>
      <c r="D66" s="189"/>
      <c r="E66" s="411"/>
      <c r="F66" s="411"/>
      <c r="G66" s="1238"/>
      <c r="H66" s="411"/>
    </row>
    <row r="67" spans="3:11">
      <c r="C67" s="190" t="s">
        <v>333</v>
      </c>
      <c r="D67" s="190" t="s">
        <v>275</v>
      </c>
      <c r="E67" s="192">
        <f>($F38)*Factors!D$72/1000</f>
        <v>571889.20088741451</v>
      </c>
      <c r="F67" s="192">
        <f>($F38)*Factors!E$72/1000</f>
        <v>6400.5659261176261</v>
      </c>
      <c r="G67" s="192">
        <f>($F38)*Factors!F$72/1000</f>
        <v>37.645603348317927</v>
      </c>
      <c r="H67" s="192">
        <f>E67+F67*CH4_GWP+G67*N2O_GWP</f>
        <v>743121.73883815389</v>
      </c>
      <c r="J67">
        <f>H67/F38*1000</f>
        <v>73991.193636779222</v>
      </c>
      <c r="K67" t="s">
        <v>1443</v>
      </c>
    </row>
    <row r="68" spans="3:11">
      <c r="C68" s="190" t="s">
        <v>1100</v>
      </c>
      <c r="D68" s="190" t="s">
        <v>275</v>
      </c>
      <c r="E68" s="192">
        <f>(F39)*Factors!$D$67/1000</f>
        <v>23539.785864082543</v>
      </c>
      <c r="F68" s="228">
        <f>F31*Factors!$E$67/1000</f>
        <v>0.105490647680444</v>
      </c>
      <c r="G68" s="195">
        <f>F31*Factors!$F$67/1000</f>
        <v>0.3093505185526933</v>
      </c>
      <c r="H68" s="192">
        <f>E68+F68*CH4_GWP+G68*N2O_GWP</f>
        <v>23634.609584803256</v>
      </c>
      <c r="J68">
        <v>24399.05146763795</v>
      </c>
    </row>
    <row r="69" spans="3:11">
      <c r="C69" s="231" t="s">
        <v>1555</v>
      </c>
      <c r="D69" s="231" t="s">
        <v>275</v>
      </c>
      <c r="E69" s="232">
        <f>F40*Factors!$D$67/1000</f>
        <v>808199.31466683396</v>
      </c>
      <c r="F69" s="232">
        <f>F32*Factors!$E$67/1000</f>
        <v>3.6218455703619106</v>
      </c>
      <c r="G69" s="1239">
        <f>F32*Factors!$F$67/1000</f>
        <v>10.621034470309137</v>
      </c>
      <c r="H69" s="232">
        <f>E69+F69*CH4_GWP+G69*N2O_GWP</f>
        <v>811454.92907824507</v>
      </c>
      <c r="J69">
        <v>837700.76705556957</v>
      </c>
    </row>
    <row r="70" spans="3:11">
      <c r="C70" s="190" t="s">
        <v>1557</v>
      </c>
    </row>
    <row r="73" spans="3:11">
      <c r="C73" s="152" t="str">
        <f>A18</f>
        <v>Scenario B</v>
      </c>
    </row>
    <row r="74" spans="3:11" ht="15.75" thickBot="1">
      <c r="C74" s="182" t="str">
        <f>C19</f>
        <v>LNG Enduse</v>
      </c>
      <c r="D74" s="187" t="str">
        <f>E19</f>
        <v>Mgal/yr</v>
      </c>
      <c r="E74" s="187" t="str">
        <f>F19</f>
        <v>GBtu, LHV/yr</v>
      </c>
    </row>
    <row r="75" spans="3:11" ht="15.75" thickTop="1">
      <c r="C75" s="183" t="str">
        <f>C20</f>
        <v>Peak Shaving</v>
      </c>
      <c r="D75" s="191">
        <f>E21</f>
        <v>1.9565749586664143</v>
      </c>
      <c r="E75" s="192">
        <f>F21</f>
        <v>150.9606669505759</v>
      </c>
    </row>
    <row r="76" spans="3:11">
      <c r="C76" s="183" t="str">
        <f>C23</f>
        <v>Gig Harbor LNG</v>
      </c>
      <c r="D76" s="191">
        <f>E24</f>
        <v>1.7749999999999999</v>
      </c>
      <c r="E76" s="192">
        <f>F24</f>
        <v>136.95114651774358</v>
      </c>
    </row>
    <row r="77" spans="3:11">
      <c r="C77" s="183" t="str">
        <f>C26</f>
        <v>On-road Trucking</v>
      </c>
      <c r="D77" s="191">
        <f>E27</f>
        <v>3.55</v>
      </c>
      <c r="E77" s="192">
        <f>F27</f>
        <v>273.90229303548716</v>
      </c>
    </row>
    <row r="78" spans="3:11">
      <c r="C78" s="183" t="str">
        <f>C29</f>
        <v xml:space="preserve">TOTE Marine </v>
      </c>
      <c r="D78" s="191">
        <f>E30</f>
        <v>37.931506849315021</v>
      </c>
      <c r="E78" s="192">
        <f>F30</f>
        <v>2926.6272406531471</v>
      </c>
    </row>
    <row r="79" spans="3:11">
      <c r="C79" s="183" t="str">
        <f>C33</f>
        <v>Truck-to-Ship Bunkering</v>
      </c>
      <c r="D79" s="191">
        <f>E34</f>
        <v>1.7749999999999999</v>
      </c>
      <c r="E79" s="192">
        <f>F34</f>
        <v>136.95114651774358</v>
      </c>
    </row>
    <row r="80" spans="3:11">
      <c r="C80" s="183" t="str">
        <f>C37</f>
        <v>Other Marine (by Bunker Barge)</v>
      </c>
      <c r="D80" s="191">
        <f>E38</f>
        <v>130.51191819201856</v>
      </c>
      <c r="E80" s="192">
        <f>F38</f>
        <v>10043.380871595593</v>
      </c>
    </row>
    <row r="81" spans="2:8" ht="15.75" thickBot="1">
      <c r="C81" s="237" t="str">
        <f>C41</f>
        <v>Total LNG</v>
      </c>
      <c r="D81" s="239">
        <f>E41</f>
        <v>177.5</v>
      </c>
      <c r="E81" s="238">
        <f>F41</f>
        <v>13668.77336527029</v>
      </c>
    </row>
    <row r="82" spans="2:8" ht="15.75" thickTop="1"/>
    <row r="83" spans="2:8">
      <c r="C83" s="1217" t="s">
        <v>1476</v>
      </c>
    </row>
    <row r="85" spans="2:8">
      <c r="B85" s="212" t="str">
        <f>$A$18</f>
        <v>Scenario B</v>
      </c>
      <c r="C85" s="1109"/>
      <c r="D85" s="263"/>
      <c r="E85" s="1847" t="s">
        <v>1183</v>
      </c>
      <c r="F85" s="1847"/>
      <c r="G85" s="1847"/>
      <c r="H85" s="1847"/>
    </row>
    <row r="86" spans="2:8" ht="18.75" thickBot="1">
      <c r="C86" s="215" t="s">
        <v>1101</v>
      </c>
      <c r="D86" s="182" t="s">
        <v>272</v>
      </c>
      <c r="E86" s="187" t="s">
        <v>271</v>
      </c>
      <c r="F86" s="187" t="s">
        <v>266</v>
      </c>
      <c r="G86" s="187" t="s">
        <v>267</v>
      </c>
      <c r="H86" s="187" t="s">
        <v>264</v>
      </c>
    </row>
    <row r="87" spans="2:8" ht="15.75" thickTop="1">
      <c r="C87" s="189" t="s">
        <v>355</v>
      </c>
      <c r="D87" s="1104"/>
      <c r="E87" s="195"/>
      <c r="F87" s="195"/>
      <c r="G87" s="195"/>
      <c r="H87" s="195"/>
    </row>
    <row r="88" spans="2:8">
      <c r="C88" s="190" t="s">
        <v>333</v>
      </c>
      <c r="D88" s="210" t="s">
        <v>856</v>
      </c>
      <c r="E88" s="265">
        <f>E47</f>
        <v>8859.4414929852755</v>
      </c>
      <c r="F88" s="1100">
        <f>F47</f>
        <v>0.16001830696761046</v>
      </c>
      <c r="G88" s="1100">
        <f>G47</f>
        <v>5.2836233432701558E-2</v>
      </c>
      <c r="H88" s="265">
        <f>H47</f>
        <v>8879.1871482224105</v>
      </c>
    </row>
    <row r="89" spans="2:8">
      <c r="C89" s="189" t="s">
        <v>1246</v>
      </c>
      <c r="D89" s="210"/>
      <c r="E89" s="265"/>
      <c r="F89" s="1100"/>
      <c r="G89" s="1100"/>
      <c r="H89" s="265"/>
    </row>
    <row r="90" spans="2:8">
      <c r="C90" s="190" t="str">
        <f>C50</f>
        <v>LNG Tacoma</v>
      </c>
      <c r="D90" s="190" t="str">
        <f t="shared" ref="D90:H90" si="0">D50</f>
        <v>Truck Engine</v>
      </c>
      <c r="E90" s="265">
        <f t="shared" si="0"/>
        <v>4.1849260391675385</v>
      </c>
      <c r="F90" s="1100">
        <f t="shared" si="0"/>
        <v>2.25926555715E-4</v>
      </c>
      <c r="G90" s="1100">
        <f t="shared" si="0"/>
        <v>3.2114649E-5</v>
      </c>
      <c r="H90" s="265">
        <f t="shared" si="0"/>
        <v>4.2001443684624133</v>
      </c>
    </row>
    <row r="91" spans="2:8">
      <c r="C91" s="190" t="str">
        <f>C52</f>
        <v>LNG Tacoma End Use</v>
      </c>
      <c r="D91" s="190" t="str">
        <f t="shared" ref="D91:H91" si="1">D52</f>
        <v>NG Boiler</v>
      </c>
      <c r="E91" s="265">
        <f t="shared" si="1"/>
        <v>8037.2635765343948</v>
      </c>
      <c r="F91" s="1100">
        <f t="shared" si="1"/>
        <v>0.14516821530880822</v>
      </c>
      <c r="G91" s="1100">
        <f t="shared" si="1"/>
        <v>4.793290128121025E-2</v>
      </c>
      <c r="H91" s="265">
        <f t="shared" si="1"/>
        <v>8055.1767864989151</v>
      </c>
    </row>
    <row r="92" spans="2:8">
      <c r="C92" s="189" t="s">
        <v>357</v>
      </c>
      <c r="D92" s="210"/>
      <c r="E92" s="265"/>
      <c r="F92" s="1100"/>
      <c r="G92" s="1100"/>
      <c r="H92" s="265"/>
    </row>
    <row r="93" spans="2:8">
      <c r="C93" s="190" t="s">
        <v>333</v>
      </c>
      <c r="D93" s="210" t="s">
        <v>340</v>
      </c>
      <c r="E93" s="265">
        <f>E55</f>
        <v>15738.245385876504</v>
      </c>
      <c r="F93" s="1100">
        <f>F55</f>
        <v>84.845819554326411</v>
      </c>
      <c r="G93" s="1100">
        <f>G55</f>
        <v>8.9036125681191958E-3</v>
      </c>
      <c r="H93" s="265">
        <f>H55</f>
        <v>17862.044151279966</v>
      </c>
    </row>
    <row r="94" spans="2:8">
      <c r="C94" s="189" t="s">
        <v>354</v>
      </c>
      <c r="D94" s="210"/>
      <c r="E94" s="265"/>
      <c r="F94" s="1100"/>
      <c r="G94" s="1100"/>
      <c r="H94" s="265"/>
    </row>
    <row r="95" spans="2:8">
      <c r="C95" s="190" t="s">
        <v>333</v>
      </c>
      <c r="D95" s="210" t="s">
        <v>275</v>
      </c>
      <c r="E95" s="265">
        <f t="shared" ref="E95:H96" si="2">E58</f>
        <v>166647.71906500097</v>
      </c>
      <c r="F95" s="1100">
        <f t="shared" si="2"/>
        <v>1865.1160236240464</v>
      </c>
      <c r="G95" s="1100">
        <f t="shared" si="2"/>
        <v>10.96987654442175</v>
      </c>
      <c r="H95" s="265">
        <f t="shared" si="2"/>
        <v>216544.64286583982</v>
      </c>
    </row>
    <row r="96" spans="2:8">
      <c r="C96" s="190" t="s">
        <v>1100</v>
      </c>
      <c r="D96" s="210" t="s">
        <v>275</v>
      </c>
      <c r="E96" s="265">
        <f t="shared" si="2"/>
        <v>6859.4609155772205</v>
      </c>
      <c r="F96" s="1100">
        <f t="shared" si="2"/>
        <v>0.105490647680444</v>
      </c>
      <c r="G96" s="1100">
        <f t="shared" si="2"/>
        <v>0.3093505185526933</v>
      </c>
      <c r="H96" s="265">
        <f t="shared" si="2"/>
        <v>6954.2846362979344</v>
      </c>
    </row>
    <row r="97" spans="1:9">
      <c r="C97" s="189" t="s">
        <v>358</v>
      </c>
      <c r="D97" s="210"/>
      <c r="E97" s="265"/>
      <c r="F97" s="1100"/>
      <c r="G97" s="1100"/>
      <c r="H97" s="265"/>
    </row>
    <row r="98" spans="1:9">
      <c r="C98" s="190" t="s">
        <v>1099</v>
      </c>
      <c r="D98" s="210" t="s">
        <v>275</v>
      </c>
      <c r="E98" s="265">
        <f t="shared" ref="E98:H99" si="3">E62</f>
        <v>7798.2586485545417</v>
      </c>
      <c r="F98" s="1100">
        <f t="shared" si="3"/>
        <v>87.277865208048425</v>
      </c>
      <c r="G98" s="1100">
        <f t="shared" si="3"/>
        <v>0.51333396650178753</v>
      </c>
      <c r="H98" s="265">
        <f t="shared" si="3"/>
        <v>10133.178800773285</v>
      </c>
    </row>
    <row r="99" spans="1:9">
      <c r="C99" s="190" t="s">
        <v>1100</v>
      </c>
      <c r="D99" s="210" t="s">
        <v>275</v>
      </c>
      <c r="E99" s="265">
        <f t="shared" si="3"/>
        <v>320.98759412637025</v>
      </c>
      <c r="F99" s="1100">
        <f t="shared" si="3"/>
        <v>4.9364213337643719E-3</v>
      </c>
      <c r="G99" s="1100">
        <f t="shared" si="3"/>
        <v>1.4476017855350408E-2</v>
      </c>
      <c r="H99" s="265">
        <f t="shared" si="3"/>
        <v>325.42485798060875</v>
      </c>
    </row>
    <row r="100" spans="1:9">
      <c r="C100" s="190" t="s">
        <v>1334</v>
      </c>
      <c r="D100" s="210" t="s">
        <v>340</v>
      </c>
      <c r="E100" s="265">
        <v>0</v>
      </c>
      <c r="F100" s="1100">
        <v>0</v>
      </c>
      <c r="G100" s="1100">
        <v>0</v>
      </c>
      <c r="H100" s="265">
        <v>0</v>
      </c>
      <c r="I100" t="s">
        <v>1318</v>
      </c>
    </row>
    <row r="101" spans="1:9">
      <c r="C101" s="189" t="s">
        <v>359</v>
      </c>
      <c r="D101" s="210"/>
      <c r="E101" s="265"/>
      <c r="F101" s="1100"/>
      <c r="G101" s="1100"/>
      <c r="H101" s="265"/>
    </row>
    <row r="102" spans="1:9">
      <c r="C102" s="190" t="s">
        <v>333</v>
      </c>
      <c r="D102" s="210" t="s">
        <v>275</v>
      </c>
      <c r="E102" s="265">
        <f t="shared" ref="E102:H103" si="4">E67</f>
        <v>571889.20088741451</v>
      </c>
      <c r="F102" s="1100">
        <f t="shared" si="4"/>
        <v>6400.5659261176261</v>
      </c>
      <c r="G102" s="1100">
        <f t="shared" si="4"/>
        <v>37.645603348317927</v>
      </c>
      <c r="H102" s="265">
        <f t="shared" si="4"/>
        <v>743121.73883815389</v>
      </c>
    </row>
    <row r="103" spans="1:9">
      <c r="C103" s="190" t="s">
        <v>1100</v>
      </c>
      <c r="D103" s="210" t="s">
        <v>275</v>
      </c>
      <c r="E103" s="1101">
        <f t="shared" si="4"/>
        <v>23539.785864082543</v>
      </c>
      <c r="F103" s="1099">
        <f t="shared" si="4"/>
        <v>0.105490647680444</v>
      </c>
      <c r="G103" s="1099">
        <f t="shared" si="4"/>
        <v>0.3093505185526933</v>
      </c>
      <c r="H103" s="1101">
        <f t="shared" si="4"/>
        <v>23634.609584803256</v>
      </c>
    </row>
    <row r="104" spans="1:9" ht="15.75" thickBot="1">
      <c r="C104" s="269" t="s">
        <v>1160</v>
      </c>
      <c r="D104" s="269"/>
      <c r="E104" s="1102">
        <f>SUM(E88:E103)</f>
        <v>809694.54835619149</v>
      </c>
      <c r="F104" s="1102">
        <f>SUM(F88:F103)</f>
        <v>8438.3269646695735</v>
      </c>
      <c r="G104" s="1102">
        <f>SUM(G88:G103)</f>
        <v>49.87169577613323</v>
      </c>
      <c r="H104" s="1102">
        <f>SUM(H88:H103)</f>
        <v>1035514.4878142185</v>
      </c>
    </row>
    <row r="106" spans="1:9">
      <c r="C106" s="1217" t="s">
        <v>1357</v>
      </c>
    </row>
    <row r="107" spans="1:9">
      <c r="A107" s="212" t="str">
        <f>A18</f>
        <v>Scenario B</v>
      </c>
      <c r="C107" s="1386"/>
      <c r="D107" s="263"/>
      <c r="E107" s="1847" t="s">
        <v>1183</v>
      </c>
      <c r="F107" s="1847"/>
      <c r="G107" s="1847"/>
      <c r="H107" s="1847"/>
    </row>
    <row r="108" spans="1:9" ht="18.75" thickBot="1">
      <c r="C108" s="215" t="s">
        <v>1168</v>
      </c>
      <c r="D108" s="182" t="s">
        <v>272</v>
      </c>
      <c r="E108" s="187" t="s">
        <v>271</v>
      </c>
      <c r="F108" s="187" t="s">
        <v>266</v>
      </c>
      <c r="G108" s="187" t="s">
        <v>267</v>
      </c>
      <c r="H108" s="187" t="s">
        <v>264</v>
      </c>
    </row>
    <row r="109" spans="1:9" ht="15.75" thickTop="1">
      <c r="C109" s="189" t="s">
        <v>355</v>
      </c>
      <c r="D109" s="1104"/>
      <c r="E109" s="195"/>
      <c r="F109" s="195"/>
      <c r="G109" s="195"/>
      <c r="H109" s="195"/>
    </row>
    <row r="110" spans="1:9">
      <c r="C110" s="190" t="s">
        <v>1380</v>
      </c>
      <c r="D110" s="1104"/>
      <c r="E110" s="265">
        <f>$F$22*Upstream!D11/1000</f>
        <v>1045.4239549449869</v>
      </c>
      <c r="F110" s="265">
        <f>$F$22*Upstream!E11/1000</f>
        <v>23.129012313037599</v>
      </c>
      <c r="G110" s="265">
        <f>$F$22*Upstream!F11/1000</f>
        <v>2.4114303845093107E-2</v>
      </c>
      <c r="H110" s="265">
        <f>E110+F110*CH4_GWP+G110*N2O_GWP</f>
        <v>1630.8353253167645</v>
      </c>
    </row>
    <row r="111" spans="1:9">
      <c r="C111" s="190" t="s">
        <v>1730</v>
      </c>
      <c r="D111" s="1104"/>
      <c r="E111" s="265">
        <f>$F$22*Upstream!D65/1000</f>
        <v>0</v>
      </c>
      <c r="F111" s="1100">
        <f>$F$22*Upstream!E65/1000</f>
        <v>0</v>
      </c>
      <c r="G111" s="1100">
        <f>$F$22*Upstream!F65/1000</f>
        <v>0</v>
      </c>
      <c r="H111" s="265">
        <f>E111+F111*CH4_GWP+G111*N2O_GWP</f>
        <v>0</v>
      </c>
    </row>
    <row r="112" spans="1:9">
      <c r="C112" s="190" t="s">
        <v>1169</v>
      </c>
      <c r="D112" s="1104" t="s">
        <v>856</v>
      </c>
      <c r="E112" s="265">
        <f>E48</f>
        <v>8953.6409491624345</v>
      </c>
      <c r="F112" s="1100">
        <f>F48</f>
        <v>0.16001830696761046</v>
      </c>
      <c r="G112" s="1100">
        <f>G48</f>
        <v>5.2836233432701558E-2</v>
      </c>
      <c r="H112" s="265">
        <f>H48</f>
        <v>8973.3866043995695</v>
      </c>
    </row>
    <row r="113" spans="3:8">
      <c r="C113" s="189" t="s">
        <v>1246</v>
      </c>
      <c r="D113" s="193"/>
      <c r="E113" s="265"/>
      <c r="F113" s="1100"/>
      <c r="G113" s="1100"/>
      <c r="H113" s="265"/>
    </row>
    <row r="114" spans="3:8">
      <c r="C114" s="190" t="str">
        <f>C51</f>
        <v>LNG</v>
      </c>
      <c r="D114" s="190" t="str">
        <f t="shared" ref="D114:H114" si="5">D51</f>
        <v>Truck Engine</v>
      </c>
      <c r="E114" s="265">
        <f t="shared" si="5"/>
        <v>43.079415721189754</v>
      </c>
      <c r="F114" s="1100">
        <f t="shared" si="5"/>
        <v>2.6171763504281589E-3</v>
      </c>
      <c r="G114" s="1100">
        <f t="shared" si="5"/>
        <v>9.6548358728488684E-5</v>
      </c>
      <c r="H114" s="265">
        <f t="shared" si="5"/>
        <v>43.173616540851548</v>
      </c>
    </row>
    <row r="115" spans="3:8">
      <c r="C115" s="190" t="str">
        <f>C53</f>
        <v>LNG End Use</v>
      </c>
      <c r="D115" s="190" t="str">
        <f t="shared" ref="D115:H115" si="6">D53</f>
        <v>NG Boiler</v>
      </c>
      <c r="E115" s="265">
        <f t="shared" si="6"/>
        <v>8037.2635765343948</v>
      </c>
      <c r="F115" s="1100">
        <f t="shared" si="6"/>
        <v>0.14516821530880822</v>
      </c>
      <c r="G115" s="1100">
        <f t="shared" si="6"/>
        <v>4.793290128121025E-2</v>
      </c>
      <c r="H115" s="265">
        <f t="shared" si="6"/>
        <v>8055.1767864989151</v>
      </c>
    </row>
    <row r="116" spans="3:8">
      <c r="C116" s="189" t="s">
        <v>357</v>
      </c>
      <c r="D116" s="193"/>
      <c r="E116" s="265"/>
      <c r="F116" s="1100"/>
      <c r="G116" s="1100"/>
      <c r="H116" s="265"/>
    </row>
    <row r="117" spans="3:8">
      <c r="C117" s="190" t="s">
        <v>222</v>
      </c>
      <c r="D117" s="193" t="s">
        <v>340</v>
      </c>
      <c r="E117" s="265">
        <f>E56</f>
        <v>19273.781235246133</v>
      </c>
      <c r="F117" s="1100">
        <f>F56</f>
        <v>1.1709277757776213</v>
      </c>
      <c r="G117" s="1100">
        <f>G56</f>
        <v>4.3195849191604699E-2</v>
      </c>
      <c r="H117" s="265">
        <f>H56</f>
        <v>19315.926792699673</v>
      </c>
    </row>
    <row r="118" spans="3:8">
      <c r="C118" s="189" t="s">
        <v>354</v>
      </c>
      <c r="D118" s="1104"/>
      <c r="E118" s="265"/>
      <c r="F118" s="1100"/>
      <c r="G118" s="1100"/>
      <c r="H118" s="265"/>
    </row>
    <row r="119" spans="3:8">
      <c r="C119" s="190" t="s">
        <v>1553</v>
      </c>
      <c r="D119" s="1104"/>
      <c r="E119" s="265">
        <f>Upstream!E145</f>
        <v>51156.68658207087</v>
      </c>
      <c r="F119" s="1100">
        <f>Upstream!F145</f>
        <v>530.57373271362269</v>
      </c>
      <c r="G119" s="1100">
        <f>Upstream!G145</f>
        <v>0.7342752477735045</v>
      </c>
      <c r="H119" s="265">
        <f>Upstream!H145</f>
        <v>64639.84392374794</v>
      </c>
    </row>
    <row r="120" spans="3:8">
      <c r="C120" s="190" t="s">
        <v>1554</v>
      </c>
      <c r="D120" s="1104" t="s">
        <v>275</v>
      </c>
      <c r="E120" s="265">
        <f>E60</f>
        <v>235508.15810148459</v>
      </c>
      <c r="F120" s="1100">
        <f>F60</f>
        <v>3.6218455703619106</v>
      </c>
      <c r="G120" s="1100">
        <f>G60</f>
        <v>10.621034470309137</v>
      </c>
      <c r="H120" s="265">
        <f>H60</f>
        <v>238763.77251289575</v>
      </c>
    </row>
    <row r="121" spans="3:8">
      <c r="C121" s="189" t="s">
        <v>358</v>
      </c>
      <c r="D121" s="1104"/>
      <c r="E121" s="265"/>
      <c r="F121" s="1100"/>
      <c r="G121" s="1100"/>
      <c r="H121" s="265"/>
    </row>
    <row r="122" spans="3:8">
      <c r="C122" s="190" t="s">
        <v>1555</v>
      </c>
      <c r="D122" s="193" t="s">
        <v>275</v>
      </c>
      <c r="E122" s="265">
        <f>E65</f>
        <v>11020.574065005381</v>
      </c>
      <c r="F122" s="1100">
        <f t="shared" ref="F122:H122" si="7">F65</f>
        <v>0.16948379912591011</v>
      </c>
      <c r="G122" s="1100">
        <f t="shared" si="7"/>
        <v>0.49700994636703072</v>
      </c>
      <c r="H122" s="265">
        <f t="shared" si="7"/>
        <v>11172.920124000904</v>
      </c>
    </row>
    <row r="123" spans="3:8">
      <c r="C123" s="189" t="s">
        <v>359</v>
      </c>
      <c r="D123" s="1104"/>
      <c r="E123" s="265"/>
      <c r="F123" s="1100"/>
      <c r="G123" s="1100"/>
      <c r="H123" s="265"/>
    </row>
    <row r="124" spans="3:8">
      <c r="C124" s="190" t="s">
        <v>1553</v>
      </c>
      <c r="D124" s="1104"/>
      <c r="E124" s="265">
        <f>Upstream!E147</f>
        <v>175555.6978134044</v>
      </c>
      <c r="F124" s="1100">
        <f>Upstream!F147</f>
        <v>1820.783324943641</v>
      </c>
      <c r="G124" s="1100">
        <f>Upstream!G147</f>
        <v>2.5198309766052436</v>
      </c>
      <c r="H124" s="265">
        <f>Upstream!H147</f>
        <v>221826.1905680238</v>
      </c>
    </row>
    <row r="125" spans="3:8">
      <c r="C125" s="190" t="s">
        <v>1554</v>
      </c>
      <c r="D125" s="1104" t="s">
        <v>275</v>
      </c>
      <c r="E125" s="265">
        <f>E69</f>
        <v>808199.31466683396</v>
      </c>
      <c r="F125" s="1100">
        <f>F69</f>
        <v>3.6218455703619106</v>
      </c>
      <c r="G125" s="1100">
        <f>G69</f>
        <v>10.621034470309137</v>
      </c>
      <c r="H125" s="265">
        <f>H69</f>
        <v>811454.92907824507</v>
      </c>
    </row>
    <row r="126" spans="3:8">
      <c r="C126" s="267" t="s">
        <v>1160</v>
      </c>
      <c r="D126" s="267"/>
      <c r="E126" s="226">
        <f>SUM(E112:E125)</f>
        <v>1317748.1964054634</v>
      </c>
      <c r="F126" s="226">
        <f>SUM(F112:F125)</f>
        <v>2360.248964071518</v>
      </c>
      <c r="G126" s="226">
        <f>SUM(G112:G125)</f>
        <v>25.137246643628298</v>
      </c>
      <c r="H126" s="226">
        <f>SUM(H112:H125)</f>
        <v>1384245.3200070525</v>
      </c>
    </row>
    <row r="130" spans="3:8">
      <c r="C130" s="212" t="str">
        <f>A18</f>
        <v>Scenario B</v>
      </c>
      <c r="D130" s="263"/>
      <c r="E130" s="1847" t="s">
        <v>449</v>
      </c>
      <c r="F130" s="1847"/>
      <c r="G130" s="1847"/>
      <c r="H130" s="1847"/>
    </row>
    <row r="131" spans="3:8" ht="18.75" thickBot="1">
      <c r="C131" s="182" t="s">
        <v>1168</v>
      </c>
      <c r="D131" s="182" t="s">
        <v>272</v>
      </c>
      <c r="E131" s="187" t="s">
        <v>271</v>
      </c>
      <c r="F131" s="187" t="s">
        <v>266</v>
      </c>
      <c r="G131" s="187" t="s">
        <v>267</v>
      </c>
      <c r="H131" s="187" t="s">
        <v>264</v>
      </c>
    </row>
    <row r="132" spans="3:8" ht="15.75" thickTop="1">
      <c r="C132" s="189" t="s">
        <v>355</v>
      </c>
      <c r="D132" s="1104"/>
      <c r="F132" s="195"/>
      <c r="G132" s="195"/>
      <c r="H132" s="195"/>
    </row>
    <row r="133" spans="3:8">
      <c r="C133" s="190" t="s">
        <v>1170</v>
      </c>
      <c r="D133" s="1104"/>
      <c r="E133" s="265">
        <f>E110</f>
        <v>1045.4239549449869</v>
      </c>
      <c r="F133" s="265">
        <f t="shared" ref="F133:H133" si="8">F110</f>
        <v>23.129012313037599</v>
      </c>
      <c r="G133" s="265">
        <f t="shared" si="8"/>
        <v>2.4114303845093107E-2</v>
      </c>
      <c r="H133" s="265">
        <f t="shared" si="8"/>
        <v>1630.8353253167645</v>
      </c>
    </row>
    <row r="134" spans="3:8">
      <c r="C134" s="190" t="s">
        <v>1171</v>
      </c>
      <c r="D134" s="1104" t="s">
        <v>1213</v>
      </c>
      <c r="E134" s="265">
        <f>E111</f>
        <v>0</v>
      </c>
      <c r="F134" s="265">
        <f t="shared" ref="F134:H135" si="9">F111</f>
        <v>0</v>
      </c>
      <c r="G134" s="265">
        <f t="shared" si="9"/>
        <v>0</v>
      </c>
      <c r="H134" s="265">
        <f t="shared" si="9"/>
        <v>0</v>
      </c>
    </row>
    <row r="135" spans="3:8">
      <c r="C135" s="190" t="s">
        <v>1169</v>
      </c>
      <c r="D135" s="1104" t="s">
        <v>856</v>
      </c>
      <c r="E135" s="265">
        <f>E112</f>
        <v>8953.6409491624345</v>
      </c>
      <c r="F135" s="265">
        <f t="shared" si="9"/>
        <v>0.16001830696761046</v>
      </c>
      <c r="G135" s="265">
        <f t="shared" si="9"/>
        <v>5.2836233432701558E-2</v>
      </c>
      <c r="H135" s="265">
        <f t="shared" si="9"/>
        <v>8973.3866043995695</v>
      </c>
    </row>
    <row r="136" spans="3:8">
      <c r="C136" s="267" t="s">
        <v>200</v>
      </c>
      <c r="D136" s="267"/>
      <c r="E136" s="226">
        <f>SUM(E133:E135)</f>
        <v>9999.0649041074212</v>
      </c>
      <c r="F136" s="226">
        <f t="shared" ref="F136:H136" si="10">SUM(F133:F135)</f>
        <v>23.28903062000521</v>
      </c>
      <c r="G136" s="226">
        <f t="shared" si="10"/>
        <v>7.6950537277794662E-2</v>
      </c>
      <c r="H136" s="226">
        <f t="shared" si="10"/>
        <v>10604.221929716334</v>
      </c>
    </row>
  </sheetData>
  <mergeCells count="5">
    <mergeCell ref="E44:H44"/>
    <mergeCell ref="E85:H85"/>
    <mergeCell ref="E107:H107"/>
    <mergeCell ref="E18:F18"/>
    <mergeCell ref="E130:H130"/>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X160"/>
  <sheetViews>
    <sheetView zoomScaleNormal="100" workbookViewId="0">
      <selection activeCell="G16" sqref="G16"/>
    </sheetView>
  </sheetViews>
  <sheetFormatPr defaultColWidth="9.140625" defaultRowHeight="15"/>
  <cols>
    <col min="1" max="1" width="9.140625" style="183"/>
    <col min="2" max="2" width="40.28515625" style="183" customWidth="1"/>
    <col min="3" max="3" width="16.140625" style="183" customWidth="1"/>
    <col min="4" max="7" width="12.42578125" style="183" customWidth="1"/>
    <col min="8" max="8" width="9.140625" style="183"/>
    <col min="9" max="9" width="13.85546875" style="183" customWidth="1"/>
    <col min="10" max="10" width="11.5703125" style="183" customWidth="1"/>
    <col min="11" max="11" width="15.140625" style="183" customWidth="1"/>
    <col min="12" max="12" width="20.7109375" style="183" customWidth="1"/>
    <col min="13" max="13" width="9.140625" style="183"/>
    <col min="14" max="14" width="14.140625" style="183" customWidth="1"/>
    <col min="15" max="15" width="15" style="183" customWidth="1"/>
    <col min="16" max="16" width="11" style="183" customWidth="1"/>
    <col min="17" max="19" width="9.5703125" style="183" bestFit="1" customWidth="1"/>
    <col min="20" max="20" width="26.42578125" style="183" customWidth="1"/>
    <col min="21" max="21" width="6.28515625" style="183" customWidth="1"/>
    <col min="22" max="22" width="7.28515625" style="183" customWidth="1"/>
    <col min="23" max="23" width="8.140625" style="183" customWidth="1"/>
    <col min="24" max="26" width="6.28515625" style="183" customWidth="1"/>
    <col min="27" max="27" width="10.28515625" style="183" customWidth="1"/>
    <col min="28" max="28" width="10" style="183" customWidth="1"/>
    <col min="29" max="31" width="6.28515625" style="183" customWidth="1"/>
    <col min="32" max="33" width="9.140625" style="183"/>
    <col min="34" max="34" width="16.42578125" style="183" customWidth="1"/>
    <col min="35" max="43" width="9.140625" style="183"/>
    <col min="44" max="44" width="18.7109375" style="183" customWidth="1"/>
    <col min="45" max="45" width="13.28515625" style="183" customWidth="1"/>
    <col min="46" max="48" width="9.140625" style="183"/>
    <col min="49" max="50" width="14" style="183" customWidth="1"/>
    <col min="51" max="16384" width="9.140625" style="183"/>
  </cols>
  <sheetData>
    <row r="1" spans="2:50">
      <c r="B1" s="183" t="s">
        <v>517</v>
      </c>
      <c r="K1" s="208" t="s">
        <v>1185</v>
      </c>
    </row>
    <row r="2" spans="2:50">
      <c r="K2" s="183" t="s">
        <v>1046</v>
      </c>
    </row>
    <row r="3" spans="2:50">
      <c r="B3" s="236" t="s">
        <v>346</v>
      </c>
      <c r="C3" s="236"/>
      <c r="D3" s="1845" t="s">
        <v>269</v>
      </c>
      <c r="E3" s="1845"/>
      <c r="F3" s="1845"/>
      <c r="G3" s="1845"/>
    </row>
    <row r="4" spans="2:50" ht="18.75" thickBot="1">
      <c r="B4" s="182" t="s">
        <v>263</v>
      </c>
      <c r="C4" s="182"/>
      <c r="D4" s="216" t="s">
        <v>265</v>
      </c>
      <c r="E4" s="216" t="s">
        <v>266</v>
      </c>
      <c r="F4" s="216" t="s">
        <v>267</v>
      </c>
      <c r="G4" s="187" t="s">
        <v>264</v>
      </c>
      <c r="AR4" s="1361"/>
      <c r="AS4" s="183" t="s">
        <v>268</v>
      </c>
      <c r="AT4" s="1361" t="s">
        <v>1634</v>
      </c>
      <c r="AU4" s="1361"/>
      <c r="AV4" s="1361"/>
      <c r="AW4" s="1361"/>
    </row>
    <row r="5" spans="2:50" ht="16.5" customHeight="1" thickTop="1" thickBot="1">
      <c r="B5" s="190" t="s">
        <v>194</v>
      </c>
      <c r="C5" s="190"/>
      <c r="D5" s="213">
        <f>Input!D140</f>
        <v>2303.1580360682897</v>
      </c>
      <c r="E5" s="230">
        <f>Input!E140</f>
        <v>25.050801902973863</v>
      </c>
      <c r="F5" s="1137">
        <f>Input!F140</f>
        <v>0.11013494923321088</v>
      </c>
      <c r="G5" s="404">
        <f t="shared" ref="G5:G11" si="0">D5+E5*CH4_GWP+F5*N2O_GWP</f>
        <v>2962.2482985141328</v>
      </c>
      <c r="K5" s="236" t="s">
        <v>346</v>
      </c>
      <c r="L5" s="236"/>
      <c r="M5" s="1845" t="s">
        <v>269</v>
      </c>
      <c r="N5" s="1845"/>
      <c r="O5" s="1845"/>
      <c r="P5" s="1845"/>
      <c r="T5" s="177" t="s">
        <v>1590</v>
      </c>
      <c r="U5" s="177"/>
      <c r="V5" s="177"/>
      <c r="W5" s="177" t="s">
        <v>1594</v>
      </c>
      <c r="X5" s="177"/>
      <c r="Y5" s="177"/>
      <c r="Z5" s="177"/>
      <c r="AA5" s="177">
        <v>25</v>
      </c>
      <c r="AB5" s="177">
        <v>298</v>
      </c>
      <c r="AC5" s="177"/>
      <c r="AD5" s="177"/>
      <c r="AE5" s="177"/>
      <c r="AI5" s="1551" t="s">
        <v>1576</v>
      </c>
      <c r="AJ5" s="668"/>
      <c r="AK5" s="1552"/>
      <c r="AL5" s="1340" t="s">
        <v>1591</v>
      </c>
      <c r="AM5" s="263"/>
      <c r="AN5" s="1554">
        <f>Fuel_Specs!C47/Fuel_Specs!D47</f>
        <v>0.90293453724604977</v>
      </c>
      <c r="AR5" s="1499"/>
      <c r="AS5" s="1856" t="s">
        <v>193</v>
      </c>
      <c r="AT5" s="1856" t="s">
        <v>193</v>
      </c>
      <c r="AU5" s="1760">
        <v>2018</v>
      </c>
      <c r="AV5" s="1849" t="s">
        <v>1632</v>
      </c>
      <c r="AW5" s="1850"/>
    </row>
    <row r="6" spans="2:50" ht="18.75" thickBot="1">
      <c r="B6" s="190" t="s">
        <v>259</v>
      </c>
      <c r="C6" s="190"/>
      <c r="D6" s="213">
        <f>Input!D141</f>
        <v>2.685766830516056</v>
      </c>
      <c r="E6" s="230">
        <f>Input!E141</f>
        <v>115.52779964717749</v>
      </c>
      <c r="F6" s="1137">
        <f>Input!F141</f>
        <v>0</v>
      </c>
      <c r="G6" s="404">
        <f t="shared" si="0"/>
        <v>2890.8807580099533</v>
      </c>
      <c r="K6" s="182" t="s">
        <v>263</v>
      </c>
      <c r="L6" s="182"/>
      <c r="M6" s="216" t="s">
        <v>265</v>
      </c>
      <c r="N6" s="216" t="s">
        <v>266</v>
      </c>
      <c r="O6" s="216" t="s">
        <v>267</v>
      </c>
      <c r="P6" s="187" t="s">
        <v>264</v>
      </c>
      <c r="T6" s="1654" t="s">
        <v>1666</v>
      </c>
      <c r="U6" s="1852" t="s">
        <v>1663</v>
      </c>
      <c r="V6" s="1854"/>
      <c r="W6" s="1854"/>
      <c r="X6" s="1854"/>
      <c r="Y6" s="1854"/>
      <c r="Z6" s="1853"/>
      <c r="AA6" s="1852" t="s">
        <v>1667</v>
      </c>
      <c r="AB6" s="1853"/>
      <c r="AE6" s="1620"/>
      <c r="AG6" s="209" t="s">
        <v>263</v>
      </c>
      <c r="AH6" s="1569"/>
      <c r="AI6" s="1544" t="s">
        <v>107</v>
      </c>
      <c r="AJ6" s="1544" t="s">
        <v>110</v>
      </c>
      <c r="AK6" s="1553" t="s">
        <v>113</v>
      </c>
      <c r="AL6" s="1544" t="s">
        <v>107</v>
      </c>
      <c r="AM6" s="1544" t="s">
        <v>110</v>
      </c>
      <c r="AN6" s="1553" t="s">
        <v>113</v>
      </c>
      <c r="AR6" s="1500"/>
      <c r="AS6" s="1857"/>
      <c r="AT6" s="1857"/>
      <c r="AU6" s="1761" t="s">
        <v>1700</v>
      </c>
      <c r="AV6" s="1664" t="s">
        <v>1633</v>
      </c>
      <c r="AW6" s="1665" t="s">
        <v>2</v>
      </c>
      <c r="AX6" s="183" t="s">
        <v>1390</v>
      </c>
    </row>
    <row r="7" spans="2:50" ht="15.75" thickTop="1">
      <c r="B7" s="190" t="s">
        <v>260</v>
      </c>
      <c r="C7" s="190"/>
      <c r="D7" s="213">
        <f>Input!D142</f>
        <v>2325.4594949273533</v>
      </c>
      <c r="E7" s="230">
        <f>Input!E142</f>
        <v>10.345581306233795</v>
      </c>
      <c r="F7" s="1137">
        <f>Input!F142</f>
        <v>4.0117506452003904E-2</v>
      </c>
      <c r="G7" s="404">
        <f t="shared" si="0"/>
        <v>2596.0540445058955</v>
      </c>
      <c r="K7" s="190" t="s">
        <v>518</v>
      </c>
      <c r="L7" s="190"/>
      <c r="M7" s="213">
        <v>6030</v>
      </c>
      <c r="N7" s="230">
        <v>45.5</v>
      </c>
      <c r="O7" s="1133">
        <v>0.16</v>
      </c>
      <c r="P7" s="404">
        <f>M7+N7*CH4_GWP+O7*N2O_GWP</f>
        <v>7215.18</v>
      </c>
      <c r="T7" s="1600" t="s">
        <v>305</v>
      </c>
      <c r="U7" s="1627" t="s">
        <v>1623</v>
      </c>
      <c r="V7" s="1628" t="s">
        <v>1627</v>
      </c>
      <c r="W7" s="1628" t="s">
        <v>1628</v>
      </c>
      <c r="X7" s="1629" t="s">
        <v>1662</v>
      </c>
      <c r="Y7" s="1629" t="s">
        <v>1625</v>
      </c>
      <c r="Z7" s="1630" t="s">
        <v>1626</v>
      </c>
      <c r="AA7" s="1627" t="s">
        <v>1623</v>
      </c>
      <c r="AB7" s="1631" t="s">
        <v>1623</v>
      </c>
      <c r="AE7" s="1621"/>
      <c r="AG7" s="190" t="s">
        <v>194</v>
      </c>
      <c r="AH7" s="190"/>
      <c r="AI7" s="1545">
        <f>X14</f>
        <v>2079.6009355018418</v>
      </c>
      <c r="AJ7" s="1545">
        <f>Y14</f>
        <v>22.619234223904169</v>
      </c>
      <c r="AK7" s="1545">
        <f>Z14</f>
        <v>9.9444649420506445E-2</v>
      </c>
      <c r="AL7" s="1545">
        <f>AI7/$AN$5</f>
        <v>2303.1580360682897</v>
      </c>
      <c r="AM7" s="1545">
        <f t="shared" ref="AM7:AN7" si="1">AJ7/$AN$5</f>
        <v>25.050801902973863</v>
      </c>
      <c r="AN7" s="1545">
        <f t="shared" si="1"/>
        <v>0.11013494923321088</v>
      </c>
      <c r="AR7" s="1486" t="s">
        <v>1504</v>
      </c>
      <c r="AS7" s="1656"/>
      <c r="AT7" s="1486"/>
      <c r="AU7" s="1680"/>
      <c r="AV7" s="1656"/>
      <c r="AW7" s="1657">
        <v>1.0143506386738088</v>
      </c>
    </row>
    <row r="8" spans="2:50">
      <c r="B8" s="190" t="s">
        <v>261</v>
      </c>
      <c r="C8" s="190"/>
      <c r="D8" s="213">
        <f>Input!D143</f>
        <v>1101.0378693540815</v>
      </c>
      <c r="E8" s="230">
        <f>Input!E143</f>
        <v>0</v>
      </c>
      <c r="F8" s="1137">
        <f>Input!F143</f>
        <v>0</v>
      </c>
      <c r="G8" s="404">
        <f t="shared" si="0"/>
        <v>1101.0378693540815</v>
      </c>
      <c r="K8" s="190" t="s">
        <v>270</v>
      </c>
      <c r="L8" s="190"/>
      <c r="M8" s="213">
        <v>824</v>
      </c>
      <c r="N8" s="230">
        <v>5.9</v>
      </c>
      <c r="O8" s="230">
        <v>0.02</v>
      </c>
      <c r="P8" s="404">
        <f>M8+N8*CH4_GWP+O8*N2O_GWP</f>
        <v>977.46</v>
      </c>
      <c r="R8" s="1560" t="s">
        <v>1577</v>
      </c>
      <c r="T8" s="1601" t="s">
        <v>1577</v>
      </c>
      <c r="U8" s="1602" t="s">
        <v>1578</v>
      </c>
      <c r="V8" s="1603" t="s">
        <v>1578</v>
      </c>
      <c r="W8" s="1604" t="s">
        <v>1578</v>
      </c>
      <c r="X8" s="1607" t="s">
        <v>1578</v>
      </c>
      <c r="Y8" s="1603" t="s">
        <v>1578</v>
      </c>
      <c r="Z8" s="1608" t="s">
        <v>1578</v>
      </c>
      <c r="AA8" s="1605" t="s">
        <v>254</v>
      </c>
      <c r="AB8" s="1606" t="s">
        <v>1664</v>
      </c>
      <c r="AE8" s="1622"/>
      <c r="AG8" s="190" t="s">
        <v>259</v>
      </c>
      <c r="AH8" s="190"/>
      <c r="AI8" s="1545">
        <f>X18</f>
        <v>2.425071630262805</v>
      </c>
      <c r="AJ8" s="1545">
        <f>Y18</f>
        <v>104.31404031347856</v>
      </c>
      <c r="AK8" s="1545">
        <f>Z18</f>
        <v>0</v>
      </c>
      <c r="AL8" s="1545">
        <f t="shared" ref="AL8:AL12" si="2">AI8/$AN$5</f>
        <v>2.685766830516056</v>
      </c>
      <c r="AM8" s="1545">
        <f t="shared" ref="AM8:AM12" si="3">AJ8/$AN$5</f>
        <v>115.52779964717749</v>
      </c>
      <c r="AN8" s="1545">
        <f t="shared" ref="AN8:AN12" si="4">AK8/$AN$5</f>
        <v>0</v>
      </c>
      <c r="AR8" s="1486" t="s">
        <v>1534</v>
      </c>
      <c r="AS8" s="1658">
        <v>107939.12153802172</v>
      </c>
      <c r="AT8" s="1493">
        <v>102095.43737132993</v>
      </c>
      <c r="AU8" s="1658">
        <v>107139.62448457569</v>
      </c>
      <c r="AV8" s="1658">
        <v>71399.852831778873</v>
      </c>
      <c r="AW8" s="1659">
        <v>123407.89796135607</v>
      </c>
    </row>
    <row r="9" spans="2:50">
      <c r="B9" s="190" t="s">
        <v>270</v>
      </c>
      <c r="C9" s="190"/>
      <c r="D9" s="213">
        <f>Input!D144</f>
        <v>1192.8001697168459</v>
      </c>
      <c r="E9" s="230">
        <f>Input!E144</f>
        <v>2.2879934028120457</v>
      </c>
      <c r="F9" s="1137">
        <f>Input!F144</f>
        <v>9.4865301857741304E-3</v>
      </c>
      <c r="G9" s="404">
        <f t="shared" si="0"/>
        <v>1252.8269907825077</v>
      </c>
      <c r="K9" s="190" t="s">
        <v>519</v>
      </c>
      <c r="L9" s="190"/>
      <c r="M9" s="213">
        <v>10</v>
      </c>
      <c r="N9" s="230">
        <v>2.2999999999999998</v>
      </c>
      <c r="O9" s="213">
        <v>0</v>
      </c>
      <c r="P9" s="404">
        <f>M9+N9*CH4_GWP+O9*N2O_GWP</f>
        <v>67.5</v>
      </c>
      <c r="R9" s="1561" t="s">
        <v>1579</v>
      </c>
      <c r="T9" s="1609" t="s">
        <v>1579</v>
      </c>
      <c r="U9" s="1610" t="s">
        <v>1450</v>
      </c>
      <c r="V9" s="1611" t="s">
        <v>1450</v>
      </c>
      <c r="W9" s="1612" t="s">
        <v>1450</v>
      </c>
      <c r="X9" s="1615" t="s">
        <v>1450</v>
      </c>
      <c r="Y9" s="1611" t="s">
        <v>1450</v>
      </c>
      <c r="Z9" s="1616" t="s">
        <v>1450</v>
      </c>
      <c r="AA9" s="1613" t="s">
        <v>1450</v>
      </c>
      <c r="AB9" s="1614" t="s">
        <v>1450</v>
      </c>
      <c r="AE9" s="1622"/>
      <c r="AG9" s="190" t="s">
        <v>260</v>
      </c>
      <c r="AH9" s="190"/>
      <c r="AI9" s="1545">
        <f>X12</f>
        <v>2099.7376929366624</v>
      </c>
      <c r="AJ9" s="1545">
        <f>Y12</f>
        <v>9.3413826692855952</v>
      </c>
      <c r="AK9" s="1545">
        <f>Z12</f>
        <v>3.6223482123705561E-2</v>
      </c>
      <c r="AL9" s="1545">
        <f t="shared" si="2"/>
        <v>2325.4594949273533</v>
      </c>
      <c r="AM9" s="1545">
        <f t="shared" si="3"/>
        <v>10.345581306233795</v>
      </c>
      <c r="AN9" s="1545">
        <f t="shared" si="4"/>
        <v>4.0117506452003904E-2</v>
      </c>
      <c r="AR9" s="1486" t="s">
        <v>1535</v>
      </c>
      <c r="AS9" s="1658">
        <v>107274.20373421953</v>
      </c>
      <c r="AT9" s="1493">
        <v>101389.30887609599</v>
      </c>
      <c r="AU9" s="1658">
        <v>106433.10493224894</v>
      </c>
      <c r="AV9" s="1658">
        <v>70915.037277526775</v>
      </c>
      <c r="AW9" s="1659">
        <v>122531.62417273094</v>
      </c>
    </row>
    <row r="10" spans="2:50">
      <c r="B10" s="231" t="s">
        <v>262</v>
      </c>
      <c r="C10" s="231"/>
      <c r="D10" s="1134">
        <f>Input!D145</f>
        <v>0</v>
      </c>
      <c r="E10" s="1134">
        <f>Input!E145</f>
        <v>0</v>
      </c>
      <c r="F10" s="1138">
        <f>Input!F145</f>
        <v>0</v>
      </c>
      <c r="G10" s="405">
        <f t="shared" si="0"/>
        <v>0</v>
      </c>
      <c r="K10" s="209" t="s">
        <v>520</v>
      </c>
      <c r="L10" s="209"/>
      <c r="M10" s="415">
        <f>SUM(M7:M9)</f>
        <v>6864</v>
      </c>
      <c r="N10" s="416">
        <f>SUM(N7:N9)</f>
        <v>53.699999999999996</v>
      </c>
      <c r="O10" s="416">
        <f>SUM(O7:O9)</f>
        <v>0.18</v>
      </c>
      <c r="P10" s="417">
        <f>SUM(P7:P9)</f>
        <v>8260.14</v>
      </c>
      <c r="R10" s="1562" t="s">
        <v>1595</v>
      </c>
      <c r="T10" s="1617" t="s">
        <v>1580</v>
      </c>
      <c r="U10" s="1632">
        <f>322.201715905568*0</f>
        <v>0</v>
      </c>
      <c r="V10" s="1633"/>
      <c r="W10" s="1634"/>
      <c r="X10" s="1635"/>
      <c r="Y10" s="1633"/>
      <c r="Z10" s="1636"/>
      <c r="AA10" s="1637">
        <v>0</v>
      </c>
      <c r="AB10" s="1638">
        <v>0</v>
      </c>
      <c r="AE10" s="1623"/>
      <c r="AG10" s="190" t="s">
        <v>261</v>
      </c>
      <c r="AH10" s="190"/>
      <c r="AI10" s="1545">
        <f>X19</f>
        <v>994.16511905560412</v>
      </c>
      <c r="AJ10" s="1545"/>
      <c r="AK10" s="1545"/>
      <c r="AL10" s="1545">
        <f t="shared" si="2"/>
        <v>1101.0378693540815</v>
      </c>
      <c r="AM10" s="1545">
        <f t="shared" si="3"/>
        <v>0</v>
      </c>
      <c r="AN10" s="1545">
        <f t="shared" si="4"/>
        <v>0</v>
      </c>
      <c r="AR10" s="1486" t="s">
        <v>86</v>
      </c>
      <c r="AS10" s="1658">
        <v>1811.7098166261817</v>
      </c>
      <c r="AT10" s="1493">
        <v>1703.6952283660562</v>
      </c>
      <c r="AU10" s="1658">
        <v>1704.6383819157597</v>
      </c>
      <c r="AV10" s="1658">
        <v>1169.3285551326767</v>
      </c>
      <c r="AW10" s="1659">
        <v>2113.960761926628</v>
      </c>
    </row>
    <row r="11" spans="2:50">
      <c r="B11" s="241" t="s">
        <v>367</v>
      </c>
      <c r="C11" s="209"/>
      <c r="D11" s="308">
        <f>SUM(D5:D10)</f>
        <v>6925.1413368970861</v>
      </c>
      <c r="E11" s="308">
        <f>SUM(E5:E10)</f>
        <v>153.21217625919718</v>
      </c>
      <c r="F11" s="407">
        <f>SUM(F5:F10)</f>
        <v>0.15973898587098892</v>
      </c>
      <c r="G11" s="408">
        <f t="shared" si="0"/>
        <v>10803.047961166569</v>
      </c>
      <c r="K11" s="241" t="s">
        <v>521</v>
      </c>
      <c r="L11" s="209"/>
      <c r="M11" s="308">
        <f>SUM(M7:M8)</f>
        <v>6854</v>
      </c>
      <c r="N11" s="407">
        <f t="shared" ref="N11:O11" si="5">SUM(N7:N8)</f>
        <v>51.4</v>
      </c>
      <c r="O11" s="407">
        <f t="shared" si="5"/>
        <v>0.18</v>
      </c>
      <c r="P11" s="308">
        <f>SUM(P7:P8)</f>
        <v>8192.64</v>
      </c>
      <c r="R11" s="1562" t="s">
        <v>1596</v>
      </c>
      <c r="T11" s="1617" t="s">
        <v>1581</v>
      </c>
      <c r="U11" s="1632">
        <v>1131.2684358132626</v>
      </c>
      <c r="V11" s="1633">
        <v>1128.6681758800426</v>
      </c>
      <c r="W11" s="1634">
        <v>1079.5730525618119</v>
      </c>
      <c r="X11" s="1635">
        <v>1077.0204692702898</v>
      </c>
      <c r="Y11" s="1633">
        <f>(V11-$X11)/AA$5</f>
        <v>2.0659082643901092</v>
      </c>
      <c r="Z11" s="1639">
        <f>(W11-$X11)/AB$5</f>
        <v>8.5657157433626473E-3</v>
      </c>
      <c r="AA11" s="1637">
        <v>470.96673746600362</v>
      </c>
      <c r="AB11" s="1638">
        <v>470.96673746600362</v>
      </c>
      <c r="AE11" s="1624"/>
      <c r="AG11" s="190" t="s">
        <v>270</v>
      </c>
      <c r="AH11" s="190"/>
      <c r="AI11" s="1545">
        <f>X11</f>
        <v>1077.0204692702898</v>
      </c>
      <c r="AJ11" s="1545">
        <f>Y11</f>
        <v>2.0659082643901092</v>
      </c>
      <c r="AK11" s="1545">
        <f>Z11</f>
        <v>8.5657157433626473E-3</v>
      </c>
      <c r="AL11" s="1545">
        <f t="shared" si="2"/>
        <v>1192.8001697168459</v>
      </c>
      <c r="AM11" s="1545">
        <f t="shared" si="3"/>
        <v>2.2879934028120457</v>
      </c>
      <c r="AN11" s="1545">
        <f t="shared" si="4"/>
        <v>9.4865301857741304E-3</v>
      </c>
      <c r="AR11" s="1486" t="s">
        <v>76</v>
      </c>
      <c r="AS11" s="1658">
        <v>101378.94870003422</v>
      </c>
      <c r="AT11" s="1493">
        <v>95626.814946775747</v>
      </c>
      <c r="AU11" s="1658">
        <v>100666.38452133776</v>
      </c>
      <c r="AV11" s="1658">
        <v>65812.673639229659</v>
      </c>
      <c r="AW11" s="1659">
        <v>114669.40958624348</v>
      </c>
    </row>
    <row r="12" spans="2:50">
      <c r="D12" s="192"/>
      <c r="E12" s="192"/>
      <c r="F12" s="228"/>
      <c r="G12" s="192"/>
      <c r="R12" s="1562" t="s">
        <v>1597</v>
      </c>
      <c r="T12" s="1618" t="s">
        <v>1582</v>
      </c>
      <c r="U12" s="1640">
        <v>2344.0674925681642</v>
      </c>
      <c r="V12" s="1641">
        <v>2333.2722596688022</v>
      </c>
      <c r="W12" s="1642">
        <v>2110.5322906095266</v>
      </c>
      <c r="X12" s="1643">
        <v>2099.7376929366624</v>
      </c>
      <c r="Y12" s="1641">
        <f>(V12-$X12)/AA$5</f>
        <v>9.3413826692855952</v>
      </c>
      <c r="Z12" s="1644">
        <f>(W12-$X12)/AB$5</f>
        <v>3.6223482123705561E-2</v>
      </c>
      <c r="AA12" s="1645">
        <v>2333.2707201580361</v>
      </c>
      <c r="AB12" s="1646">
        <v>2372.3028459003713</v>
      </c>
      <c r="AE12" s="1625"/>
      <c r="AG12" s="231" t="s">
        <v>262</v>
      </c>
      <c r="AH12" s="231"/>
      <c r="AI12" s="1774">
        <f>X13</f>
        <v>0</v>
      </c>
      <c r="AJ12" s="1774">
        <f t="shared" ref="AJ12:AK12" si="6">Y13</f>
        <v>0</v>
      </c>
      <c r="AK12" s="1774">
        <f t="shared" si="6"/>
        <v>0</v>
      </c>
      <c r="AL12" s="330">
        <f t="shared" si="2"/>
        <v>0</v>
      </c>
      <c r="AM12" s="330">
        <f t="shared" si="3"/>
        <v>0</v>
      </c>
      <c r="AN12" s="330">
        <f t="shared" si="4"/>
        <v>0</v>
      </c>
      <c r="AR12" s="1486" t="s">
        <v>1227</v>
      </c>
      <c r="AS12" s="1658">
        <v>4083.5452175591158</v>
      </c>
      <c r="AT12" s="1493">
        <v>4058.7987009541926</v>
      </c>
      <c r="AU12" s="1658">
        <v>4062.0820289954177</v>
      </c>
      <c r="AV12" s="1658">
        <v>3933.0350831644496</v>
      </c>
      <c r="AW12" s="1659">
        <v>5748.253824560833</v>
      </c>
    </row>
    <row r="13" spans="2:50">
      <c r="R13" s="1562" t="s">
        <v>1598</v>
      </c>
      <c r="T13" s="1617" t="s">
        <v>1583</v>
      </c>
      <c r="U13" s="1632">
        <v>0</v>
      </c>
      <c r="V13" s="1633">
        <v>0</v>
      </c>
      <c r="W13" s="1634">
        <v>0</v>
      </c>
      <c r="X13" s="1635">
        <v>0</v>
      </c>
      <c r="Y13" s="1633"/>
      <c r="Z13" s="1639"/>
      <c r="AA13" s="1637">
        <v>1346.8141012645076</v>
      </c>
      <c r="AB13" s="1638">
        <v>687.78649920127407</v>
      </c>
      <c r="AE13" s="1624"/>
      <c r="AG13" s="263" t="s">
        <v>200</v>
      </c>
      <c r="AH13" s="263"/>
      <c r="AI13" s="1549">
        <f>SUM(AI7:AI12)</f>
        <v>6252.9492883946605</v>
      </c>
      <c r="AJ13" s="1549">
        <f t="shared" ref="AJ13" si="7">SUM(AJ7:AJ12)</f>
        <v>138.34056547105845</v>
      </c>
      <c r="AK13" s="1550">
        <f t="shared" ref="AK13" si="8">SUM(AK7:AK12)</f>
        <v>0.14423384728757466</v>
      </c>
      <c r="AL13" s="1549">
        <f t="shared" ref="AL13" si="9">SUM(AL7:AL12)</f>
        <v>6925.1413368970861</v>
      </c>
      <c r="AM13" s="1549">
        <f t="shared" ref="AM13" si="10">SUM(AM7:AM12)</f>
        <v>153.21217625919718</v>
      </c>
      <c r="AN13" s="1550">
        <f t="shared" ref="AN13" si="11">SUM(AN7:AN12)</f>
        <v>0.15973898587098892</v>
      </c>
      <c r="AR13" s="1486" t="s">
        <v>1514</v>
      </c>
      <c r="AS13" s="1660">
        <v>3.1877625296425749</v>
      </c>
      <c r="AT13" s="1655">
        <v>3.207411452950359</v>
      </c>
      <c r="AU13" s="1660">
        <v>3.2099262415654946</v>
      </c>
      <c r="AV13" s="1660">
        <v>3.0345941759335631</v>
      </c>
      <c r="AW13" s="1661">
        <v>0.81754467902339933</v>
      </c>
    </row>
    <row r="14" spans="2:50" ht="34.5" customHeight="1" thickBot="1">
      <c r="B14" s="280" t="s">
        <v>344</v>
      </c>
      <c r="C14" s="188" t="s">
        <v>431</v>
      </c>
      <c r="D14" s="281" t="s">
        <v>1482</v>
      </c>
      <c r="E14" s="188" t="s">
        <v>1437</v>
      </c>
      <c r="F14" s="1855" t="s">
        <v>1448</v>
      </c>
      <c r="G14" s="1855"/>
      <c r="R14" s="1562" t="s">
        <v>1599</v>
      </c>
      <c r="T14" s="1617" t="s">
        <v>1584</v>
      </c>
      <c r="U14" s="1632">
        <v>2674.7358856304886</v>
      </c>
      <c r="V14" s="1633">
        <v>2645.081791099446</v>
      </c>
      <c r="W14" s="1634">
        <v>2109.2354410291528</v>
      </c>
      <c r="X14" s="1635">
        <v>2079.6009355018418</v>
      </c>
      <c r="Y14" s="1633">
        <f>(V14-$X14)/AA$5</f>
        <v>22.619234223904169</v>
      </c>
      <c r="Z14" s="1639">
        <f>(W14-$X14)/AB$5</f>
        <v>9.9444649420506445E-2</v>
      </c>
      <c r="AA14" s="1637">
        <v>3743.3404110501115</v>
      </c>
      <c r="AB14" s="1638">
        <v>3745.0927317566084</v>
      </c>
      <c r="AE14" s="1624"/>
      <c r="AR14" s="1486" t="s">
        <v>116</v>
      </c>
      <c r="AS14" s="1660">
        <v>10.338512696378444</v>
      </c>
      <c r="AT14" s="1655">
        <v>10.321632704647827</v>
      </c>
      <c r="AU14" s="1660">
        <v>10.327010048511729</v>
      </c>
      <c r="AV14" s="1660">
        <v>6.7115925391813729</v>
      </c>
      <c r="AW14" s="1661">
        <v>1.0523181311216376</v>
      </c>
    </row>
    <row r="15" spans="2:50" ht="15.75" thickTop="1">
      <c r="B15" s="282" t="s">
        <v>1436</v>
      </c>
      <c r="C15" s="1265">
        <f>Input!C57</f>
        <v>2025990</v>
      </c>
      <c r="D15" s="284">
        <f>Input!D57</f>
        <v>1814026</v>
      </c>
      <c r="E15" s="1402">
        <f>C15/D15</f>
        <v>1.1168472778229199</v>
      </c>
      <c r="F15" s="209"/>
      <c r="G15" s="282" t="s">
        <v>1447</v>
      </c>
      <c r="R15" s="1562" t="s">
        <v>1600</v>
      </c>
      <c r="T15" s="1618" t="s">
        <v>1585</v>
      </c>
      <c r="U15" s="1632">
        <v>0</v>
      </c>
      <c r="V15" s="1633">
        <v>0</v>
      </c>
      <c r="W15" s="1634">
        <v>0</v>
      </c>
      <c r="X15" s="1635">
        <v>0</v>
      </c>
      <c r="Y15" s="1633"/>
      <c r="Z15" s="1639"/>
      <c r="AA15" s="1637">
        <v>0</v>
      </c>
      <c r="AB15" s="1638">
        <v>0</v>
      </c>
      <c r="AE15" s="1624"/>
      <c r="AR15" s="1486" t="s">
        <v>119</v>
      </c>
      <c r="AS15" s="1660">
        <v>32.149624900594652</v>
      </c>
      <c r="AT15" s="1655">
        <v>31.988295590658325</v>
      </c>
      <c r="AU15" s="1660">
        <v>31.998365900446448</v>
      </c>
      <c r="AV15" s="1660">
        <v>13.499760154681162</v>
      </c>
      <c r="AW15" s="1661">
        <v>6.4584983555746778</v>
      </c>
    </row>
    <row r="16" spans="2:50">
      <c r="B16" s="666" t="s">
        <v>1201</v>
      </c>
      <c r="C16" s="1391">
        <f>C15*C17/1000000</f>
        <v>42695.042048395459</v>
      </c>
      <c r="D16" s="1391">
        <f>D15*D17/1000000</f>
        <v>38570.137621040099</v>
      </c>
      <c r="E16" s="1392">
        <f>C16/D16</f>
        <v>1.1069455460046171</v>
      </c>
      <c r="F16" s="405">
        <f>E16*Fuel_Specs!C25</f>
        <v>85407.020652418025</v>
      </c>
      <c r="G16" s="405">
        <f>F16*(1+'PSE LNG Operations'!E127)</f>
        <v>85587.12226724824</v>
      </c>
      <c r="R16" s="1562" t="s">
        <v>1601</v>
      </c>
      <c r="T16" s="1617" t="s">
        <v>1586</v>
      </c>
      <c r="U16" s="1632">
        <v>0</v>
      </c>
      <c r="V16" s="1633">
        <v>0</v>
      </c>
      <c r="W16" s="1634">
        <v>0</v>
      </c>
      <c r="X16" s="1635">
        <v>0</v>
      </c>
      <c r="Y16" s="1633"/>
      <c r="Z16" s="1639"/>
      <c r="AA16" s="1637">
        <v>0</v>
      </c>
      <c r="AB16" s="1638">
        <v>0</v>
      </c>
      <c r="AE16" s="1624"/>
      <c r="AR16" s="1486" t="s">
        <v>250</v>
      </c>
      <c r="AS16" s="1660">
        <v>40.319430312319255</v>
      </c>
      <c r="AT16" s="1655">
        <v>40.015365010637225</v>
      </c>
      <c r="AU16" s="1660">
        <v>40.029074084405089</v>
      </c>
      <c r="AV16" s="1660">
        <v>18.118042101496439</v>
      </c>
      <c r="AW16" s="1661">
        <v>10.766184928442078</v>
      </c>
    </row>
    <row r="17" spans="2:50">
      <c r="B17" s="263" t="s">
        <v>1438</v>
      </c>
      <c r="C17" s="1292">
        <f>Fuel_Specs!P47</f>
        <v>21073.668699448401</v>
      </c>
      <c r="D17" s="1393">
        <f>Fuel_Specs!P25</f>
        <v>21262.174644156203</v>
      </c>
      <c r="R17" s="1562" t="s">
        <v>1602</v>
      </c>
      <c r="T17" s="1617" t="s">
        <v>1587</v>
      </c>
      <c r="U17" s="1632">
        <v>0</v>
      </c>
      <c r="V17" s="1633">
        <v>0</v>
      </c>
      <c r="W17" s="1634">
        <v>0</v>
      </c>
      <c r="X17" s="1635">
        <v>0</v>
      </c>
      <c r="Y17" s="1633"/>
      <c r="Z17" s="1639"/>
      <c r="AA17" s="1637">
        <v>0</v>
      </c>
      <c r="AB17" s="1638">
        <v>0</v>
      </c>
      <c r="AE17" s="1624"/>
      <c r="AR17" s="1486" t="s">
        <v>251</v>
      </c>
      <c r="AS17" s="1660">
        <v>0.49993574319649653</v>
      </c>
      <c r="AT17" s="1655">
        <v>0.47391618311278572</v>
      </c>
      <c r="AU17" s="1660">
        <v>0.4742664292283244</v>
      </c>
      <c r="AV17" s="1660">
        <v>0.4225639176759507</v>
      </c>
      <c r="AW17" s="1661">
        <v>0.55829807537265053</v>
      </c>
    </row>
    <row r="18" spans="2:50">
      <c r="C18" s="193"/>
      <c r="F18" s="209"/>
      <c r="R18" s="1562" t="s">
        <v>1603</v>
      </c>
      <c r="T18" s="1617" t="s">
        <v>1588</v>
      </c>
      <c r="U18" s="1632">
        <v>2610.2760794672267</v>
      </c>
      <c r="V18" s="1633">
        <v>2610.2760794672267</v>
      </c>
      <c r="W18" s="1634">
        <v>2.425071630262805</v>
      </c>
      <c r="X18" s="1635">
        <v>2.425071630262805</v>
      </c>
      <c r="Y18" s="1633">
        <f>(V18-$X18)/AA$5</f>
        <v>104.31404031347856</v>
      </c>
      <c r="Z18" s="1639">
        <f>(W18-$X18)/AB$5</f>
        <v>0</v>
      </c>
      <c r="AA18" s="1637">
        <v>0</v>
      </c>
      <c r="AB18" s="1638">
        <v>0</v>
      </c>
      <c r="AE18" s="1624"/>
      <c r="AR18" s="1486" t="s">
        <v>252</v>
      </c>
      <c r="AS18" s="1660">
        <v>0.44504090346454805</v>
      </c>
      <c r="AT18" s="1655">
        <v>0.42196065936400162</v>
      </c>
      <c r="AU18" s="1660">
        <v>0.42227311276686313</v>
      </c>
      <c r="AV18" s="1660">
        <v>0.37690769649171901</v>
      </c>
      <c r="AW18" s="1661">
        <v>0.52346259284243979</v>
      </c>
    </row>
    <row r="19" spans="2:50">
      <c r="B19" s="212" t="s">
        <v>368</v>
      </c>
      <c r="C19" s="212"/>
      <c r="D19" s="1845" t="s">
        <v>332</v>
      </c>
      <c r="E19" s="1845"/>
      <c r="F19" s="1845"/>
      <c r="G19" s="1845"/>
      <c r="R19" s="1562" t="s">
        <v>1604</v>
      </c>
      <c r="T19" s="1617" t="s">
        <v>1624</v>
      </c>
      <c r="U19" s="1632">
        <v>994.16511905560412</v>
      </c>
      <c r="V19" s="1633">
        <v>994.16511905560412</v>
      </c>
      <c r="W19" s="1634">
        <v>994.16511905560412</v>
      </c>
      <c r="X19" s="1635">
        <v>994.16511905560412</v>
      </c>
      <c r="Y19" s="1633"/>
      <c r="Z19" s="1636"/>
      <c r="AA19" s="1637">
        <v>519.47776232452804</v>
      </c>
      <c r="AB19" s="1638">
        <v>519.3205809834044</v>
      </c>
      <c r="AE19" s="1623"/>
      <c r="AR19" s="1486" t="s">
        <v>253</v>
      </c>
      <c r="AS19" s="1660">
        <v>11.658318186238674</v>
      </c>
      <c r="AT19" s="1655">
        <v>11.616797235141696</v>
      </c>
      <c r="AU19" s="1660">
        <v>11.626113502025104</v>
      </c>
      <c r="AV19" s="1660">
        <v>11.167162215939985</v>
      </c>
      <c r="AW19" s="1661">
        <v>2.1144730930500888</v>
      </c>
    </row>
    <row r="20" spans="2:50" ht="15.75" customHeight="1" thickBot="1">
      <c r="C20" s="216"/>
      <c r="D20" s="216" t="s">
        <v>265</v>
      </c>
      <c r="E20" s="216" t="s">
        <v>266</v>
      </c>
      <c r="F20" s="216" t="s">
        <v>267</v>
      </c>
      <c r="G20" s="216" t="s">
        <v>264</v>
      </c>
      <c r="R20" s="1562" t="s">
        <v>1605</v>
      </c>
      <c r="T20" s="1617" t="s">
        <v>1589</v>
      </c>
      <c r="U20" s="1632">
        <v>0</v>
      </c>
      <c r="V20" s="1633">
        <v>0</v>
      </c>
      <c r="W20" s="1634">
        <v>0</v>
      </c>
      <c r="X20" s="1635">
        <v>0</v>
      </c>
      <c r="Y20" s="1633"/>
      <c r="Z20" s="1636"/>
      <c r="AA20" s="1637">
        <v>0</v>
      </c>
      <c r="AB20" s="1638">
        <v>0</v>
      </c>
      <c r="AE20" s="1623"/>
      <c r="AR20" s="1486" t="s">
        <v>254</v>
      </c>
      <c r="AS20" s="1660">
        <v>0.15186918216618814</v>
      </c>
      <c r="AT20" s="1655">
        <v>0.13171013973789886</v>
      </c>
      <c r="AU20" s="1660">
        <v>0.13181151244020736</v>
      </c>
      <c r="AV20" s="1660">
        <v>0.12190260301540176</v>
      </c>
      <c r="AW20" s="1661">
        <v>3.7115302335961317E-2</v>
      </c>
    </row>
    <row r="21" spans="2:50" ht="15.75" customHeight="1" thickTop="1" thickBot="1">
      <c r="B21" s="320" t="s">
        <v>346</v>
      </c>
      <c r="C21" s="289"/>
      <c r="D21" s="289">
        <f>$G$16*D11/1000000</f>
        <v>592.70291831898578</v>
      </c>
      <c r="E21" s="289">
        <f>$G$16*E11/1000000</f>
        <v>13.112989262327098</v>
      </c>
      <c r="F21" s="289">
        <f>$G$16*F11/1000000</f>
        <v>1.3671600114586568E-2</v>
      </c>
      <c r="G21" s="290">
        <f>D21+E21*CH4_GWP+F21*N2O_GWP</f>
        <v>924.60178671130996</v>
      </c>
      <c r="R21" s="1563" t="s">
        <v>200</v>
      </c>
      <c r="T21" s="1619" t="s">
        <v>200</v>
      </c>
      <c r="U21" s="1647">
        <f>SUM(U10:U20)</f>
        <v>9754.5130125347459</v>
      </c>
      <c r="V21" s="1648">
        <f>SUM(V10:V20)</f>
        <v>9711.4634251711213</v>
      </c>
      <c r="W21" s="1649">
        <f>SUM(W10:W20)</f>
        <v>6295.9309748863579</v>
      </c>
      <c r="X21" s="1650">
        <f>SUM(X10:X20)</f>
        <v>6252.9492883946605</v>
      </c>
      <c r="Y21" s="1648">
        <f>SUM(Y10:Y18)</f>
        <v>138.34056547105843</v>
      </c>
      <c r="Z21" s="1651">
        <f>SUM(Z10:Z18)</f>
        <v>0.14423384728757466</v>
      </c>
      <c r="AA21" s="1652">
        <f>SUM(AA10:AA20)</f>
        <v>8413.869732263187</v>
      </c>
      <c r="AB21" s="1653">
        <f>SUM(AB10:AB20)</f>
        <v>7795.4693953076612</v>
      </c>
      <c r="AE21" s="1623"/>
      <c r="AR21" s="1486" t="s">
        <v>255</v>
      </c>
      <c r="AS21" s="1660">
        <v>0.15278080589331722</v>
      </c>
      <c r="AT21" s="1655">
        <v>0.15117620486568584</v>
      </c>
      <c r="AU21" s="1660">
        <v>0.15128689189422589</v>
      </c>
      <c r="AV21" s="1660">
        <v>0.13364476432553984</v>
      </c>
      <c r="AW21" s="1661">
        <v>0.32967613331235179</v>
      </c>
    </row>
    <row r="22" spans="2:50" ht="15.75">
      <c r="D22" s="291"/>
      <c r="E22" s="291"/>
      <c r="F22" s="291"/>
      <c r="G22" s="291"/>
      <c r="H22" s="213"/>
      <c r="T22" s="1718" t="s">
        <v>1665</v>
      </c>
      <c r="AE22" s="1626"/>
      <c r="AR22" s="1486" t="s">
        <v>110</v>
      </c>
      <c r="AS22" s="1758">
        <v>221.02949858690801</v>
      </c>
      <c r="AT22" s="1759">
        <v>221.05458501618125</v>
      </c>
      <c r="AU22" s="1758">
        <v>324.03842803942217</v>
      </c>
      <c r="AV22" s="1660">
        <v>162.16360979197628</v>
      </c>
      <c r="AW22" s="1661">
        <v>142.57254497856673</v>
      </c>
    </row>
    <row r="23" spans="2:50">
      <c r="E23" s="291"/>
      <c r="F23" s="291"/>
      <c r="G23" s="291"/>
      <c r="H23" s="213"/>
      <c r="K23" s="183" t="s">
        <v>560</v>
      </c>
      <c r="AR23" s="1486" t="s">
        <v>113</v>
      </c>
      <c r="AS23" s="1758">
        <v>1.423138604967177</v>
      </c>
      <c r="AT23" s="1759">
        <v>1.416537362767613</v>
      </c>
      <c r="AU23" s="1660">
        <v>1.4165610602421403</v>
      </c>
      <c r="AV23" s="1660">
        <v>0.13038990534075701</v>
      </c>
      <c r="AW23" s="1661">
        <v>4.0034051468678944E-2</v>
      </c>
    </row>
    <row r="24" spans="2:50">
      <c r="E24" s="291"/>
      <c r="F24" s="291"/>
      <c r="G24" s="291"/>
      <c r="H24" s="213"/>
      <c r="K24" s="421" t="s">
        <v>550</v>
      </c>
      <c r="AR24" s="1486" t="s">
        <v>107</v>
      </c>
      <c r="AS24" s="1658">
        <v>6688.0678762111875</v>
      </c>
      <c r="AT24" s="1493">
        <v>6090.2146118419341</v>
      </c>
      <c r="AU24" s="1658">
        <v>6093.8265082477064</v>
      </c>
      <c r="AV24" s="1658">
        <v>4446.1247812995043</v>
      </c>
      <c r="AW24" s="1659">
        <v>7148.4983899321915</v>
      </c>
    </row>
    <row r="25" spans="2:50">
      <c r="B25" s="212" t="s">
        <v>495</v>
      </c>
      <c r="C25" s="212"/>
      <c r="D25" s="212"/>
      <c r="E25" s="1845" t="s">
        <v>300</v>
      </c>
      <c r="F25" s="1845"/>
      <c r="G25" s="1845"/>
      <c r="H25" s="1845"/>
      <c r="AR25" s="1486" t="s">
        <v>1536</v>
      </c>
      <c r="AS25" s="1658">
        <v>6770.8104132444059</v>
      </c>
      <c r="AT25" s="1493">
        <v>6172.6510220805494</v>
      </c>
      <c r="AU25" s="1658">
        <v>6176.2955026472227</v>
      </c>
      <c r="AV25" s="1658">
        <v>4488.256486861118</v>
      </c>
      <c r="AW25" s="1659">
        <v>7161.9271836186617</v>
      </c>
    </row>
    <row r="26" spans="2:50" ht="18.75" thickBot="1">
      <c r="B26" s="215" t="s">
        <v>263</v>
      </c>
      <c r="C26" s="216" t="s">
        <v>1191</v>
      </c>
      <c r="D26" s="215"/>
      <c r="E26" s="216" t="s">
        <v>265</v>
      </c>
      <c r="F26" s="216" t="s">
        <v>266</v>
      </c>
      <c r="G26" s="216" t="s">
        <v>267</v>
      </c>
      <c r="H26" s="216" t="s">
        <v>264</v>
      </c>
      <c r="K26" s="187" t="s">
        <v>551</v>
      </c>
      <c r="L26" s="187" t="s">
        <v>552</v>
      </c>
      <c r="AR26" s="1500" t="s">
        <v>1537</v>
      </c>
      <c r="AS26" s="1662">
        <f>AS25+AS23*N2O_GWP+AS22*CH4_GWP</f>
        <v>12720.643182197324</v>
      </c>
      <c r="AT26" s="1662">
        <f>AT25+AT23*N2O_GWP+AT22*CH4_GWP</f>
        <v>12121.14378158983</v>
      </c>
      <c r="AU26" s="1662">
        <v>16272.837024794055</v>
      </c>
      <c r="AV26" s="1662">
        <v>9387.7181055357069</v>
      </c>
      <c r="AW26" s="1663">
        <v>11449.712556614864</v>
      </c>
      <c r="AX26" s="261">
        <f>(Results!E13+Results!E18)*1000000/'PSE LNG Operations'!AU53/1000</f>
        <v>10921.954745172539</v>
      </c>
    </row>
    <row r="27" spans="2:50" ht="15.75" thickTop="1">
      <c r="B27" s="1144" t="s">
        <v>201</v>
      </c>
      <c r="C27" s="671" t="s">
        <v>1229</v>
      </c>
      <c r="D27" s="1144" t="s">
        <v>231</v>
      </c>
      <c r="E27" s="230">
        <f>Input!E172</f>
        <v>8.1999999999999993</v>
      </c>
      <c r="F27" s="1137">
        <f>Input!F172</f>
        <v>0.38</v>
      </c>
      <c r="G27" s="1137">
        <f>Input!G172</f>
        <v>1E-3</v>
      </c>
      <c r="H27" s="213">
        <f t="shared" ref="H27:H34" si="12">E27+F27*CH4_GWP+G27*N2O_GWP</f>
        <v>17.997999999999998</v>
      </c>
      <c r="I27" s="418"/>
      <c r="K27" s="418" t="s">
        <v>553</v>
      </c>
      <c r="L27" s="419">
        <v>0.84</v>
      </c>
      <c r="AS27" s="1304">
        <f>AS26/1055.05</f>
        <v>12.05691027173814</v>
      </c>
      <c r="AT27" s="1304">
        <f t="shared" ref="AT27:AW27" si="13">AT26/1055.05</f>
        <v>11.488691324193006</v>
      </c>
      <c r="AU27" s="1304">
        <f t="shared" si="13"/>
        <v>15.423759087051851</v>
      </c>
      <c r="AV27" s="1304">
        <f t="shared" si="13"/>
        <v>8.8978892995931069</v>
      </c>
      <c r="AW27" s="1304">
        <f t="shared" si="13"/>
        <v>10.852293783815805</v>
      </c>
    </row>
    <row r="28" spans="2:50">
      <c r="B28" s="1145"/>
      <c r="C28" s="1146" t="s">
        <v>1230</v>
      </c>
      <c r="D28" s="1145" t="s">
        <v>299</v>
      </c>
      <c r="E28" s="1134">
        <f>Input!E173</f>
        <v>196</v>
      </c>
      <c r="F28" s="1138">
        <f>Input!F173</f>
        <v>0.01</v>
      </c>
      <c r="G28" s="1138">
        <f>Input!G173</f>
        <v>3.0000000000000001E-3</v>
      </c>
      <c r="H28" s="415">
        <f t="shared" si="12"/>
        <v>197.14400000000001</v>
      </c>
      <c r="I28" s="1481">
        <f>H28+H27</f>
        <v>215.142</v>
      </c>
      <c r="J28" s="1482">
        <f>I28/3.6</f>
        <v>59.761666666666663</v>
      </c>
      <c r="K28" s="418" t="s">
        <v>554</v>
      </c>
      <c r="L28" s="419">
        <v>0.06</v>
      </c>
    </row>
    <row r="29" spans="2:50" ht="15" customHeight="1">
      <c r="B29" s="1144" t="s">
        <v>963</v>
      </c>
      <c r="C29" s="671" t="s">
        <v>1414</v>
      </c>
      <c r="D29" s="1144" t="s">
        <v>231</v>
      </c>
      <c r="E29" s="230">
        <f>Input!E174</f>
        <v>1.2776192871865839</v>
      </c>
      <c r="F29" s="1137">
        <f>Input!F174</f>
        <v>4.5362243122767348E-2</v>
      </c>
      <c r="G29" s="1137">
        <f>Input!G174</f>
        <v>7.3136628832094915E-5</v>
      </c>
      <c r="H29" s="213">
        <f t="shared" si="12"/>
        <v>2.4334700806477318</v>
      </c>
      <c r="I29" s="1481"/>
      <c r="J29" s="1482"/>
      <c r="K29" s="418" t="s">
        <v>1032</v>
      </c>
      <c r="L29" s="419">
        <v>0.02</v>
      </c>
    </row>
    <row r="30" spans="2:50">
      <c r="B30" s="1145"/>
      <c r="C30" s="1146" t="s">
        <v>1415</v>
      </c>
      <c r="D30" s="1145" t="s">
        <v>299</v>
      </c>
      <c r="E30" s="1134">
        <f>Input!E175</f>
        <v>27.390241363146632</v>
      </c>
      <c r="F30" s="1138">
        <f>Input!F175</f>
        <v>2.954462273294569E-4</v>
      </c>
      <c r="G30" s="1138">
        <f>Input!G175</f>
        <v>3.2853823259947643E-4</v>
      </c>
      <c r="H30" s="415">
        <f t="shared" si="12"/>
        <v>27.495531912144511</v>
      </c>
      <c r="I30" s="1481">
        <f t="shared" ref="I30:I34" si="14">H30+H29</f>
        <v>29.929001992792244</v>
      </c>
      <c r="J30" s="1482">
        <f t="shared" ref="J30:J34" si="15">I30/3.6</f>
        <v>8.3136116646645117</v>
      </c>
      <c r="K30" s="418" t="s">
        <v>193</v>
      </c>
      <c r="L30" s="419">
        <v>0.01</v>
      </c>
    </row>
    <row r="31" spans="2:50">
      <c r="B31" s="1144" t="s">
        <v>230</v>
      </c>
      <c r="C31" s="671" t="s">
        <v>1231</v>
      </c>
      <c r="D31" s="1144" t="s">
        <v>231</v>
      </c>
      <c r="E31" s="230">
        <f>Input!E176</f>
        <v>19.740203625011802</v>
      </c>
      <c r="F31" s="1137">
        <f>Input!F176</f>
        <v>0.6461686800881562</v>
      </c>
      <c r="G31" s="1137">
        <f>Input!G176</f>
        <v>2.5750805496714607E-3</v>
      </c>
      <c r="H31" s="213">
        <f t="shared" si="12"/>
        <v>36.661794631017806</v>
      </c>
      <c r="I31" s="1481"/>
      <c r="J31" s="1482"/>
      <c r="K31" s="666" t="s">
        <v>1033</v>
      </c>
      <c r="L31" s="420">
        <v>7.0000000000000007E-2</v>
      </c>
    </row>
    <row r="32" spans="2:50">
      <c r="B32" s="1145"/>
      <c r="C32" s="1146" t="s">
        <v>1232</v>
      </c>
      <c r="D32" s="1145" t="s">
        <v>299</v>
      </c>
      <c r="E32" s="1134">
        <f>Input!E177</f>
        <v>212.25293056950503</v>
      </c>
      <c r="F32" s="1138">
        <f>Input!F177</f>
        <v>9.007750958385248E-3</v>
      </c>
      <c r="G32" s="1138">
        <f>Input!G177</f>
        <v>1.3744831761170083E-3</v>
      </c>
      <c r="H32" s="415">
        <f t="shared" si="12"/>
        <v>212.88772032994751</v>
      </c>
      <c r="I32" s="1481">
        <f t="shared" si="14"/>
        <v>249.54951496096533</v>
      </c>
      <c r="J32" s="1482">
        <f t="shared" si="15"/>
        <v>69.319309711379262</v>
      </c>
      <c r="K32" s="429" t="s">
        <v>1034</v>
      </c>
      <c r="L32" s="429"/>
    </row>
    <row r="33" spans="2:20" ht="15" customHeight="1">
      <c r="B33" s="1144" t="s">
        <v>349</v>
      </c>
      <c r="C33" s="671" t="s">
        <v>1233</v>
      </c>
      <c r="D33" s="1144" t="s">
        <v>231</v>
      </c>
      <c r="E33" s="230">
        <f>Input!E178</f>
        <v>11.460240622823047</v>
      </c>
      <c r="F33" s="1137">
        <f>Input!F178</f>
        <v>0.55693831623285128</v>
      </c>
      <c r="G33" s="1137">
        <f>Input!G178</f>
        <v>9.7871837577018488E-4</v>
      </c>
      <c r="H33" s="213">
        <f t="shared" si="12"/>
        <v>25.675356604623847</v>
      </c>
      <c r="I33" s="1481"/>
      <c r="J33" s="1482"/>
      <c r="K33" s="667" t="s">
        <v>1035</v>
      </c>
    </row>
    <row r="34" spans="2:20" ht="15.75" thickBot="1">
      <c r="B34" s="1144"/>
      <c r="C34" s="671" t="s">
        <v>1234</v>
      </c>
      <c r="D34" s="1144" t="s">
        <v>299</v>
      </c>
      <c r="E34" s="230">
        <f>Input!E179</f>
        <v>297.20820206969563</v>
      </c>
      <c r="F34" s="1137">
        <f>Input!F179</f>
        <v>1.0672129279142323E-2</v>
      </c>
      <c r="G34" s="1137">
        <f>Input!G179</f>
        <v>4.6755650349940931E-3</v>
      </c>
      <c r="H34" s="213">
        <f t="shared" si="12"/>
        <v>298.86832368210241</v>
      </c>
      <c r="I34" s="1481">
        <f t="shared" si="14"/>
        <v>324.54368028672627</v>
      </c>
      <c r="J34" s="1482">
        <f t="shared" si="15"/>
        <v>90.151022301868409</v>
      </c>
      <c r="K34" s="183" t="s">
        <v>560</v>
      </c>
    </row>
    <row r="35" spans="2:20" ht="15.75" thickBot="1">
      <c r="B35" s="1149" t="s">
        <v>1195</v>
      </c>
      <c r="C35" s="1150" t="str">
        <f>Input!H24</f>
        <v>WA</v>
      </c>
      <c r="D35" s="1151"/>
      <c r="E35" s="1152"/>
      <c r="F35" s="1153"/>
      <c r="G35" s="1153"/>
      <c r="H35" s="1154"/>
      <c r="I35" s="418"/>
    </row>
    <row r="36" spans="2:20" ht="16.5" thickTop="1" thickBot="1">
      <c r="B36" s="1155" t="str">
        <f>Input!G24</f>
        <v>Washington</v>
      </c>
      <c r="C36" s="1156" t="str">
        <f>CONCATENATE(C35,"UP")</f>
        <v>WAUP</v>
      </c>
      <c r="D36" s="208" t="s">
        <v>231</v>
      </c>
      <c r="E36" s="1157">
        <f>VLOOKUP(C36,C27:G34,3,FALSE)</f>
        <v>8.1999999999999993</v>
      </c>
      <c r="F36" s="1158">
        <f>VLOOKUP(C36,C27:G34,4,FALSE)</f>
        <v>0.38</v>
      </c>
      <c r="G36" s="1158">
        <f>VLOOKUP(C36,C27:G34,5,FALSE)</f>
        <v>1E-3</v>
      </c>
      <c r="H36" s="1159">
        <f>E36+F36*CH4_GWP+G36*N2O_GWP</f>
        <v>17.997999999999998</v>
      </c>
      <c r="I36" s="418"/>
      <c r="K36" s="346" t="s">
        <v>516</v>
      </c>
      <c r="L36" s="346"/>
      <c r="M36" s="1851" t="s">
        <v>555</v>
      </c>
      <c r="N36" s="1851"/>
      <c r="O36" s="1851"/>
      <c r="P36" s="1851"/>
      <c r="Q36" s="1851"/>
      <c r="R36" s="1851"/>
      <c r="S36" s="1851"/>
      <c r="T36" s="1851"/>
    </row>
    <row r="37" spans="2:20" ht="16.5" thickTop="1" thickBot="1">
      <c r="B37" s="1160"/>
      <c r="C37" s="1161" t="str">
        <f>CONCATENATE(C35,"PP")</f>
        <v>WAPP</v>
      </c>
      <c r="D37" s="1097" t="s">
        <v>299</v>
      </c>
      <c r="E37" s="1162">
        <f>VLOOKUP(C37,C27:G34,3,FALSE)</f>
        <v>196</v>
      </c>
      <c r="F37" s="1163">
        <f>VLOOKUP(C37,C27:G34,4,FALSE)</f>
        <v>0.01</v>
      </c>
      <c r="G37" s="1163">
        <f>VLOOKUP(C37,C27:G34,5,FALSE)</f>
        <v>3.0000000000000001E-3</v>
      </c>
      <c r="H37" s="1164">
        <f>E37+F37*CH4_GWP+G37*N2O_GWP</f>
        <v>197.14400000000001</v>
      </c>
      <c r="I37" s="418"/>
      <c r="L37" s="292"/>
      <c r="M37" s="424" t="s">
        <v>116</v>
      </c>
      <c r="N37" s="424" t="s">
        <v>119</v>
      </c>
      <c r="O37" s="424" t="s">
        <v>250</v>
      </c>
      <c r="P37" s="424" t="s">
        <v>254</v>
      </c>
      <c r="Q37" s="424" t="s">
        <v>255</v>
      </c>
      <c r="R37" s="424" t="s">
        <v>110</v>
      </c>
      <c r="S37" s="424" t="s">
        <v>113</v>
      </c>
      <c r="T37" s="424" t="s">
        <v>107</v>
      </c>
    </row>
    <row r="38" spans="2:20">
      <c r="I38" s="418"/>
      <c r="J38" s="418"/>
      <c r="K38" s="183" t="s">
        <v>1036</v>
      </c>
      <c r="L38" s="183" t="s">
        <v>558</v>
      </c>
      <c r="M38" s="425">
        <v>0.64900000000000002</v>
      </c>
      <c r="N38" s="425">
        <v>1.631</v>
      </c>
      <c r="O38" s="425">
        <v>3.8330000000000002</v>
      </c>
      <c r="P38" s="425">
        <v>2.3E-2</v>
      </c>
      <c r="Q38" s="425">
        <v>0.05</v>
      </c>
      <c r="R38" s="425">
        <v>10.917</v>
      </c>
      <c r="S38" s="425">
        <v>9.1999999999999998E-2</v>
      </c>
      <c r="T38" s="425">
        <v>5942</v>
      </c>
    </row>
    <row r="39" spans="2:20" ht="18.75" customHeight="1">
      <c r="I39" s="418"/>
      <c r="J39" s="418"/>
      <c r="K39" s="209" t="s">
        <v>1037</v>
      </c>
      <c r="L39" s="209" t="s">
        <v>557</v>
      </c>
      <c r="M39" s="426">
        <f t="shared" ref="M39:T39" si="16">M38*BtuperkWh/1000000</f>
        <v>2.2144799253992101E-3</v>
      </c>
      <c r="N39" s="426">
        <f t="shared" si="16"/>
        <v>5.565203017451636E-3</v>
      </c>
      <c r="O39" s="426">
        <f t="shared" si="16"/>
        <v>1.3078738912257585E-2</v>
      </c>
      <c r="P39" s="426">
        <f t="shared" si="16"/>
        <v>7.8479257756828704E-5</v>
      </c>
      <c r="Q39" s="426">
        <f t="shared" si="16"/>
        <v>1.7060708208006242E-4</v>
      </c>
      <c r="R39" s="426">
        <f t="shared" si="16"/>
        <v>3.725035030136082E-2</v>
      </c>
      <c r="S39" s="426">
        <f t="shared" si="16"/>
        <v>3.1391703102731481E-4</v>
      </c>
      <c r="T39" s="426">
        <f t="shared" si="16"/>
        <v>20.274945634394616</v>
      </c>
    </row>
    <row r="40" spans="2:20" ht="18.75" customHeight="1" thickBot="1">
      <c r="B40" s="187" t="s">
        <v>1211</v>
      </c>
      <c r="C40" s="187" t="s">
        <v>348</v>
      </c>
      <c r="D40" s="1843" t="s">
        <v>1212</v>
      </c>
      <c r="E40" s="1843"/>
      <c r="F40" s="1843"/>
      <c r="G40" s="1843"/>
      <c r="I40" s="418"/>
      <c r="J40" s="418"/>
      <c r="K40" s="668" t="s">
        <v>1036</v>
      </c>
      <c r="L40" s="324" t="s">
        <v>556</v>
      </c>
      <c r="M40" s="427">
        <v>0.04</v>
      </c>
      <c r="N40" s="427">
        <v>0.10100000000000001</v>
      </c>
      <c r="O40" s="427">
        <v>0.23699999999999999</v>
      </c>
      <c r="P40" s="427">
        <v>1E-3</v>
      </c>
      <c r="Q40" s="427">
        <v>3.0000000000000001E-3</v>
      </c>
      <c r="R40" s="427">
        <v>0.67400000000000004</v>
      </c>
      <c r="S40" s="427">
        <v>6.0000000000000001E-3</v>
      </c>
      <c r="T40" s="427">
        <v>367.1</v>
      </c>
    </row>
    <row r="41" spans="2:20" ht="18.75" customHeight="1" thickTop="1">
      <c r="B41" s="292" t="s">
        <v>1345</v>
      </c>
      <c r="C41" s="1212">
        <f>'Construction Material&amp;Power'!C40</f>
        <v>10512000</v>
      </c>
      <c r="D41" s="293" t="s">
        <v>265</v>
      </c>
      <c r="E41" s="293" t="s">
        <v>266</v>
      </c>
      <c r="F41" s="293" t="s">
        <v>267</v>
      </c>
      <c r="G41" s="293" t="s">
        <v>264</v>
      </c>
      <c r="I41" s="418"/>
      <c r="J41" s="418"/>
      <c r="K41" s="241" t="s">
        <v>1038</v>
      </c>
      <c r="L41" s="241" t="s">
        <v>559</v>
      </c>
      <c r="M41" s="428">
        <f>M40*Fuel_Specs!C24/1000000</f>
        <v>3.364654531392145E-3</v>
      </c>
      <c r="N41" s="428">
        <f>N40*Fuel_Specs!D24/1000000</f>
        <v>9.4090461061299216E-3</v>
      </c>
      <c r="O41" s="428">
        <f>O40*Fuel_Specs!E24/1000000</f>
        <v>4.5575099999999995E-4</v>
      </c>
      <c r="P41" s="428">
        <f>P40*Fuel_Specs!F24/1000000</f>
        <v>8.1805570775272686E-10</v>
      </c>
      <c r="Q41" s="428">
        <f>Q40*Fuel_Specs!G24/1000000</f>
        <v>0</v>
      </c>
      <c r="R41" s="428">
        <f>R40*Fuel_Specs!H24/1000000</f>
        <v>0</v>
      </c>
      <c r="S41" s="428">
        <f>S40*Fuel_Specs!I24/1000000</f>
        <v>0</v>
      </c>
      <c r="T41" s="428">
        <f>T40*Fuel_Specs!J24/1000000</f>
        <v>25.149976602756624</v>
      </c>
    </row>
    <row r="42" spans="2:20" ht="18.75" customHeight="1">
      <c r="B42" s="241" t="s">
        <v>195</v>
      </c>
      <c r="C42" s="422" t="str">
        <f>C36</f>
        <v>WAUP</v>
      </c>
      <c r="D42" s="406">
        <f>($E$36+$E$37)*C$41/1000000</f>
        <v>2146.5503999999996</v>
      </c>
      <c r="E42" s="406">
        <f>($F$36+$F$37)*C$41/1000000</f>
        <v>4.0996800000000002</v>
      </c>
      <c r="F42" s="406">
        <f>($G$36+$G$37)*C$41/1000000</f>
        <v>4.2048000000000002E-2</v>
      </c>
      <c r="G42" s="406">
        <f>D42+E42*CH4_GWP+F42*N2O_GWP</f>
        <v>2261.5727039999997</v>
      </c>
      <c r="I42" s="418"/>
      <c r="J42" s="418"/>
      <c r="M42" s="425"/>
      <c r="N42" s="425"/>
      <c r="O42" s="425"/>
      <c r="P42" s="425"/>
      <c r="Q42" s="425"/>
      <c r="R42" s="425"/>
      <c r="S42" s="425"/>
      <c r="T42" s="425"/>
    </row>
    <row r="43" spans="2:20" ht="18.75" customHeight="1">
      <c r="I43" s="418"/>
      <c r="J43" s="418"/>
      <c r="M43" s="425"/>
      <c r="N43" s="425"/>
      <c r="O43" s="425"/>
      <c r="P43" s="425"/>
      <c r="Q43" s="425"/>
      <c r="R43" s="425"/>
      <c r="S43" s="425"/>
      <c r="T43" s="425"/>
    </row>
    <row r="44" spans="2:20">
      <c r="I44" s="418"/>
      <c r="J44" s="418"/>
    </row>
    <row r="45" spans="2:20" ht="15.75" thickBot="1">
      <c r="B45" s="187" t="s">
        <v>516</v>
      </c>
      <c r="C45" s="187" t="s">
        <v>348</v>
      </c>
      <c r="D45" s="1843" t="s">
        <v>332</v>
      </c>
      <c r="E45" s="1843"/>
      <c r="F45" s="1843"/>
      <c r="G45" s="1843"/>
      <c r="I45" s="418"/>
      <c r="J45" s="418"/>
    </row>
    <row r="46" spans="2:20" ht="18.75" thickTop="1">
      <c r="B46" s="292" t="s">
        <v>347</v>
      </c>
      <c r="C46" s="1141">
        <f>Input!C51</f>
        <v>1348</v>
      </c>
      <c r="D46" s="293" t="s">
        <v>265</v>
      </c>
      <c r="E46" s="293" t="s">
        <v>266</v>
      </c>
      <c r="F46" s="293" t="s">
        <v>267</v>
      </c>
      <c r="G46" s="293" t="s">
        <v>264</v>
      </c>
      <c r="I46" s="1407">
        <f>C46*500000*Input!D28/1000000000</f>
        <v>239.27</v>
      </c>
      <c r="J46" s="418" t="s">
        <v>1460</v>
      </c>
      <c r="K46" s="418"/>
    </row>
    <row r="47" spans="2:20">
      <c r="B47" s="241" t="s">
        <v>195</v>
      </c>
      <c r="C47" s="422" t="str">
        <f>C35</f>
        <v>WA</v>
      </c>
      <c r="D47" s="423">
        <f>($E$36+$E$37)*C$46/1000</f>
        <v>275.26159999999999</v>
      </c>
      <c r="E47" s="423">
        <f>($F$36+$F$37)*C$46/1000</f>
        <v>0.52572000000000008</v>
      </c>
      <c r="F47" s="423">
        <f>($G$36+$G$37)*C$46/1000</f>
        <v>5.3920000000000001E-3</v>
      </c>
      <c r="G47" s="423">
        <f>D47+E47*CH4_GWP+F47*N2O_GWP</f>
        <v>290.011416</v>
      </c>
      <c r="I47" s="418"/>
      <c r="J47" s="418"/>
      <c r="K47" s="418"/>
    </row>
    <row r="48" spans="2:20">
      <c r="B48" s="294"/>
      <c r="I48" s="418"/>
      <c r="J48" s="418"/>
      <c r="K48" s="418"/>
    </row>
    <row r="49" spans="2:10">
      <c r="I49" s="418"/>
      <c r="J49" s="418"/>
    </row>
    <row r="50" spans="2:10" ht="30.75" thickBot="1">
      <c r="B50" s="188" t="s">
        <v>1190</v>
      </c>
      <c r="C50" s="187" t="s">
        <v>348</v>
      </c>
      <c r="D50" s="1843" t="s">
        <v>332</v>
      </c>
      <c r="E50" s="1843"/>
      <c r="F50" s="1843"/>
      <c r="G50" s="1843"/>
      <c r="I50" s="418"/>
      <c r="J50" s="418"/>
    </row>
    <row r="51" spans="2:10" ht="18.75" thickTop="1">
      <c r="B51" s="292" t="s">
        <v>1708</v>
      </c>
      <c r="C51" s="1141">
        <v>45</v>
      </c>
      <c r="D51" s="293" t="s">
        <v>265</v>
      </c>
      <c r="E51" s="293" t="s">
        <v>266</v>
      </c>
      <c r="F51" s="293" t="s">
        <v>267</v>
      </c>
      <c r="G51" s="293" t="s">
        <v>264</v>
      </c>
      <c r="I51" s="418"/>
      <c r="J51" s="418"/>
    </row>
    <row r="52" spans="2:10">
      <c r="B52" s="241" t="s">
        <v>195</v>
      </c>
      <c r="C52" s="422" t="str">
        <f>C35</f>
        <v>WA</v>
      </c>
      <c r="D52" s="423">
        <f>($E$36+$E$37)*C$51/1000</f>
        <v>9.1890000000000001</v>
      </c>
      <c r="E52" s="423">
        <f>($F$36+$F$37)*C$51/1000</f>
        <v>1.755E-2</v>
      </c>
      <c r="F52" s="423">
        <f>($G$36+$G$37)*C$51/1000</f>
        <v>1.7999999999999998E-4</v>
      </c>
      <c r="G52" s="423">
        <f>D52+E52*CH4_GWP+F52*N2O_GWP</f>
        <v>9.6813900000000004</v>
      </c>
      <c r="I52" s="418"/>
      <c r="J52" s="418"/>
    </row>
    <row r="53" spans="2:10">
      <c r="I53" s="418"/>
      <c r="J53" s="418"/>
    </row>
    <row r="54" spans="2:10">
      <c r="B54" s="208" t="s">
        <v>515</v>
      </c>
      <c r="I54" s="418"/>
      <c r="J54" s="418"/>
    </row>
    <row r="55" spans="2:10">
      <c r="B55" s="236" t="s">
        <v>374</v>
      </c>
      <c r="C55" s="319" t="s">
        <v>496</v>
      </c>
      <c r="D55" s="1845" t="s">
        <v>269</v>
      </c>
      <c r="E55" s="1845"/>
      <c r="F55" s="1845"/>
      <c r="G55" s="1845"/>
      <c r="I55" s="418"/>
      <c r="J55" s="418"/>
    </row>
    <row r="56" spans="2:10" ht="18.75" thickBot="1">
      <c r="B56" s="182" t="s">
        <v>263</v>
      </c>
      <c r="C56" s="187" t="s">
        <v>421</v>
      </c>
      <c r="D56" s="216" t="s">
        <v>265</v>
      </c>
      <c r="E56" s="216" t="s">
        <v>266</v>
      </c>
      <c r="F56" s="216" t="s">
        <v>267</v>
      </c>
      <c r="G56" s="216" t="s">
        <v>264</v>
      </c>
      <c r="I56" s="418"/>
      <c r="J56" s="418"/>
    </row>
    <row r="57" spans="2:10" ht="15.75" thickTop="1">
      <c r="B57" s="242" t="s">
        <v>375</v>
      </c>
      <c r="C57" s="1165">
        <f>Input!C222</f>
        <v>0.01</v>
      </c>
      <c r="D57" s="243">
        <f>(E37+E36)*$C$57</f>
        <v>2.0419999999999998</v>
      </c>
      <c r="E57" s="243">
        <f>(F37+F36)*$C$57</f>
        <v>3.9000000000000003E-3</v>
      </c>
      <c r="F57" s="243">
        <f>(G37+G36)*$C$57</f>
        <v>4.0000000000000003E-5</v>
      </c>
      <c r="G57" s="243">
        <f t="shared" ref="G57" si="17">D57+E57*CH4_GWP+F57*N2O_GWP</f>
        <v>2.1514199999999999</v>
      </c>
      <c r="I57" s="418"/>
      <c r="J57" s="418"/>
    </row>
    <row r="58" spans="2:10">
      <c r="B58" s="241" t="s">
        <v>200</v>
      </c>
      <c r="C58" s="209"/>
      <c r="D58" s="246">
        <f>SUM(D57:D57)</f>
        <v>2.0419999999999998</v>
      </c>
      <c r="E58" s="246">
        <f>SUM(E57:E57)</f>
        <v>3.9000000000000003E-3</v>
      </c>
      <c r="F58" s="246">
        <f>SUM(F57:F57)</f>
        <v>4.0000000000000003E-5</v>
      </c>
      <c r="G58" s="246">
        <f>SUM(G57:G57)</f>
        <v>2.1514199999999999</v>
      </c>
      <c r="I58" s="418"/>
      <c r="J58" s="418"/>
    </row>
    <row r="59" spans="2:10">
      <c r="I59" s="418"/>
      <c r="J59" s="418"/>
    </row>
    <row r="60" spans="2:10">
      <c r="I60" s="418"/>
      <c r="J60" s="418"/>
    </row>
    <row r="61" spans="2:10">
      <c r="B61" s="208" t="s">
        <v>515</v>
      </c>
      <c r="I61" s="418"/>
      <c r="J61" s="418"/>
    </row>
    <row r="62" spans="2:10">
      <c r="B62" s="236" t="s">
        <v>373</v>
      </c>
      <c r="C62" s="319" t="s">
        <v>496</v>
      </c>
      <c r="D62" s="1845" t="s">
        <v>269</v>
      </c>
      <c r="E62" s="1845"/>
      <c r="F62" s="1845"/>
      <c r="G62" s="1845"/>
      <c r="I62" s="418"/>
      <c r="J62" s="418"/>
    </row>
    <row r="63" spans="2:10" ht="18.75" thickBot="1">
      <c r="B63" s="182" t="s">
        <v>263</v>
      </c>
      <c r="C63" s="187" t="s">
        <v>1705</v>
      </c>
      <c r="D63" s="216" t="s">
        <v>265</v>
      </c>
      <c r="E63" s="216" t="s">
        <v>266</v>
      </c>
      <c r="F63" s="216" t="s">
        <v>267</v>
      </c>
      <c r="G63" s="216" t="s">
        <v>264</v>
      </c>
      <c r="I63" s="418"/>
      <c r="J63" s="418"/>
    </row>
    <row r="64" spans="2:10" ht="15.75" thickTop="1">
      <c r="B64" s="242" t="s">
        <v>372</v>
      </c>
      <c r="C64" s="1839">
        <f>Input!C226*0</f>
        <v>0</v>
      </c>
      <c r="D64" s="243">
        <f>(Upstream!E37+Upstream!E36)*$C$64</f>
        <v>0</v>
      </c>
      <c r="E64" s="243">
        <f>(Upstream!F37+Upstream!F36)*$C$64</f>
        <v>0</v>
      </c>
      <c r="F64" s="243">
        <f>(Upstream!G37+Upstream!G36)*$C$64</f>
        <v>0</v>
      </c>
      <c r="G64" s="243">
        <f>Upstream!G47*$C$64</f>
        <v>0</v>
      </c>
      <c r="I64" s="418"/>
      <c r="J64" s="418"/>
    </row>
    <row r="65" spans="2:10">
      <c r="B65" s="241" t="s">
        <v>200</v>
      </c>
      <c r="C65" s="209"/>
      <c r="D65" s="246">
        <f>SUM(D64:D64)</f>
        <v>0</v>
      </c>
      <c r="E65" s="246">
        <f>SUM(E64:E64)</f>
        <v>0</v>
      </c>
      <c r="F65" s="246">
        <f>SUM(F64:F64)</f>
        <v>0</v>
      </c>
      <c r="G65" s="246">
        <f>SUM(G64:G64)</f>
        <v>0</v>
      </c>
      <c r="I65" s="418"/>
      <c r="J65" s="418"/>
    </row>
    <row r="66" spans="2:10">
      <c r="B66" s="294"/>
      <c r="I66" s="418"/>
      <c r="J66" s="418"/>
    </row>
    <row r="67" spans="2:10">
      <c r="I67" s="418"/>
      <c r="J67" s="418"/>
    </row>
    <row r="68" spans="2:10">
      <c r="D68" s="192"/>
      <c r="E68" s="192"/>
      <c r="F68" s="192"/>
      <c r="G68" s="192"/>
      <c r="I68" s="418"/>
      <c r="J68" s="418"/>
    </row>
    <row r="69" spans="2:10">
      <c r="I69" s="418"/>
      <c r="J69" s="418"/>
    </row>
    <row r="70" spans="2:10" ht="15.75" thickBot="1">
      <c r="B70" s="295" t="s">
        <v>322</v>
      </c>
      <c r="C70" s="295" t="s">
        <v>298</v>
      </c>
      <c r="D70" s="295" t="s">
        <v>1244</v>
      </c>
      <c r="I70" s="418"/>
      <c r="J70" s="418"/>
    </row>
    <row r="71" spans="2:10" ht="15.75" thickTop="1">
      <c r="B71" s="296" t="s">
        <v>323</v>
      </c>
      <c r="C71" s="1167">
        <f>Input!C188</f>
        <v>31.243764769685725</v>
      </c>
      <c r="D71" s="1167">
        <v>30.8</v>
      </c>
      <c r="I71" s="418"/>
      <c r="J71" s="418"/>
    </row>
    <row r="72" spans="2:10">
      <c r="B72" s="296" t="s">
        <v>328</v>
      </c>
      <c r="C72" s="1168">
        <f>Input!C189</f>
        <v>0.438</v>
      </c>
      <c r="D72" s="1168">
        <v>0.371</v>
      </c>
      <c r="I72" s="418"/>
      <c r="J72" s="418"/>
    </row>
    <row r="73" spans="2:10">
      <c r="B73" s="296" t="s">
        <v>324</v>
      </c>
      <c r="C73" s="1168">
        <f>Input!C190</f>
        <v>0.10299999999999999</v>
      </c>
      <c r="D73" s="1168">
        <v>0.13200000000000001</v>
      </c>
    </row>
    <row r="74" spans="2:10">
      <c r="B74" s="297" t="s">
        <v>321</v>
      </c>
      <c r="C74" s="1168"/>
      <c r="D74" s="1168"/>
    </row>
    <row r="75" spans="2:10">
      <c r="B75" s="298" t="s">
        <v>234</v>
      </c>
      <c r="C75" s="1168">
        <f>Input!C192</f>
        <v>0.94828367124920465</v>
      </c>
      <c r="D75" s="1168">
        <v>0.94799999999999995</v>
      </c>
    </row>
    <row r="76" spans="2:10">
      <c r="B76" s="298" t="s">
        <v>222</v>
      </c>
      <c r="C76" s="1168">
        <f>Input!C193</f>
        <v>0.90922379885292581</v>
      </c>
      <c r="D76" s="1168">
        <v>0.90900000000000003</v>
      </c>
    </row>
    <row r="77" spans="2:10">
      <c r="B77" s="297" t="s">
        <v>329</v>
      </c>
      <c r="C77" s="1168"/>
      <c r="D77" s="1168"/>
    </row>
    <row r="78" spans="2:10">
      <c r="B78" s="298" t="s">
        <v>330</v>
      </c>
      <c r="C78" s="1168">
        <f>Input!C195</f>
        <v>0.2901564773874869</v>
      </c>
      <c r="D78" s="1168">
        <v>0.46</v>
      </c>
    </row>
    <row r="79" spans="2:10">
      <c r="B79" s="299" t="s">
        <v>331</v>
      </c>
      <c r="C79" s="1169">
        <f>Input!C196</f>
        <v>8373</v>
      </c>
      <c r="D79" s="1169">
        <v>2470</v>
      </c>
    </row>
    <row r="81" spans="2:16">
      <c r="B81" s="1166"/>
      <c r="C81" s="1842" t="s">
        <v>269</v>
      </c>
      <c r="D81" s="1842"/>
      <c r="E81" s="1842"/>
      <c r="F81" s="1842"/>
      <c r="I81" s="1166"/>
      <c r="J81" s="1666" t="s">
        <v>269</v>
      </c>
      <c r="K81" s="1666"/>
      <c r="L81" s="1666"/>
    </row>
    <row r="82" spans="2:16" ht="18.75" thickBot="1">
      <c r="B82" s="300" t="s">
        <v>263</v>
      </c>
      <c r="C82" s="301" t="s">
        <v>265</v>
      </c>
      <c r="D82" s="301" t="s">
        <v>266</v>
      </c>
      <c r="E82" s="301" t="s">
        <v>267</v>
      </c>
      <c r="F82" s="301" t="s">
        <v>264</v>
      </c>
      <c r="I82" s="300" t="s">
        <v>263</v>
      </c>
      <c r="J82" s="301" t="s">
        <v>265</v>
      </c>
      <c r="K82" s="301" t="s">
        <v>266</v>
      </c>
      <c r="L82" s="301" t="s">
        <v>267</v>
      </c>
    </row>
    <row r="83" spans="2:16" ht="15.75" thickTop="1">
      <c r="B83" s="1483" t="s">
        <v>1500</v>
      </c>
      <c r="C83" s="302"/>
      <c r="D83" s="302"/>
      <c r="E83" s="302"/>
      <c r="F83" s="302"/>
      <c r="I83" s="297" t="s">
        <v>234</v>
      </c>
      <c r="J83" s="302"/>
      <c r="K83" s="302"/>
      <c r="L83" s="302"/>
    </row>
    <row r="84" spans="2:16">
      <c r="B84" s="298" t="s">
        <v>318</v>
      </c>
      <c r="C84" s="303">
        <f>C93</f>
        <v>9250.2000000000007</v>
      </c>
      <c r="D84" s="303">
        <f t="shared" ref="D84:E84" si="18">D93</f>
        <v>155</v>
      </c>
      <c r="E84" s="303">
        <f t="shared" si="18"/>
        <v>0.1</v>
      </c>
      <c r="F84" s="192">
        <f t="shared" ref="F84:F90" si="19">C84+D84*CH4_GWP+E84*N2O_GWP</f>
        <v>13155</v>
      </c>
      <c r="I84" s="298" t="s">
        <v>318</v>
      </c>
      <c r="J84" s="1171">
        <v>12627</v>
      </c>
      <c r="K84" s="1172"/>
      <c r="L84" s="1172"/>
    </row>
    <row r="85" spans="2:16">
      <c r="B85" s="298" t="s">
        <v>259</v>
      </c>
      <c r="C85" s="303">
        <f t="shared" ref="C85:E85" si="20">C94</f>
        <v>0</v>
      </c>
      <c r="D85" s="303">
        <f t="shared" si="20"/>
        <v>0</v>
      </c>
      <c r="E85" s="303">
        <f t="shared" si="20"/>
        <v>0</v>
      </c>
      <c r="F85" s="192">
        <f t="shared" si="19"/>
        <v>0</v>
      </c>
      <c r="I85" s="298" t="s">
        <v>259</v>
      </c>
      <c r="J85" s="1171"/>
      <c r="K85" s="1172"/>
      <c r="L85" s="1173"/>
    </row>
    <row r="86" spans="2:16">
      <c r="B86" s="298" t="s">
        <v>319</v>
      </c>
      <c r="C86" s="303">
        <f>C95</f>
        <v>7386.3022257664425</v>
      </c>
      <c r="D86" s="303">
        <f t="shared" ref="D86:E86" si="21">D95</f>
        <v>20.455409613024798</v>
      </c>
      <c r="E86" s="303">
        <f t="shared" si="21"/>
        <v>0.1377479536665745</v>
      </c>
      <c r="F86" s="192">
        <f t="shared" si="19"/>
        <v>7938.7363562847013</v>
      </c>
      <c r="I86" s="298" t="s">
        <v>319</v>
      </c>
      <c r="J86" s="1171">
        <v>4049.2068880487527</v>
      </c>
      <c r="K86" s="1172">
        <v>10.490857046064631</v>
      </c>
      <c r="L86" s="1172">
        <v>7.2979005040374648E-2</v>
      </c>
    </row>
    <row r="87" spans="2:16">
      <c r="B87" s="298" t="s">
        <v>325</v>
      </c>
      <c r="C87" s="303">
        <f t="shared" ref="C87:E87" si="22">C96</f>
        <v>0</v>
      </c>
      <c r="D87" s="303">
        <f t="shared" si="22"/>
        <v>0</v>
      </c>
      <c r="E87" s="303">
        <f t="shared" si="22"/>
        <v>0</v>
      </c>
      <c r="F87" s="192">
        <f t="shared" si="19"/>
        <v>0</v>
      </c>
      <c r="I87" s="298" t="s">
        <v>325</v>
      </c>
      <c r="J87" s="1171"/>
      <c r="K87" s="1172"/>
      <c r="L87" s="1173"/>
    </row>
    <row r="88" spans="2:16">
      <c r="B88" s="298" t="s">
        <v>1545</v>
      </c>
      <c r="C88" s="1405">
        <f>'Oil WTT'!C20</f>
        <v>-42.212216423432267</v>
      </c>
      <c r="D88" s="1405">
        <f>'Oil WTT'!D20</f>
        <v>-0.10190208483960175</v>
      </c>
      <c r="E88" s="1405">
        <f>'Oil WTT'!E20</f>
        <v>-4.4984257590976692E-4</v>
      </c>
      <c r="F88" s="228">
        <f t="shared" si="19"/>
        <v>-44.893821632043419</v>
      </c>
    </row>
    <row r="89" spans="2:16">
      <c r="B89" s="298" t="s">
        <v>199</v>
      </c>
      <c r="C89" s="303">
        <f>C97</f>
        <v>376.33245740004946</v>
      </c>
      <c r="D89" s="303">
        <f t="shared" ref="D89:E90" si="23">D97</f>
        <v>0.65801921931266627</v>
      </c>
      <c r="E89" s="303">
        <f t="shared" si="23"/>
        <v>6.2889710524869739E-3</v>
      </c>
      <c r="F89" s="192">
        <f t="shared" si="19"/>
        <v>394.65705125650726</v>
      </c>
      <c r="I89" s="298" t="s">
        <v>199</v>
      </c>
      <c r="J89" s="1171">
        <v>418.6417385810069</v>
      </c>
      <c r="K89" s="1172">
        <v>0.69152175345783629</v>
      </c>
      <c r="L89" s="1172">
        <v>9.4362678497567284E-3</v>
      </c>
    </row>
    <row r="90" spans="2:16">
      <c r="B90" s="298" t="s">
        <v>320</v>
      </c>
      <c r="C90" s="303">
        <f>C98</f>
        <v>0</v>
      </c>
      <c r="D90" s="303">
        <f t="shared" si="23"/>
        <v>0</v>
      </c>
      <c r="E90" s="303">
        <f t="shared" si="23"/>
        <v>0</v>
      </c>
      <c r="F90" s="192">
        <f t="shared" si="19"/>
        <v>0</v>
      </c>
      <c r="I90" s="298" t="s">
        <v>320</v>
      </c>
      <c r="J90" s="1171"/>
      <c r="K90" s="1171"/>
      <c r="L90" s="1171"/>
    </row>
    <row r="91" spans="2:16">
      <c r="B91" s="305" t="s">
        <v>1521</v>
      </c>
      <c r="C91" s="306">
        <f>SUM(C84:C90)</f>
        <v>16970.622466743062</v>
      </c>
      <c r="D91" s="307">
        <f>SUM(D84:D90)</f>
        <v>176.0115267474979</v>
      </c>
      <c r="E91" s="1175">
        <f>SUM(E84:E90)</f>
        <v>0.2435870821431517</v>
      </c>
      <c r="F91" s="308">
        <f t="shared" ref="F91" si="24">C91+D91*CH4_GWP+E91*N2O_GWP</f>
        <v>21443.499585909169</v>
      </c>
      <c r="I91" s="305" t="s">
        <v>326</v>
      </c>
      <c r="J91" s="306">
        <f>SUM(J84:J90)</f>
        <v>17094.848626629759</v>
      </c>
      <c r="K91" s="306">
        <f>SUM(K84:K90)</f>
        <v>11.182378799522468</v>
      </c>
      <c r="L91" s="306">
        <f>SUM(L84:L90)</f>
        <v>8.2415272890131369E-2</v>
      </c>
    </row>
    <row r="92" spans="2:16">
      <c r="B92" s="297" t="s">
        <v>1243</v>
      </c>
      <c r="C92" s="304"/>
      <c r="D92" s="1174"/>
      <c r="E92" s="1176"/>
      <c r="F92" s="192"/>
      <c r="I92" s="297" t="s">
        <v>1501</v>
      </c>
      <c r="J92" s="304"/>
      <c r="K92" s="304"/>
      <c r="L92" s="304"/>
    </row>
    <row r="93" spans="2:16">
      <c r="B93" s="298" t="s">
        <v>318</v>
      </c>
      <c r="C93" s="303">
        <f>Input!C201</f>
        <v>9250.2000000000007</v>
      </c>
      <c r="D93" s="303">
        <f>Input!D201</f>
        <v>155</v>
      </c>
      <c r="E93" s="1405">
        <f>Input!E201</f>
        <v>0.1</v>
      </c>
      <c r="F93" s="192">
        <f t="shared" ref="F93:F99" si="25">C93+D93*CH4_GWP+E93*N2O_GWP</f>
        <v>13155</v>
      </c>
      <c r="I93" s="298" t="s">
        <v>318</v>
      </c>
      <c r="J93" s="1171">
        <v>13155</v>
      </c>
      <c r="K93" s="1172"/>
      <c r="L93" s="1172"/>
    </row>
    <row r="94" spans="2:16">
      <c r="B94" s="298" t="s">
        <v>259</v>
      </c>
      <c r="C94" s="303">
        <f>Input!C202</f>
        <v>0</v>
      </c>
      <c r="D94" s="303">
        <f>Input!D202</f>
        <v>0</v>
      </c>
      <c r="E94" s="1405">
        <f>Input!E202</f>
        <v>0</v>
      </c>
      <c r="F94" s="192">
        <f t="shared" si="25"/>
        <v>0</v>
      </c>
      <c r="I94" s="298" t="s">
        <v>259</v>
      </c>
      <c r="J94" s="1171"/>
      <c r="K94" s="1172"/>
      <c r="L94" s="1173"/>
    </row>
    <row r="95" spans="2:16">
      <c r="B95" s="298" t="s">
        <v>319</v>
      </c>
      <c r="C95" s="303">
        <f>IF(G95=0,Input!C203,G95*JperBtu)</f>
        <v>7386.3022257664425</v>
      </c>
      <c r="D95" s="303">
        <f>Input!D203</f>
        <v>20.455409613024798</v>
      </c>
      <c r="E95" s="1405">
        <f>Input!E203</f>
        <v>0.1377479536665745</v>
      </c>
      <c r="F95" s="192">
        <f t="shared" si="25"/>
        <v>7938.7363562847013</v>
      </c>
      <c r="G95" s="1225">
        <v>0</v>
      </c>
      <c r="H95" s="183" t="s">
        <v>1709</v>
      </c>
      <c r="I95" s="298" t="s">
        <v>319</v>
      </c>
      <c r="J95" s="1171">
        <v>7386.3022257664425</v>
      </c>
      <c r="K95" s="1172">
        <v>20.455409613024798</v>
      </c>
      <c r="L95" s="1172">
        <v>0.1377479536665745</v>
      </c>
      <c r="N95" s="256">
        <v>7914.9846227940498</v>
      </c>
      <c r="O95" s="256">
        <v>28.683908518333549</v>
      </c>
      <c r="P95" s="1304">
        <v>0.14467024922765309</v>
      </c>
    </row>
    <row r="96" spans="2:16">
      <c r="B96" s="298" t="s">
        <v>325</v>
      </c>
      <c r="C96" s="303">
        <f>Input!C204</f>
        <v>0</v>
      </c>
      <c r="D96" s="303">
        <f>Input!D204</f>
        <v>0</v>
      </c>
      <c r="E96" s="1405">
        <f>Input!E204</f>
        <v>0</v>
      </c>
      <c r="F96" s="192">
        <f t="shared" si="25"/>
        <v>0</v>
      </c>
      <c r="I96" s="298" t="s">
        <v>325</v>
      </c>
      <c r="J96" s="1171"/>
      <c r="K96" s="1172"/>
      <c r="L96" s="1173"/>
    </row>
    <row r="97" spans="2:12">
      <c r="B97" s="298" t="s">
        <v>199</v>
      </c>
      <c r="C97" s="303">
        <f>Input!C205</f>
        <v>376.33245740004946</v>
      </c>
      <c r="D97" s="303">
        <f>Input!D205</f>
        <v>0.65801921931266627</v>
      </c>
      <c r="E97" s="1405">
        <f>Input!E205</f>
        <v>6.2889710524869739E-3</v>
      </c>
      <c r="F97" s="192">
        <f t="shared" si="25"/>
        <v>394.65705125650726</v>
      </c>
      <c r="I97" s="298" t="s">
        <v>199</v>
      </c>
      <c r="J97" s="1171">
        <v>376.33245740004946</v>
      </c>
      <c r="K97" s="1172">
        <v>0.65801921931266627</v>
      </c>
      <c r="L97" s="1172">
        <v>6.2889710524869739E-3</v>
      </c>
    </row>
    <row r="98" spans="2:12">
      <c r="B98" s="298" t="s">
        <v>320</v>
      </c>
      <c r="C98" s="303">
        <f>Input!C206</f>
        <v>0</v>
      </c>
      <c r="D98" s="303">
        <f>Input!D206</f>
        <v>0</v>
      </c>
      <c r="E98" s="1405">
        <f>Input!E206</f>
        <v>0</v>
      </c>
      <c r="F98" s="192">
        <f t="shared" si="25"/>
        <v>0</v>
      </c>
      <c r="I98" s="298" t="s">
        <v>320</v>
      </c>
      <c r="J98" s="1171"/>
      <c r="K98" s="1171"/>
      <c r="L98" s="1171"/>
    </row>
    <row r="99" spans="2:12">
      <c r="B99" s="305" t="s">
        <v>327</v>
      </c>
      <c r="C99" s="306">
        <f>SUM(C93:C98)</f>
        <v>17012.834683166493</v>
      </c>
      <c r="D99" s="307">
        <f>SUM(D93:D98)</f>
        <v>176.11342883233749</v>
      </c>
      <c r="E99" s="1175">
        <f>SUM(E93:E98)</f>
        <v>0.24403692471906147</v>
      </c>
      <c r="F99" s="308">
        <f t="shared" si="25"/>
        <v>21488.393407541211</v>
      </c>
      <c r="I99" s="305" t="s">
        <v>327</v>
      </c>
      <c r="J99" s="306">
        <f>SUM(J93:J98)</f>
        <v>20917.634683166492</v>
      </c>
      <c r="K99" s="306">
        <f t="shared" ref="K99:L99" si="26">SUM(K93:K98)</f>
        <v>21.113428832337465</v>
      </c>
      <c r="L99" s="306">
        <f t="shared" si="26"/>
        <v>0.14403692471906146</v>
      </c>
    </row>
    <row r="100" spans="2:12">
      <c r="B100" s="297" t="s">
        <v>1242</v>
      </c>
      <c r="C100" s="297"/>
      <c r="D100" s="1170"/>
      <c r="E100" s="1170"/>
      <c r="F100" s="1170"/>
      <c r="G100" s="297"/>
      <c r="I100" s="297" t="s">
        <v>846</v>
      </c>
      <c r="J100" s="1170"/>
      <c r="K100" s="1170"/>
      <c r="L100" s="1170"/>
    </row>
    <row r="101" spans="2:12">
      <c r="B101" s="298" t="s">
        <v>318</v>
      </c>
      <c r="C101" s="303">
        <f>F101-D101*25-E101*298</f>
        <v>9003.1283970107979</v>
      </c>
      <c r="D101" s="1405">
        <v>100</v>
      </c>
      <c r="E101" s="1405">
        <f>E93</f>
        <v>0.1</v>
      </c>
      <c r="F101" s="192">
        <v>11532.928397010797</v>
      </c>
      <c r="I101" s="298" t="s">
        <v>318</v>
      </c>
      <c r="J101" s="1171">
        <v>11532.928397010797</v>
      </c>
      <c r="K101" s="1172"/>
      <c r="L101" s="1172"/>
    </row>
    <row r="102" spans="2:12">
      <c r="B102" s="298" t="s">
        <v>259</v>
      </c>
      <c r="C102" s="303">
        <f t="shared" ref="C102:C105" si="27">F102-D102*25-E102*298</f>
        <v>0</v>
      </c>
      <c r="D102" s="1405">
        <f>Input!D210</f>
        <v>0</v>
      </c>
      <c r="E102" s="1405">
        <f>Input!E210</f>
        <v>0</v>
      </c>
      <c r="F102" s="192"/>
      <c r="I102" s="298" t="s">
        <v>259</v>
      </c>
      <c r="J102" s="1171"/>
      <c r="K102" s="1172"/>
      <c r="L102" s="1173"/>
    </row>
    <row r="103" spans="2:12" ht="17.25" customHeight="1">
      <c r="B103" s="298" t="s">
        <v>319</v>
      </c>
      <c r="C103" s="303">
        <f t="shared" si="27"/>
        <v>12732.458545744157</v>
      </c>
      <c r="D103" s="1405">
        <v>20</v>
      </c>
      <c r="E103" s="1405">
        <f>Input!E211</f>
        <v>0</v>
      </c>
      <c r="F103" s="192">
        <v>13232.458545744157</v>
      </c>
      <c r="I103" s="298" t="s">
        <v>319</v>
      </c>
      <c r="J103" s="1171">
        <v>13232.458545744157</v>
      </c>
      <c r="K103" s="1172"/>
      <c r="L103" s="1172"/>
    </row>
    <row r="104" spans="2:12">
      <c r="B104" s="298" t="s">
        <v>325</v>
      </c>
      <c r="C104" s="303">
        <f t="shared" si="27"/>
        <v>0</v>
      </c>
      <c r="D104" s="1405">
        <f>Input!D212</f>
        <v>0</v>
      </c>
      <c r="E104" s="1405">
        <f>Input!E212</f>
        <v>0</v>
      </c>
      <c r="F104" s="192"/>
      <c r="I104" s="298" t="s">
        <v>325</v>
      </c>
      <c r="J104" s="1171"/>
      <c r="K104" s="1172"/>
      <c r="L104" s="1173"/>
    </row>
    <row r="105" spans="2:12">
      <c r="B105" s="298" t="s">
        <v>199</v>
      </c>
      <c r="C105" s="303">
        <f t="shared" si="27"/>
        <v>474.79763917452306</v>
      </c>
      <c r="D105" s="1405">
        <f>D97</f>
        <v>0.65801921931266627</v>
      </c>
      <c r="E105" s="1405">
        <f>Input!E213</f>
        <v>0</v>
      </c>
      <c r="F105" s="192">
        <v>491.24811965733971</v>
      </c>
      <c r="I105" s="298" t="s">
        <v>199</v>
      </c>
      <c r="J105" s="1171">
        <v>491.24811965733971</v>
      </c>
      <c r="K105" s="1172"/>
      <c r="L105" s="1172"/>
    </row>
    <row r="106" spans="2:12">
      <c r="B106" s="298" t="s">
        <v>320</v>
      </c>
      <c r="C106" s="303">
        <f>Input!C214</f>
        <v>0</v>
      </c>
      <c r="D106" s="1405">
        <f>Input!D214</f>
        <v>0</v>
      </c>
      <c r="E106" s="1405">
        <f>Input!E214</f>
        <v>0</v>
      </c>
      <c r="F106" s="192"/>
      <c r="I106" s="298" t="s">
        <v>320</v>
      </c>
      <c r="J106" s="1171"/>
      <c r="K106" s="1171"/>
      <c r="L106" s="1171"/>
    </row>
    <row r="107" spans="2:12">
      <c r="B107" s="298" t="s">
        <v>1245</v>
      </c>
      <c r="C107" s="303">
        <f>Input!C215</f>
        <v>-1006.1280218618485</v>
      </c>
      <c r="D107" s="1405">
        <f>Input!D215</f>
        <v>0</v>
      </c>
      <c r="E107" s="1405">
        <f>Input!E215</f>
        <v>0</v>
      </c>
      <c r="F107" s="192">
        <v>-1006.1280218618485</v>
      </c>
      <c r="I107" s="298" t="s">
        <v>1247</v>
      </c>
      <c r="J107" s="1171">
        <v>-1006.1280218618485</v>
      </c>
      <c r="K107" s="1171"/>
      <c r="L107" s="1171"/>
    </row>
    <row r="108" spans="2:12">
      <c r="B108" s="305" t="s">
        <v>1328</v>
      </c>
      <c r="C108" s="306">
        <f>SUM(C101:C107)</f>
        <v>21204.256560067628</v>
      </c>
      <c r="D108" s="1406">
        <f t="shared" ref="D108:E108" si="28">SUM(D101:D107)</f>
        <v>120.65801921931266</v>
      </c>
      <c r="E108" s="1406">
        <f t="shared" si="28"/>
        <v>0.1</v>
      </c>
      <c r="F108" s="308">
        <f>SUM(F101:F107)</f>
        <v>24250.507040550445</v>
      </c>
      <c r="I108" s="305" t="s">
        <v>1328</v>
      </c>
      <c r="J108" s="306">
        <f>SUM(J101:J107)</f>
        <v>24250.507040550445</v>
      </c>
      <c r="K108" s="306">
        <f t="shared" ref="K108:L108" si="29">SUM(K101:K107)</f>
        <v>0</v>
      </c>
      <c r="L108" s="306">
        <f t="shared" si="29"/>
        <v>0</v>
      </c>
    </row>
    <row r="112" spans="2:12">
      <c r="B112" s="208" t="s">
        <v>524</v>
      </c>
    </row>
    <row r="113" spans="2:7" s="409" customFormat="1">
      <c r="B113" s="236" t="s">
        <v>525</v>
      </c>
      <c r="C113" s="319" t="s">
        <v>526</v>
      </c>
      <c r="D113" s="1845" t="s">
        <v>527</v>
      </c>
      <c r="E113" s="1845"/>
      <c r="F113" s="1845"/>
      <c r="G113" s="1845"/>
    </row>
    <row r="114" spans="2:7" s="409" customFormat="1" ht="32.25" thickBot="1">
      <c r="B114" s="182" t="s">
        <v>263</v>
      </c>
      <c r="C114" s="188" t="s">
        <v>545</v>
      </c>
      <c r="D114" s="216" t="s">
        <v>265</v>
      </c>
      <c r="E114" s="216" t="s">
        <v>266</v>
      </c>
      <c r="F114" s="216" t="s">
        <v>267</v>
      </c>
      <c r="G114" s="216" t="s">
        <v>264</v>
      </c>
    </row>
    <row r="115" spans="2:7" ht="15.75" thickTop="1">
      <c r="B115" s="242" t="s">
        <v>543</v>
      </c>
      <c r="C115" s="1202">
        <f>'PSE LNG Operations'!D24/('Direct End use'!E41*1000)</f>
        <v>3.7556856696277813E-2</v>
      </c>
      <c r="D115" s="412">
        <f>$C$115*C99/1000</f>
        <v>0.63894859419314887</v>
      </c>
      <c r="E115" s="412">
        <f>$C$115*D99/1000</f>
        <v>6.6142668089462196E-3</v>
      </c>
      <c r="F115" s="412">
        <f>$C$115*E99/1000</f>
        <v>9.1652598102741277E-6</v>
      </c>
      <c r="G115" s="290">
        <f>D115+E115*CH4_GWP+F115*N2O_GWP</f>
        <v>0.80703651184026604</v>
      </c>
    </row>
    <row r="116" spans="2:7" s="409" customFormat="1">
      <c r="B116" s="241" t="s">
        <v>200</v>
      </c>
      <c r="C116" s="209"/>
      <c r="D116" s="232">
        <f>SUM(D115:D115)</f>
        <v>0.63894859419314887</v>
      </c>
      <c r="E116" s="232">
        <f>SUM(E115:E115)</f>
        <v>6.6142668089462196E-3</v>
      </c>
      <c r="F116" s="232">
        <f>SUM(F115:F115)</f>
        <v>9.1652598102741277E-6</v>
      </c>
      <c r="G116" s="233">
        <f>SUM(G115:G115)</f>
        <v>0.80703651184026604</v>
      </c>
    </row>
    <row r="121" spans="2:7">
      <c r="B121" s="208" t="s">
        <v>524</v>
      </c>
    </row>
    <row r="122" spans="2:7">
      <c r="B122" s="208" t="s">
        <v>1265</v>
      </c>
    </row>
    <row r="123" spans="2:7">
      <c r="B123" s="236" t="s">
        <v>1287</v>
      </c>
      <c r="C123" s="319" t="s">
        <v>526</v>
      </c>
      <c r="D123" s="1845" t="s">
        <v>544</v>
      </c>
      <c r="E123" s="1845"/>
      <c r="F123" s="1845"/>
      <c r="G123" s="1845"/>
    </row>
    <row r="124" spans="2:7" ht="18.75" thickBot="1">
      <c r="B124" s="182" t="s">
        <v>263</v>
      </c>
      <c r="C124" s="188" t="s">
        <v>429</v>
      </c>
      <c r="D124" s="187" t="s">
        <v>265</v>
      </c>
      <c r="E124" s="187" t="s">
        <v>266</v>
      </c>
      <c r="F124" s="187" t="s">
        <v>267</v>
      </c>
      <c r="G124" s="187" t="s">
        <v>264</v>
      </c>
    </row>
    <row r="125" spans="2:7" ht="15.75" thickTop="1">
      <c r="B125" s="282" t="s">
        <v>1101</v>
      </c>
      <c r="C125" s="1240">
        <f>'End use Gig Harbor'!C16</f>
        <v>53.524414999999998</v>
      </c>
      <c r="D125" s="1237">
        <f>$C125*C$99/1000000</f>
        <v>0.91060202390819678</v>
      </c>
      <c r="E125" s="1237">
        <f>$C125*D$99/1000000</f>
        <v>9.4263682518949971E-3</v>
      </c>
      <c r="F125" s="1237">
        <f>$C125*E$99/1000000</f>
        <v>1.3061933633986805E-5</v>
      </c>
      <c r="G125" s="1237">
        <f t="shared" ref="G125" si="30">D125+E125*CH4_GWP+F125*N2O_GWP</f>
        <v>1.1501536864284998</v>
      </c>
    </row>
    <row r="126" spans="2:7">
      <c r="C126" s="261"/>
      <c r="D126" s="265"/>
      <c r="E126" s="265"/>
      <c r="F126" s="265"/>
      <c r="G126" s="265"/>
    </row>
    <row r="127" spans="2:7">
      <c r="C127" s="261"/>
      <c r="D127" s="265"/>
      <c r="E127" s="265"/>
      <c r="F127" s="265"/>
      <c r="G127" s="265"/>
    </row>
    <row r="128" spans="2:7" ht="15.75">
      <c r="B128" s="1254" t="s">
        <v>1400</v>
      </c>
    </row>
    <row r="129" spans="1:10" ht="18.75" thickBot="1">
      <c r="B129" s="295" t="s">
        <v>305</v>
      </c>
      <c r="C129" s="295" t="s">
        <v>1129</v>
      </c>
      <c r="D129" s="295" t="s">
        <v>1130</v>
      </c>
      <c r="E129" s="295" t="s">
        <v>1131</v>
      </c>
      <c r="F129" s="295" t="s">
        <v>1132</v>
      </c>
      <c r="G129" s="295" t="s">
        <v>1401</v>
      </c>
      <c r="H129" s="295"/>
    </row>
    <row r="130" spans="1:10" ht="15.75" thickTop="1">
      <c r="B130" s="297" t="s">
        <v>527</v>
      </c>
      <c r="C130" s="1051"/>
      <c r="D130" s="1051"/>
      <c r="E130" s="1051"/>
      <c r="F130" s="1051"/>
    </row>
    <row r="131" spans="1:10">
      <c r="B131" s="298" t="s">
        <v>304</v>
      </c>
      <c r="C131" s="1054">
        <f>D21</f>
        <v>592.70291831898578</v>
      </c>
      <c r="D131" s="1054">
        <f>E21</f>
        <v>13.112989262327098</v>
      </c>
      <c r="E131" s="1800">
        <f>F21</f>
        <v>1.3671600114586568E-2</v>
      </c>
      <c r="F131" s="1057">
        <f>C131+D131*CH4_GWP+E131*N2O_GWP</f>
        <v>924.60178671130996</v>
      </c>
      <c r="G131" s="1305">
        <f>G16</f>
        <v>85587.12226724824</v>
      </c>
      <c r="H131" s="183" t="s">
        <v>23</v>
      </c>
    </row>
    <row r="132" spans="1:10">
      <c r="B132" s="298" t="s">
        <v>461</v>
      </c>
      <c r="C132" s="1055">
        <f>D47</f>
        <v>275.26159999999999</v>
      </c>
      <c r="D132" s="1055">
        <f>E47</f>
        <v>0.52572000000000008</v>
      </c>
      <c r="E132" s="1801">
        <f>F47</f>
        <v>5.3920000000000001E-3</v>
      </c>
      <c r="F132" s="1057">
        <f>C132+D132*CH4_GWP+E132*N2O_GWP</f>
        <v>290.011416</v>
      </c>
      <c r="G132" s="1474">
        <f>C46/1000</f>
        <v>1.3480000000000001</v>
      </c>
      <c r="H132" s="183" t="s">
        <v>377</v>
      </c>
    </row>
    <row r="133" spans="1:10">
      <c r="B133" s="298" t="s">
        <v>1134</v>
      </c>
      <c r="C133" s="1056">
        <f>D115</f>
        <v>0.63894859419314887</v>
      </c>
      <c r="D133" s="1056">
        <f>E115</f>
        <v>6.6142668089462196E-3</v>
      </c>
      <c r="E133" s="1800">
        <f>F115</f>
        <v>9.1652598102741277E-6</v>
      </c>
      <c r="F133" s="1057">
        <f>C133+D133*CH4_GWP+E133*N2O_GWP</f>
        <v>0.80703651184026604</v>
      </c>
      <c r="G133" s="256">
        <f>C115*1000</f>
        <v>37.556856696277812</v>
      </c>
      <c r="H133" s="183" t="s">
        <v>23</v>
      </c>
    </row>
    <row r="134" spans="1:10">
      <c r="B134" s="1050" t="s">
        <v>1329</v>
      </c>
      <c r="C134" s="1058">
        <f>SUM(C130:C133)</f>
        <v>868.60346691317886</v>
      </c>
      <c r="D134" s="1058">
        <f t="shared" ref="D134:F134" si="31">SUM(D130:D133)</f>
        <v>13.645323529136043</v>
      </c>
      <c r="E134" s="1802">
        <f t="shared" si="31"/>
        <v>1.9072765374396842E-2</v>
      </c>
      <c r="F134" s="1058">
        <f t="shared" si="31"/>
        <v>1215.4202392231502</v>
      </c>
      <c r="G134" s="256"/>
    </row>
    <row r="135" spans="1:10">
      <c r="B135" s="299" t="s">
        <v>1135</v>
      </c>
      <c r="C135" s="1059">
        <f>D52</f>
        <v>9.1890000000000001</v>
      </c>
      <c r="D135" s="1803">
        <f>E52</f>
        <v>1.755E-2</v>
      </c>
      <c r="E135" s="1803">
        <f>F52</f>
        <v>1.7999999999999998E-4</v>
      </c>
      <c r="F135" s="1231">
        <f t="shared" ref="F135" si="32">C135+D135*CH4_GWP+E135*N2O_GWP</f>
        <v>9.6813900000000004</v>
      </c>
      <c r="G135" s="209">
        <f>C51/1000</f>
        <v>4.4999999999999998E-2</v>
      </c>
      <c r="H135" s="209" t="s">
        <v>377</v>
      </c>
    </row>
    <row r="138" spans="1:10">
      <c r="B138" s="208" t="s">
        <v>515</v>
      </c>
    </row>
    <row r="139" spans="1:10">
      <c r="B139" s="236" t="s">
        <v>1289</v>
      </c>
      <c r="C139" s="319" t="s">
        <v>526</v>
      </c>
      <c r="D139" s="1291"/>
      <c r="E139" s="1845" t="s">
        <v>1394</v>
      </c>
      <c r="F139" s="1845"/>
      <c r="G139" s="1845"/>
      <c r="H139" s="1845"/>
    </row>
    <row r="140" spans="1:10" ht="18.75" thickBot="1">
      <c r="B140" s="182" t="s">
        <v>263</v>
      </c>
      <c r="C140" s="188" t="s">
        <v>546</v>
      </c>
      <c r="D140" s="188" t="s">
        <v>2</v>
      </c>
      <c r="E140" s="187" t="s">
        <v>265</v>
      </c>
      <c r="F140" s="187" t="s">
        <v>266</v>
      </c>
      <c r="G140" s="187" t="s">
        <v>267</v>
      </c>
      <c r="H140" s="187" t="s">
        <v>264</v>
      </c>
    </row>
    <row r="141" spans="1:10" ht="15.75" thickTop="1">
      <c r="A141" s="183" t="s">
        <v>1395</v>
      </c>
      <c r="B141" s="183" t="s">
        <v>1718</v>
      </c>
      <c r="C141" s="261">
        <f>'Direct End use'!F22</f>
        <v>150.9606669505759</v>
      </c>
      <c r="D141" s="261" t="s">
        <v>193</v>
      </c>
      <c r="E141" s="192">
        <f>$C141*D$11/1000</f>
        <v>1045.4239549449869</v>
      </c>
      <c r="F141" s="192">
        <f t="shared" ref="F141" si="33">$C141*E$11/1000</f>
        <v>23.129012313037599</v>
      </c>
      <c r="G141" s="228">
        <f>$C141*F$11/1000</f>
        <v>2.4114303845093107E-2</v>
      </c>
      <c r="H141" s="192">
        <f t="shared" ref="H141:H147" si="34">E141+F141*CH4_GWP+G141*N2O_GWP</f>
        <v>1630.8353253167645</v>
      </c>
    </row>
    <row r="142" spans="1:10">
      <c r="A142" s="183" t="s">
        <v>131</v>
      </c>
      <c r="B142" s="1144" t="s">
        <v>1396</v>
      </c>
      <c r="C142" s="261">
        <f>'Direct End use'!F25</f>
        <v>136.95114651774358</v>
      </c>
      <c r="D142" s="261" t="s">
        <v>193</v>
      </c>
      <c r="E142" s="1558">
        <f>(Input!D156+'PSE LNG Operations'!L78)*$C142/1000</f>
        <v>1758.6761873964488</v>
      </c>
      <c r="F142" s="1559">
        <f>(Input!E156+'PSE LNG Operations'!M78)*$C142/1000</f>
        <v>20.760261981262605</v>
      </c>
      <c r="G142" s="1559">
        <f>(Input!F156+'PSE LNG Operations'!N78)*$C142/1000</f>
        <v>3.4372196556647409E-2</v>
      </c>
      <c r="H142" s="1558">
        <f>E142+F142*CH4_GWP+G142*N2O_GWP</f>
        <v>2287.9256515018951</v>
      </c>
      <c r="I142" s="1218" t="s">
        <v>1592</v>
      </c>
      <c r="J142" s="1218"/>
    </row>
    <row r="143" spans="1:10">
      <c r="A143" s="183" t="s">
        <v>1395</v>
      </c>
      <c r="B143" s="1144" t="s">
        <v>1314</v>
      </c>
      <c r="C143" s="1232">
        <f>'End use Gig Harbor'!C17/1000</f>
        <v>0.55098662499999995</v>
      </c>
      <c r="D143" s="1232" t="s">
        <v>222</v>
      </c>
      <c r="E143" s="228">
        <f t="shared" ref="E143:G144" si="35">$C143*C$99/1000</f>
        <v>9.3738443637608491</v>
      </c>
      <c r="F143" s="195">
        <f t="shared" si="35"/>
        <v>9.7036143769507324E-2</v>
      </c>
      <c r="G143" s="195">
        <f t="shared" si="35"/>
        <v>1.3446108152633473E-4</v>
      </c>
      <c r="H143" s="228">
        <f t="shared" si="34"/>
        <v>11.839817360293379</v>
      </c>
    </row>
    <row r="144" spans="1:10">
      <c r="A144" s="183" t="s">
        <v>1395</v>
      </c>
      <c r="B144" s="1144" t="s">
        <v>1315</v>
      </c>
      <c r="C144" s="258">
        <f>'Direct End use'!F28</f>
        <v>246.51206373193844</v>
      </c>
      <c r="D144" s="258" t="s">
        <v>222</v>
      </c>
      <c r="E144" s="192">
        <f t="shared" si="35"/>
        <v>4193.8689876776716</v>
      </c>
      <c r="F144" s="228">
        <f t="shared" si="35"/>
        <v>43.414084792367383</v>
      </c>
      <c r="G144" s="195">
        <f t="shared" si="35"/>
        <v>6.0158045939291541E-2</v>
      </c>
      <c r="H144" s="192">
        <f t="shared" si="34"/>
        <v>5297.1482051767653</v>
      </c>
    </row>
    <row r="145" spans="1:8">
      <c r="A145" s="183" t="s">
        <v>488</v>
      </c>
      <c r="B145" s="1144" t="s">
        <v>1312</v>
      </c>
      <c r="C145" s="258">
        <f>'Direct End use'!F32</f>
        <v>3014.4260578727417</v>
      </c>
      <c r="D145" s="258" t="s">
        <v>1552</v>
      </c>
      <c r="E145" s="192">
        <f>$C145*C$91/1000</f>
        <v>51156.68658207087</v>
      </c>
      <c r="F145" s="192">
        <f t="shared" ref="F145:G147" si="36">$C145*D$91/1000</f>
        <v>530.57373271362269</v>
      </c>
      <c r="G145" s="195">
        <f t="shared" si="36"/>
        <v>0.7342752477735045</v>
      </c>
      <c r="H145" s="192">
        <f t="shared" si="34"/>
        <v>64639.84392374794</v>
      </c>
    </row>
    <row r="146" spans="1:8">
      <c r="A146" s="183" t="s">
        <v>488</v>
      </c>
      <c r="B146" s="1144" t="s">
        <v>358</v>
      </c>
      <c r="C146" s="258">
        <f>'Direct End use'!F36</f>
        <v>141.05968091327588</v>
      </c>
      <c r="D146" s="258" t="s">
        <v>1552</v>
      </c>
      <c r="E146" s="192">
        <f>$C146*C$91/1000</f>
        <v>2393.8705900584473</v>
      </c>
      <c r="F146" s="228">
        <f t="shared" si="36"/>
        <v>24.82812980006058</v>
      </c>
      <c r="G146" s="195">
        <f t="shared" si="36"/>
        <v>3.4360316081708905E-2</v>
      </c>
      <c r="H146" s="192">
        <f t="shared" si="34"/>
        <v>3024.813209252311</v>
      </c>
    </row>
    <row r="147" spans="1:8">
      <c r="A147" s="183" t="s">
        <v>1395</v>
      </c>
      <c r="B147" s="183" t="s">
        <v>1316</v>
      </c>
      <c r="C147" s="261">
        <f>'Direct End use'!F40</f>
        <v>10344.68229774346</v>
      </c>
      <c r="D147" s="261" t="s">
        <v>1552</v>
      </c>
      <c r="E147" s="192">
        <f>$C147*C$91/1000</f>
        <v>175555.6978134044</v>
      </c>
      <c r="F147" s="192">
        <f t="shared" si="36"/>
        <v>1820.783324943641</v>
      </c>
      <c r="G147" s="195">
        <f t="shared" si="36"/>
        <v>2.5198309766052436</v>
      </c>
      <c r="H147" s="192">
        <f t="shared" si="34"/>
        <v>221826.1905680238</v>
      </c>
    </row>
    <row r="148" spans="1:8">
      <c r="B148" s="212" t="s">
        <v>200</v>
      </c>
      <c r="C148" s="263"/>
      <c r="D148" s="263"/>
      <c r="E148" s="1292">
        <f>SUM(E141:E147)</f>
        <v>236113.59795991657</v>
      </c>
      <c r="F148" s="1292">
        <f t="shared" ref="F148:H148" si="37">SUM(F141:F147)</f>
        <v>2463.5855826877614</v>
      </c>
      <c r="G148" s="1293">
        <f t="shared" si="37"/>
        <v>3.4072455478830155</v>
      </c>
      <c r="H148" s="1292">
        <f t="shared" si="37"/>
        <v>298718.59670037974</v>
      </c>
    </row>
    <row r="149" spans="1:8">
      <c r="H149" s="261">
        <f>Results!E36</f>
        <v>298718.59670037974</v>
      </c>
    </row>
    <row r="160" spans="1:8">
      <c r="E160" s="183" t="s">
        <v>1024</v>
      </c>
    </row>
  </sheetData>
  <mergeCells count="20">
    <mergeCell ref="D3:G3"/>
    <mergeCell ref="D19:G19"/>
    <mergeCell ref="F14:G14"/>
    <mergeCell ref="AT5:AT6"/>
    <mergeCell ref="E139:H139"/>
    <mergeCell ref="C81:F81"/>
    <mergeCell ref="D113:G113"/>
    <mergeCell ref="E25:H25"/>
    <mergeCell ref="D50:G50"/>
    <mergeCell ref="D45:G45"/>
    <mergeCell ref="D40:G40"/>
    <mergeCell ref="D123:G123"/>
    <mergeCell ref="D62:G62"/>
    <mergeCell ref="D55:G55"/>
    <mergeCell ref="AS5:AS6"/>
    <mergeCell ref="AV5:AW5"/>
    <mergeCell ref="M5:P5"/>
    <mergeCell ref="M36:T36"/>
    <mergeCell ref="AA6:AB6"/>
    <mergeCell ref="U6:Z6"/>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C2:T67"/>
  <sheetViews>
    <sheetView showGridLines="0" topLeftCell="E1" workbookViewId="0">
      <selection activeCell="K28" sqref="K28"/>
    </sheetView>
  </sheetViews>
  <sheetFormatPr defaultRowHeight="15"/>
  <cols>
    <col min="6" max="6" width="41.140625" customWidth="1"/>
    <col min="7" max="7" width="13.85546875" customWidth="1"/>
    <col min="8" max="8" width="10.28515625" customWidth="1"/>
    <col min="9" max="9" width="13.140625" customWidth="1"/>
    <col min="10" max="10" width="12.28515625" customWidth="1"/>
    <col min="11" max="11" width="10.140625" customWidth="1"/>
    <col min="12" max="12" width="13" customWidth="1"/>
  </cols>
  <sheetData>
    <row r="2" spans="3:14">
      <c r="G2" t="s">
        <v>1668</v>
      </c>
    </row>
    <row r="3" spans="3:14">
      <c r="C3" s="1667" t="s">
        <v>1635</v>
      </c>
      <c r="D3" s="1668"/>
      <c r="E3" s="1668"/>
      <c r="F3" s="137"/>
      <c r="G3" s="137"/>
      <c r="H3" s="137"/>
      <c r="I3" s="137"/>
      <c r="J3" s="137"/>
      <c r="K3" s="137"/>
      <c r="L3" s="137"/>
      <c r="M3" s="137"/>
    </row>
    <row r="4" spans="3:14">
      <c r="C4" s="1667"/>
      <c r="D4" s="1668"/>
      <c r="E4" s="1668"/>
      <c r="F4" s="1669">
        <v>1</v>
      </c>
      <c r="G4" t="s">
        <v>1636</v>
      </c>
      <c r="H4" s="137"/>
      <c r="I4" s="137"/>
      <c r="J4" s="137"/>
      <c r="K4" s="137"/>
      <c r="L4" s="137"/>
      <c r="M4" s="137"/>
    </row>
    <row r="5" spans="3:14" ht="15" customHeight="1">
      <c r="C5" s="1667"/>
      <c r="D5" s="1668"/>
      <c r="E5" s="1668"/>
      <c r="F5" s="137"/>
      <c r="G5" s="137"/>
      <c r="H5" s="1884" t="s">
        <v>1638</v>
      </c>
      <c r="I5" s="1885"/>
      <c r="J5" s="1886" t="s">
        <v>1639</v>
      </c>
      <c r="K5" s="1887"/>
      <c r="L5" s="1875" t="s">
        <v>1640</v>
      </c>
      <c r="M5" s="1876"/>
      <c r="N5" t="s">
        <v>1661</v>
      </c>
    </row>
    <row r="6" spans="3:14" ht="30">
      <c r="C6" s="1668"/>
      <c r="D6" s="1668"/>
      <c r="E6" s="1668"/>
      <c r="F6" s="1670"/>
      <c r="G6" s="1671" t="s">
        <v>1492</v>
      </c>
      <c r="H6" s="1719" t="s">
        <v>1641</v>
      </c>
      <c r="I6" s="1719" t="s">
        <v>1642</v>
      </c>
      <c r="J6" s="1719" t="s">
        <v>1641</v>
      </c>
      <c r="K6" s="1719" t="s">
        <v>1642</v>
      </c>
      <c r="L6" s="1719" t="s">
        <v>1641</v>
      </c>
      <c r="M6" s="1720" t="s">
        <v>1642</v>
      </c>
    </row>
    <row r="7" spans="3:14">
      <c r="C7" s="1668"/>
      <c r="D7" s="1668"/>
      <c r="E7" s="1668"/>
      <c r="F7" s="1721" t="s">
        <v>1643</v>
      </c>
      <c r="G7" s="1674" t="s">
        <v>1644</v>
      </c>
      <c r="H7" s="1675">
        <v>137.09577479340888</v>
      </c>
      <c r="I7" s="1676">
        <v>140.56718882259648</v>
      </c>
      <c r="J7" s="1677">
        <v>214.29417013891077</v>
      </c>
      <c r="K7" s="1678">
        <v>214.29417013891077</v>
      </c>
      <c r="L7" s="1729">
        <v>6.6376376151373786E-3</v>
      </c>
      <c r="M7" s="1729">
        <v>6.8057098140988231E-3</v>
      </c>
      <c r="N7" s="851">
        <f>H7/'GREET LNG'!$C$32</f>
        <v>6.3194301619762562E-3</v>
      </c>
    </row>
    <row r="8" spans="3:14">
      <c r="C8" s="1668"/>
      <c r="D8" s="1668"/>
      <c r="E8" s="1668"/>
      <c r="F8" s="1679" t="s">
        <v>1645</v>
      </c>
      <c r="G8" s="1680" t="s">
        <v>1644</v>
      </c>
      <c r="H8" s="1681">
        <v>0.53385839719294859</v>
      </c>
      <c r="I8" s="1682">
        <v>3.336838254807581</v>
      </c>
      <c r="J8" s="1684" t="s">
        <v>1646</v>
      </c>
      <c r="K8" s="1685" t="s">
        <v>1646</v>
      </c>
      <c r="L8" s="1730">
        <v>2.5847321580148576E-5</v>
      </c>
      <c r="M8" s="1730">
        <v>1.6155656984408393E-4</v>
      </c>
      <c r="N8" s="851">
        <f>H8/'GREET LNG'!$C$32</f>
        <v>2.4608204465303591E-5</v>
      </c>
    </row>
    <row r="9" spans="3:14">
      <c r="C9" s="1668"/>
      <c r="D9" s="1668"/>
      <c r="E9" s="1668"/>
      <c r="F9" s="1679" t="s">
        <v>1647</v>
      </c>
      <c r="G9" s="1680" t="s">
        <v>1644</v>
      </c>
      <c r="H9" s="1681">
        <v>7.5191323548302645E-3</v>
      </c>
      <c r="I9" s="1682">
        <v>0.67595330392779773</v>
      </c>
      <c r="J9" s="1684" t="s">
        <v>1646</v>
      </c>
      <c r="K9" s="1685" t="s">
        <v>1646</v>
      </c>
      <c r="L9" s="1730">
        <v>3.6404678281899415E-7</v>
      </c>
      <c r="M9" s="1730">
        <v>3.2726997480328232E-5</v>
      </c>
      <c r="N9" s="851">
        <f>H9/'GREET LNG'!$C$32</f>
        <v>3.4659442908878309E-7</v>
      </c>
    </row>
    <row r="10" spans="3:14">
      <c r="C10" s="1668"/>
      <c r="D10" s="1668"/>
      <c r="E10" s="1668"/>
      <c r="F10" s="1679" t="s">
        <v>1648</v>
      </c>
      <c r="G10" s="1680" t="s">
        <v>1644</v>
      </c>
      <c r="H10" s="1681">
        <v>4.3786978145792528</v>
      </c>
      <c r="I10" s="1682">
        <v>4.3786978145792528</v>
      </c>
      <c r="J10" s="1684" t="s">
        <v>1646</v>
      </c>
      <c r="K10" s="1685" t="s">
        <v>1646</v>
      </c>
      <c r="L10" s="1730">
        <v>2.1199930751453322E-4</v>
      </c>
      <c r="M10" s="1730">
        <v>2.1199930751453322E-4</v>
      </c>
      <c r="N10" s="851">
        <f>H10/'GREET LNG'!$C$32</f>
        <v>2.0183608926919295E-4</v>
      </c>
    </row>
    <row r="11" spans="3:14">
      <c r="C11" s="1668"/>
      <c r="D11" s="1668"/>
      <c r="E11" s="1668"/>
      <c r="F11" s="1686" t="s">
        <v>1649</v>
      </c>
      <c r="G11" s="1687" t="s">
        <v>1644</v>
      </c>
      <c r="H11" s="1688">
        <v>132.17569944928184</v>
      </c>
      <c r="I11" s="1689">
        <v>132.17569944928184</v>
      </c>
      <c r="J11" s="1684" t="s">
        <v>1646</v>
      </c>
      <c r="K11" s="1685" t="s">
        <v>1646</v>
      </c>
      <c r="L11" s="1730">
        <v>6.3994269392598771E-3</v>
      </c>
      <c r="M11" s="1730">
        <v>6.3994269392598771E-3</v>
      </c>
      <c r="N11" s="851">
        <f>H11/'GREET LNG'!$C$32</f>
        <v>6.0926392738126708E-3</v>
      </c>
    </row>
    <row r="12" spans="3:14">
      <c r="C12" s="1668"/>
      <c r="D12" s="1668"/>
      <c r="E12" s="1668"/>
      <c r="F12" s="1690" t="s">
        <v>1650</v>
      </c>
      <c r="G12" s="1680" t="s">
        <v>1644</v>
      </c>
      <c r="H12" s="1675">
        <v>5.9399143060668651</v>
      </c>
      <c r="I12" s="1676">
        <v>5.9399143060668651</v>
      </c>
      <c r="J12" s="1691">
        <v>9.5038628897069835</v>
      </c>
      <c r="K12" s="1683">
        <v>9.5038628897069835</v>
      </c>
      <c r="L12" s="1731">
        <v>2.8758726290474697E-4</v>
      </c>
      <c r="M12" s="1731">
        <v>2.8758726290474697E-4</v>
      </c>
      <c r="N12" s="851">
        <f>H12/'GREET LNG'!$C$32</f>
        <v>2.7380036825991127E-4</v>
      </c>
    </row>
    <row r="13" spans="3:14">
      <c r="C13" s="1668"/>
      <c r="D13" s="1668"/>
      <c r="E13" s="1668"/>
      <c r="F13" s="1692" t="s">
        <v>1651</v>
      </c>
      <c r="G13" s="1693" t="s">
        <v>1652</v>
      </c>
      <c r="H13" s="1675">
        <v>43.634639173754053</v>
      </c>
      <c r="I13" s="1676">
        <v>43.634639173754053</v>
      </c>
      <c r="J13" s="1695">
        <v>60.417192702121</v>
      </c>
      <c r="K13" s="1694">
        <v>60.417192702121</v>
      </c>
      <c r="L13" s="1731">
        <v>2.1126174219380932E-3</v>
      </c>
      <c r="M13" s="1731">
        <v>2.1126174219380932E-3</v>
      </c>
      <c r="N13" s="851">
        <f>H13/'GREET LNG'!$C$32</f>
        <v>2.011338827305924E-3</v>
      </c>
    </row>
    <row r="14" spans="3:14">
      <c r="C14" s="1668"/>
      <c r="D14" s="1668"/>
      <c r="E14" s="1668"/>
      <c r="F14" s="1696" t="s">
        <v>1653</v>
      </c>
      <c r="G14" s="1687" t="s">
        <v>1644</v>
      </c>
      <c r="H14" s="1697">
        <v>19.403757523495987</v>
      </c>
      <c r="I14" s="1698">
        <v>19.403757523495987</v>
      </c>
      <c r="J14" s="1699">
        <v>19.403757523495987</v>
      </c>
      <c r="K14" s="1694">
        <v>19.403757523495987</v>
      </c>
      <c r="L14" s="1731">
        <v>9.3945353900982455E-4</v>
      </c>
      <c r="M14" s="1731">
        <v>9.3945353900982455E-4</v>
      </c>
      <c r="N14" s="851">
        <f>H14/'GREET LNG'!$C$32</f>
        <v>8.9441626289674288E-4</v>
      </c>
    </row>
    <row r="15" spans="3:14">
      <c r="C15" s="1668"/>
      <c r="D15" s="1668"/>
      <c r="E15" s="1668"/>
      <c r="F15" s="137"/>
      <c r="G15" s="137"/>
      <c r="H15" s="1717"/>
      <c r="I15" s="1701"/>
      <c r="J15" s="1700"/>
      <c r="K15" s="1702"/>
      <c r="L15" s="1732">
        <v>1.000234529710759E-2</v>
      </c>
      <c r="M15" s="1733">
        <v>1.0170979280963459E-2</v>
      </c>
      <c r="N15" s="851">
        <f>H15/'GREET LNG'!$C$32</f>
        <v>0</v>
      </c>
    </row>
    <row r="16" spans="3:14">
      <c r="C16" s="1667" t="s">
        <v>1654</v>
      </c>
      <c r="D16" s="1668"/>
      <c r="E16" s="1668"/>
      <c r="F16" s="137"/>
      <c r="H16" s="1703"/>
      <c r="I16" s="1704"/>
      <c r="J16" s="1705"/>
      <c r="K16" s="1705"/>
      <c r="M16" s="137"/>
    </row>
    <row r="17" spans="3:13">
      <c r="C17" s="1667"/>
      <c r="D17" s="1668"/>
      <c r="E17" s="1668"/>
      <c r="F17" s="137"/>
      <c r="H17" s="1877" t="s">
        <v>1637</v>
      </c>
      <c r="I17" s="1878"/>
      <c r="J17" s="1879" t="s">
        <v>1639</v>
      </c>
      <c r="K17" s="1880"/>
      <c r="M17" s="137"/>
    </row>
    <row r="18" spans="3:13">
      <c r="C18" s="1668"/>
      <c r="D18" s="1668"/>
      <c r="E18" s="1668"/>
      <c r="F18" s="1670"/>
      <c r="G18" s="1671" t="s">
        <v>1492</v>
      </c>
      <c r="H18" s="1672" t="s">
        <v>1641</v>
      </c>
      <c r="I18" s="1673" t="s">
        <v>1642</v>
      </c>
      <c r="J18" s="1706" t="s">
        <v>1641</v>
      </c>
      <c r="K18" s="1673" t="s">
        <v>1642</v>
      </c>
      <c r="M18" s="137"/>
    </row>
    <row r="19" spans="3:13">
      <c r="C19" s="1668"/>
      <c r="D19" s="1668"/>
      <c r="E19" s="1668"/>
      <c r="F19" s="1671" t="s">
        <v>1655</v>
      </c>
      <c r="G19" s="1671" t="s">
        <v>1656</v>
      </c>
      <c r="H19" s="1707">
        <v>1748.7623436980043</v>
      </c>
      <c r="I19" s="1708">
        <v>1484.453642123741</v>
      </c>
      <c r="J19" s="1709">
        <v>1748.7623436980043</v>
      </c>
      <c r="K19" s="1710">
        <v>1484.453642123741</v>
      </c>
      <c r="M19" s="137"/>
    </row>
    <row r="20" spans="3:13">
      <c r="C20" s="1668"/>
      <c r="D20" s="1668"/>
      <c r="E20" s="1668"/>
      <c r="F20" s="1680" t="s">
        <v>1657</v>
      </c>
      <c r="G20" s="1680" t="s">
        <v>1658</v>
      </c>
      <c r="H20" s="1711">
        <v>19.026147751957918</v>
      </c>
      <c r="I20" s="1712">
        <v>18.838233220491713</v>
      </c>
      <c r="J20" s="1713">
        <v>19.026147751957918</v>
      </c>
      <c r="K20" s="1714">
        <v>18.838233220491713</v>
      </c>
      <c r="M20" s="137"/>
    </row>
    <row r="21" spans="3:13">
      <c r="C21" s="1668"/>
      <c r="D21" s="1668"/>
      <c r="E21" s="1668"/>
      <c r="F21" s="1680" t="s">
        <v>1659</v>
      </c>
      <c r="G21" s="1680" t="s">
        <v>1656</v>
      </c>
      <c r="H21" s="1711">
        <v>3017.8482009971895</v>
      </c>
      <c r="I21" s="1712">
        <v>3017.8482009971895</v>
      </c>
      <c r="J21" s="1713">
        <v>3017.8482009971895</v>
      </c>
      <c r="K21" s="1714">
        <v>3017.8482009971895</v>
      </c>
      <c r="M21" s="137"/>
    </row>
    <row r="22" spans="3:13">
      <c r="C22" s="1668"/>
      <c r="D22" s="1668"/>
      <c r="E22" s="1668"/>
      <c r="F22" s="1687" t="s">
        <v>1660</v>
      </c>
      <c r="G22" s="1687" t="s">
        <v>1658</v>
      </c>
      <c r="H22" s="1715">
        <v>547.18996472206391</v>
      </c>
      <c r="I22" s="1716">
        <v>547.18996472206391</v>
      </c>
      <c r="J22" s="1713">
        <v>547.18996472206391</v>
      </c>
      <c r="K22" s="1714">
        <v>547.18996472206391</v>
      </c>
      <c r="M22" s="137"/>
    </row>
    <row r="26" spans="3:13" ht="18">
      <c r="F26" s="1778" t="s">
        <v>1732</v>
      </c>
      <c r="G26" s="1888" t="s">
        <v>1713</v>
      </c>
      <c r="H26" s="1888"/>
      <c r="I26" s="1888" t="s">
        <v>1631</v>
      </c>
      <c r="J26" s="1888"/>
      <c r="K26" s="1778" t="s">
        <v>1714</v>
      </c>
    </row>
    <row r="27" spans="3:13" ht="15.75" thickBot="1">
      <c r="F27" s="665" t="s">
        <v>1669</v>
      </c>
      <c r="G27" s="665" t="s">
        <v>1687</v>
      </c>
      <c r="H27" s="665" t="s">
        <v>81</v>
      </c>
      <c r="I27" s="1779" t="s">
        <v>1687</v>
      </c>
      <c r="J27" s="1779" t="s">
        <v>81</v>
      </c>
      <c r="K27" s="665" t="s">
        <v>1429</v>
      </c>
    </row>
    <row r="28" spans="3:13" ht="15.75" thickTop="1">
      <c r="F28" t="s">
        <v>1673</v>
      </c>
      <c r="I28" s="150"/>
      <c r="J28" s="150"/>
    </row>
    <row r="29" spans="3:13">
      <c r="F29" s="149" t="s">
        <v>1672</v>
      </c>
      <c r="G29" s="150">
        <v>0.16</v>
      </c>
      <c r="H29" s="150">
        <v>0.16</v>
      </c>
      <c r="I29" s="150"/>
      <c r="J29" s="150"/>
    </row>
    <row r="30" spans="3:13">
      <c r="F30" s="149" t="s">
        <v>1677</v>
      </c>
      <c r="G30" s="150">
        <v>0.23</v>
      </c>
      <c r="H30" s="150">
        <v>0.2</v>
      </c>
      <c r="I30" s="150"/>
      <c r="J30" s="150"/>
    </row>
    <row r="31" spans="3:13">
      <c r="F31" s="149" t="s">
        <v>1671</v>
      </c>
      <c r="G31" s="150" t="s">
        <v>1684</v>
      </c>
      <c r="H31" s="150">
        <v>0.26</v>
      </c>
      <c r="I31" s="150"/>
      <c r="J31" s="150"/>
    </row>
    <row r="32" spans="3:13">
      <c r="F32" s="149" t="s">
        <v>1670</v>
      </c>
      <c r="G32" s="150" t="s">
        <v>1684</v>
      </c>
      <c r="H32" s="150">
        <v>7.0000000000000007E-2</v>
      </c>
      <c r="I32" s="150"/>
      <c r="J32" s="150"/>
    </row>
    <row r="33" spans="6:11">
      <c r="F33" s="167" t="s">
        <v>1674</v>
      </c>
      <c r="G33" s="1479">
        <v>0.18</v>
      </c>
      <c r="H33" s="1479">
        <v>1.2</v>
      </c>
      <c r="I33" s="1479"/>
      <c r="J33" s="1479"/>
      <c r="K33" s="163"/>
    </row>
    <row r="34" spans="6:11" ht="17.25">
      <c r="F34" s="1466" t="s">
        <v>1699</v>
      </c>
      <c r="G34" s="150"/>
      <c r="H34" s="150"/>
      <c r="I34" s="150"/>
      <c r="J34" s="150"/>
    </row>
    <row r="35" spans="6:11">
      <c r="F35" s="149" t="s">
        <v>1678</v>
      </c>
      <c r="G35" s="150">
        <v>0.6</v>
      </c>
      <c r="H35" s="150">
        <v>0.6</v>
      </c>
      <c r="I35" s="150"/>
      <c r="J35" s="150"/>
    </row>
    <row r="36" spans="6:11">
      <c r="F36" s="149" t="s">
        <v>1679</v>
      </c>
      <c r="G36" s="150">
        <v>3.1</v>
      </c>
      <c r="H36" s="150">
        <v>3.1</v>
      </c>
      <c r="I36" s="151">
        <f>H67</f>
        <v>2.4575255756670669</v>
      </c>
      <c r="J36" s="151">
        <f>L67</f>
        <v>2.357575347313619</v>
      </c>
      <c r="K36" s="151">
        <f>Upstream!G5/JperBtu</f>
        <v>2.8076696589229213</v>
      </c>
    </row>
    <row r="37" spans="6:11">
      <c r="F37" s="149" t="s">
        <v>1685</v>
      </c>
      <c r="G37" s="150">
        <v>2.7</v>
      </c>
      <c r="H37" s="150">
        <v>2.7</v>
      </c>
      <c r="I37" s="151">
        <f>I67</f>
        <v>3.2165115121314636</v>
      </c>
      <c r="J37" s="151">
        <f>M67</f>
        <v>3.2637179915561836</v>
      </c>
      <c r="K37" s="151">
        <f>Upstream!G6/JperBtu</f>
        <v>2.7400262820304286</v>
      </c>
    </row>
    <row r="38" spans="6:11">
      <c r="F38" s="149" t="s">
        <v>1680</v>
      </c>
      <c r="G38" s="150">
        <v>1.2</v>
      </c>
      <c r="H38" s="150">
        <v>1.2</v>
      </c>
      <c r="I38" s="151">
        <f>J67</f>
        <v>1.8606286514710162</v>
      </c>
      <c r="J38" s="151">
        <f>N67</f>
        <v>2.596175674158689</v>
      </c>
      <c r="K38" s="151">
        <f>Upstream!G7/JperBtu</f>
        <v>2.4605844747516405</v>
      </c>
    </row>
    <row r="39" spans="6:11">
      <c r="F39" s="149" t="s">
        <v>1681</v>
      </c>
      <c r="G39" s="150">
        <v>1.8</v>
      </c>
      <c r="H39" s="150">
        <v>1.8</v>
      </c>
      <c r="I39" s="151">
        <f>K67</f>
        <v>0.89881978569177079</v>
      </c>
      <c r="J39" s="151">
        <f>O67</f>
        <v>0.16185797428814289</v>
      </c>
    </row>
    <row r="40" spans="6:11">
      <c r="F40" s="149" t="s">
        <v>1683</v>
      </c>
      <c r="G40" s="150" t="s">
        <v>1684</v>
      </c>
      <c r="H40" s="150">
        <v>1.1000000000000001</v>
      </c>
      <c r="I40" s="150"/>
      <c r="J40" s="150"/>
    </row>
    <row r="41" spans="6:11">
      <c r="F41" s="167" t="s">
        <v>1682</v>
      </c>
      <c r="G41" s="1479">
        <v>3.8</v>
      </c>
      <c r="H41" s="1479" t="s">
        <v>1684</v>
      </c>
      <c r="I41" s="1479"/>
      <c r="J41" s="1479"/>
      <c r="K41" s="163"/>
    </row>
    <row r="42" spans="6:11">
      <c r="F42" s="1466" t="s">
        <v>1302</v>
      </c>
      <c r="G42" s="150"/>
      <c r="H42" s="150"/>
      <c r="I42" s="150"/>
      <c r="J42" s="150"/>
    </row>
    <row r="43" spans="6:11">
      <c r="F43" s="149" t="s">
        <v>1675</v>
      </c>
      <c r="G43" s="150">
        <v>0.4</v>
      </c>
      <c r="H43" s="150">
        <v>0.4</v>
      </c>
      <c r="I43" s="151">
        <f>P67</f>
        <v>2.5920775418515998</v>
      </c>
      <c r="J43" s="151">
        <f>P67</f>
        <v>2.5920775418515998</v>
      </c>
      <c r="K43" s="153"/>
    </row>
    <row r="44" spans="6:11">
      <c r="F44" s="149" t="s">
        <v>1676</v>
      </c>
      <c r="G44" s="150">
        <v>1.9</v>
      </c>
      <c r="H44" s="150">
        <v>1.9</v>
      </c>
      <c r="I44" s="151">
        <f>Q67</f>
        <v>1.0591895195698939</v>
      </c>
      <c r="J44" s="151">
        <f>Q67</f>
        <v>1.0591895195698939</v>
      </c>
      <c r="K44" s="153"/>
    </row>
    <row r="45" spans="6:11">
      <c r="F45" s="1780" t="s">
        <v>200</v>
      </c>
      <c r="G45" s="1781">
        <f>SUM(G29:G44)</f>
        <v>16.07</v>
      </c>
      <c r="H45" s="1782">
        <f>SUM(H29:H44)</f>
        <v>14.69</v>
      </c>
      <c r="I45" s="1782">
        <f t="shared" ref="I45:K45" si="0">SUM(I29:I44)</f>
        <v>12.084752586382811</v>
      </c>
      <c r="J45" s="1782">
        <f t="shared" si="0"/>
        <v>12.030594048738129</v>
      </c>
      <c r="K45" s="1782">
        <f t="shared" si="0"/>
        <v>8.0082804157049914</v>
      </c>
    </row>
    <row r="46" spans="6:11" ht="17.25">
      <c r="F46" s="149" t="s">
        <v>1731</v>
      </c>
      <c r="I46" s="150"/>
      <c r="J46" s="150"/>
    </row>
    <row r="51" spans="7:20" ht="15" customHeight="1">
      <c r="G51" s="1881" t="s">
        <v>1686</v>
      </c>
      <c r="H51" s="1864" t="s">
        <v>1687</v>
      </c>
      <c r="I51" s="1865"/>
      <c r="J51" s="1865"/>
      <c r="K51" s="1866"/>
      <c r="L51" s="1864" t="s">
        <v>1688</v>
      </c>
      <c r="M51" s="1865"/>
      <c r="N51" s="1865"/>
      <c r="O51" s="1866"/>
      <c r="P51" s="1858" t="s">
        <v>1689</v>
      </c>
      <c r="Q51" s="1861" t="s">
        <v>1690</v>
      </c>
      <c r="R51" s="1864" t="s">
        <v>200</v>
      </c>
      <c r="S51" s="1865"/>
      <c r="T51" s="1866"/>
    </row>
    <row r="52" spans="7:20" ht="15" customHeight="1">
      <c r="G52" s="1882"/>
      <c r="H52" s="1859" t="s">
        <v>1691</v>
      </c>
      <c r="I52" s="1867" t="s">
        <v>1692</v>
      </c>
      <c r="J52" s="1867" t="s">
        <v>1693</v>
      </c>
      <c r="K52" s="1862" t="s">
        <v>1694</v>
      </c>
      <c r="L52" s="1859" t="s">
        <v>1691</v>
      </c>
      <c r="M52" s="1867" t="s">
        <v>1692</v>
      </c>
      <c r="N52" s="1867" t="s">
        <v>1693</v>
      </c>
      <c r="O52" s="1862" t="s">
        <v>1694</v>
      </c>
      <c r="P52" s="1859"/>
      <c r="Q52" s="1862"/>
      <c r="R52" s="1869" t="s">
        <v>1695</v>
      </c>
      <c r="S52" s="1871" t="s">
        <v>1688</v>
      </c>
      <c r="T52" s="1873" t="s">
        <v>1696</v>
      </c>
    </row>
    <row r="53" spans="7:20">
      <c r="G53" s="1883"/>
      <c r="H53" s="1860"/>
      <c r="I53" s="1868"/>
      <c r="J53" s="1868"/>
      <c r="K53" s="1863"/>
      <c r="L53" s="1860"/>
      <c r="M53" s="1868"/>
      <c r="N53" s="1868"/>
      <c r="O53" s="1863"/>
      <c r="P53" s="1860"/>
      <c r="Q53" s="1863"/>
      <c r="R53" s="1870"/>
      <c r="S53" s="1872"/>
      <c r="T53" s="1874"/>
    </row>
    <row r="54" spans="7:20">
      <c r="G54" s="1736" t="s">
        <v>116</v>
      </c>
      <c r="H54" s="1737">
        <v>1.8601411407302619</v>
      </c>
      <c r="I54" s="1738"/>
      <c r="J54" s="1738">
        <v>4.6423168325135853</v>
      </c>
      <c r="K54" s="1739"/>
      <c r="L54" s="1737">
        <v>1.7693625882034989</v>
      </c>
      <c r="M54" s="1738"/>
      <c r="N54" s="1738">
        <v>4.6398818051525401</v>
      </c>
      <c r="O54" s="1739"/>
      <c r="P54" s="1737">
        <v>3.8840898709995972</v>
      </c>
      <c r="Q54" s="1739"/>
      <c r="R54" s="1740">
        <v>10.386547844243445</v>
      </c>
      <c r="S54" s="1741">
        <v>10.293334264355636</v>
      </c>
      <c r="T54" s="1742">
        <v>10.338512696378444</v>
      </c>
    </row>
    <row r="55" spans="7:20">
      <c r="G55" s="1736" t="s">
        <v>119</v>
      </c>
      <c r="H55" s="1737">
        <v>10.00250770282714</v>
      </c>
      <c r="I55" s="1738"/>
      <c r="J55" s="1738">
        <v>2.4647164650759898</v>
      </c>
      <c r="K55" s="1739"/>
      <c r="L55" s="1737">
        <v>9.5185847256536817</v>
      </c>
      <c r="M55" s="1738"/>
      <c r="N55" s="1738">
        <v>2.4517358032648375</v>
      </c>
      <c r="O55" s="1739"/>
      <c r="P55" s="1737">
        <v>19.938466853121732</v>
      </c>
      <c r="Q55" s="1739"/>
      <c r="R55" s="1737">
        <v>32.405691021024865</v>
      </c>
      <c r="S55" s="1738">
        <v>31.908787382040252</v>
      </c>
      <c r="T55" s="1739">
        <v>32.149624900594652</v>
      </c>
    </row>
    <row r="56" spans="7:20">
      <c r="G56" s="1736" t="s">
        <v>250</v>
      </c>
      <c r="H56" s="1737">
        <v>13.856502647690419</v>
      </c>
      <c r="I56" s="1738"/>
      <c r="J56" s="1738">
        <v>3.2008941490201477</v>
      </c>
      <c r="K56" s="1739"/>
      <c r="L56" s="1737">
        <v>13.19045117735846</v>
      </c>
      <c r="M56" s="1738"/>
      <c r="N56" s="1738">
        <v>3.1830281056764345</v>
      </c>
      <c r="O56" s="1739"/>
      <c r="P56" s="1737">
        <v>23.614472279750292</v>
      </c>
      <c r="Q56" s="1739"/>
      <c r="R56" s="1737">
        <v>40.671869076460858</v>
      </c>
      <c r="S56" s="1738">
        <v>39.987951562785184</v>
      </c>
      <c r="T56" s="1739">
        <v>40.319430312319248</v>
      </c>
    </row>
    <row r="57" spans="7:20">
      <c r="G57" s="1736" t="s">
        <v>251</v>
      </c>
      <c r="H57" s="1737">
        <v>0.30110966926934307</v>
      </c>
      <c r="I57" s="1738"/>
      <c r="J57" s="1738">
        <v>0.14930629188692313</v>
      </c>
      <c r="K57" s="1739"/>
      <c r="L57" s="1737">
        <v>0.28752215591398422</v>
      </c>
      <c r="M57" s="1738"/>
      <c r="N57" s="1738">
        <v>0.14894182290313857</v>
      </c>
      <c r="O57" s="1739"/>
      <c r="P57" s="1737">
        <v>5.6709566355748017E-2</v>
      </c>
      <c r="Q57" s="1739"/>
      <c r="R57" s="1737">
        <v>0.50712552751201423</v>
      </c>
      <c r="S57" s="1738">
        <v>0.49317354517287082</v>
      </c>
      <c r="T57" s="1739">
        <v>0.49993574319649653</v>
      </c>
    </row>
    <row r="58" spans="7:20">
      <c r="G58" s="1736" t="s">
        <v>252</v>
      </c>
      <c r="H58" s="1737">
        <v>0.27578316325893582</v>
      </c>
      <c r="I58" s="1738"/>
      <c r="J58" s="1738">
        <v>0.12676828762430656</v>
      </c>
      <c r="K58" s="1739"/>
      <c r="L58" s="1737">
        <v>0.26344307027076502</v>
      </c>
      <c r="M58" s="1738"/>
      <c r="N58" s="1738">
        <v>0.12643727921728026</v>
      </c>
      <c r="O58" s="1739"/>
      <c r="P58" s="1737">
        <v>4.9019168850794242E-2</v>
      </c>
      <c r="Q58" s="1739"/>
      <c r="R58" s="1737">
        <v>0.45157061973403667</v>
      </c>
      <c r="S58" s="1738">
        <v>0.43889951833883956</v>
      </c>
      <c r="T58" s="1739">
        <v>0.44504090346454805</v>
      </c>
    </row>
    <row r="59" spans="7:20">
      <c r="G59" s="1736" t="s">
        <v>253</v>
      </c>
      <c r="H59" s="1737">
        <v>0.55923179328101558</v>
      </c>
      <c r="I59" s="1738"/>
      <c r="J59" s="1738">
        <v>10.640353540737109</v>
      </c>
      <c r="K59" s="1739"/>
      <c r="L59" s="1737">
        <v>0.53177787994120251</v>
      </c>
      <c r="M59" s="1738"/>
      <c r="N59" s="1738">
        <v>10.63961712196539</v>
      </c>
      <c r="O59" s="1739"/>
      <c r="P59" s="1737">
        <v>0.47325999271843333</v>
      </c>
      <c r="Q59" s="1739"/>
      <c r="R59" s="1737">
        <v>11.672845326736557</v>
      </c>
      <c r="S59" s="1738">
        <v>11.644654994625025</v>
      </c>
      <c r="T59" s="1739">
        <v>11.658318186238674</v>
      </c>
    </row>
    <row r="60" spans="7:20">
      <c r="G60" s="1736" t="s">
        <v>254</v>
      </c>
      <c r="H60" s="1737">
        <v>0.12620242242925947</v>
      </c>
      <c r="I60" s="1738"/>
      <c r="J60" s="1738">
        <v>1.7392001519614984E-2</v>
      </c>
      <c r="K60" s="1739"/>
      <c r="L60" s="1737">
        <v>0.12116755179575693</v>
      </c>
      <c r="M60" s="1738"/>
      <c r="N60" s="1738">
        <v>1.7256947066656095E-2</v>
      </c>
      <c r="O60" s="1739"/>
      <c r="P60" s="1737">
        <v>1.0938942087067915E-2</v>
      </c>
      <c r="Q60" s="1739"/>
      <c r="R60" s="1737">
        <v>0.15453336603594237</v>
      </c>
      <c r="S60" s="1738">
        <v>0.14936344094948095</v>
      </c>
      <c r="T60" s="1739">
        <v>0.15186918216618811</v>
      </c>
    </row>
    <row r="61" spans="7:20">
      <c r="G61" s="1736" t="s">
        <v>255</v>
      </c>
      <c r="H61" s="1737">
        <v>7.8353715586844577E-2</v>
      </c>
      <c r="I61" s="1738"/>
      <c r="J61" s="1738">
        <v>5.7618577561815952E-2</v>
      </c>
      <c r="K61" s="1739"/>
      <c r="L61" s="1737">
        <v>7.455667718560488E-2</v>
      </c>
      <c r="M61" s="1738"/>
      <c r="N61" s="1738">
        <v>5.751672649523025E-2</v>
      </c>
      <c r="O61" s="1739"/>
      <c r="P61" s="1737">
        <v>1.8817702095840244E-2</v>
      </c>
      <c r="Q61" s="1739"/>
      <c r="R61" s="1737">
        <v>0.15478999524450077</v>
      </c>
      <c r="S61" s="1738">
        <v>0.15089110577667539</v>
      </c>
      <c r="T61" s="1739">
        <v>0.15278080589331722</v>
      </c>
    </row>
    <row r="62" spans="7:20">
      <c r="G62" s="1736" t="s">
        <v>110</v>
      </c>
      <c r="H62" s="1737">
        <v>8.9104039489466622</v>
      </c>
      <c r="I62" s="1738">
        <v>135.74397149866587</v>
      </c>
      <c r="J62" s="1738">
        <v>4.3819534992803</v>
      </c>
      <c r="K62" s="1739">
        <v>6.8307681056741885</v>
      </c>
      <c r="L62" s="1737">
        <v>8.5318090079018258</v>
      </c>
      <c r="M62" s="1738">
        <v>137.73619038966407</v>
      </c>
      <c r="N62" s="1738">
        <v>4.4252370542523396</v>
      </c>
      <c r="O62" s="1739">
        <v>6.8307681056741885</v>
      </c>
      <c r="P62" s="1737">
        <v>19.608394211072842</v>
      </c>
      <c r="Q62" s="1739">
        <v>44.700163955236242</v>
      </c>
      <c r="R62" s="1755">
        <v>220.17565521887607</v>
      </c>
      <c r="S62" s="1756">
        <v>221.83256272380149</v>
      </c>
      <c r="T62" s="1757">
        <v>221.02949858690801</v>
      </c>
    </row>
    <row r="63" spans="7:20">
      <c r="G63" s="1736" t="s">
        <v>113</v>
      </c>
      <c r="H63" s="1737">
        <v>2.0776729673407705E-2</v>
      </c>
      <c r="I63" s="1738"/>
      <c r="J63" s="1738">
        <v>1.4255996900968345E-2</v>
      </c>
      <c r="K63" s="1739"/>
      <c r="L63" s="1737">
        <v>2.012300410377002E-2</v>
      </c>
      <c r="M63" s="1738"/>
      <c r="N63" s="1738">
        <v>1.4238461485340154E-2</v>
      </c>
      <c r="O63" s="1739"/>
      <c r="P63" s="1737">
        <v>1.3884517949504749</v>
      </c>
      <c r="Q63" s="1739"/>
      <c r="R63" s="1737">
        <v>1.4234845215248508</v>
      </c>
      <c r="S63" s="1738">
        <v>1.4228132605395851</v>
      </c>
      <c r="T63" s="1739">
        <v>1.423138604967177</v>
      </c>
    </row>
    <row r="64" spans="7:20">
      <c r="G64" s="1736" t="s">
        <v>107</v>
      </c>
      <c r="H64" s="1743">
        <v>2342.3595046870482</v>
      </c>
      <c r="I64" s="1744"/>
      <c r="J64" s="1744">
        <v>1830.9283388519189</v>
      </c>
      <c r="K64" s="1745">
        <v>777.53587034799432</v>
      </c>
      <c r="L64" s="1743">
        <v>2247.6094921811896</v>
      </c>
      <c r="M64" s="1744"/>
      <c r="N64" s="1744">
        <v>2605.922652119642</v>
      </c>
      <c r="O64" s="1745"/>
      <c r="P64" s="1743">
        <v>1787.3807940973286</v>
      </c>
      <c r="Q64" s="1745"/>
      <c r="R64" s="1743">
        <v>6738.2045079842892</v>
      </c>
      <c r="S64" s="1744">
        <v>6640.9129383981599</v>
      </c>
      <c r="T64" s="1745">
        <v>6688.0678762111875</v>
      </c>
    </row>
    <row r="65" spans="7:20">
      <c r="G65" s="1736" t="s">
        <v>1697</v>
      </c>
      <c r="H65" s="1743">
        <v>2363.8751709658145</v>
      </c>
      <c r="I65" s="1744"/>
      <c r="J65" s="1744">
        <v>1849.2700188536105</v>
      </c>
      <c r="K65" s="1744">
        <v>777.53587034799432</v>
      </c>
      <c r="L65" s="1743">
        <v>2268.0817815785463</v>
      </c>
      <c r="M65" s="1744"/>
      <c r="N65" s="1744">
        <v>2624.236344769879</v>
      </c>
      <c r="O65" s="1745"/>
      <c r="P65" s="1743">
        <v>1830.8180840120879</v>
      </c>
      <c r="Q65" s="1745"/>
      <c r="R65" s="1743">
        <v>6821.4991441795064</v>
      </c>
      <c r="S65" s="1744">
        <v>6723.1362103605134</v>
      </c>
      <c r="T65" s="1745">
        <v>6770.8104132444068</v>
      </c>
    </row>
    <row r="66" spans="7:20">
      <c r="G66" s="1746" t="s">
        <v>1537</v>
      </c>
      <c r="H66" s="1747">
        <v>2592.8267351321565</v>
      </c>
      <c r="I66" s="1748">
        <v>3393.5992874666467</v>
      </c>
      <c r="J66" s="1748">
        <v>1963.0671434121066</v>
      </c>
      <c r="K66" s="1749">
        <v>948.30507298984901</v>
      </c>
      <c r="L66" s="1747">
        <v>2487.3736619990154</v>
      </c>
      <c r="M66" s="1748">
        <v>3443.404759741602</v>
      </c>
      <c r="N66" s="1748">
        <v>2739.1103326488187</v>
      </c>
      <c r="O66" s="1749">
        <v>170.76920264185472</v>
      </c>
      <c r="P66" s="1747">
        <v>2734.7865741841501</v>
      </c>
      <c r="Q66" s="1749">
        <v>1117.504098880906</v>
      </c>
      <c r="R66" s="1747">
        <v>12750.088912065818</v>
      </c>
      <c r="S66" s="1748">
        <v>12692.948630096347</v>
      </c>
      <c r="T66" s="1749">
        <v>12720.643182197327</v>
      </c>
    </row>
    <row r="67" spans="7:20">
      <c r="G67" s="1750" t="s">
        <v>1698</v>
      </c>
      <c r="H67" s="1751">
        <v>2.4575255756670669</v>
      </c>
      <c r="I67" s="1752">
        <v>3.2165115121314636</v>
      </c>
      <c r="J67" s="1752">
        <v>1.8606286514710162</v>
      </c>
      <c r="K67" s="1753">
        <v>0.89881978569177079</v>
      </c>
      <c r="L67" s="1751">
        <v>2.357575347313619</v>
      </c>
      <c r="M67" s="1752">
        <v>3.2637179915561836</v>
      </c>
      <c r="N67" s="1752">
        <v>2.596175674158689</v>
      </c>
      <c r="O67" s="1753">
        <v>0.16185797428814289</v>
      </c>
      <c r="P67" s="1751">
        <v>2.5920775418515998</v>
      </c>
      <c r="Q67" s="1753">
        <v>1.0591895195698939</v>
      </c>
      <c r="R67" s="1751">
        <v>12.084752586382814</v>
      </c>
      <c r="S67" s="1752">
        <v>12.030594048738129</v>
      </c>
      <c r="T67" s="1753">
        <v>12.056843419424032</v>
      </c>
    </row>
  </sheetData>
  <mergeCells count="24">
    <mergeCell ref="L5:M5"/>
    <mergeCell ref="H17:I17"/>
    <mergeCell ref="J17:K17"/>
    <mergeCell ref="G51:G53"/>
    <mergeCell ref="H51:K51"/>
    <mergeCell ref="H5:I5"/>
    <mergeCell ref="J5:K5"/>
    <mergeCell ref="L51:O51"/>
    <mergeCell ref="G26:H26"/>
    <mergeCell ref="I26:J26"/>
    <mergeCell ref="P51:P53"/>
    <mergeCell ref="Q51:Q53"/>
    <mergeCell ref="R51:T51"/>
    <mergeCell ref="H52:H53"/>
    <mergeCell ref="I52:I53"/>
    <mergeCell ref="J52:J53"/>
    <mergeCell ref="K52:K53"/>
    <mergeCell ref="L52:L53"/>
    <mergeCell ref="M52:M53"/>
    <mergeCell ref="N52:N53"/>
    <mergeCell ref="O52:O53"/>
    <mergeCell ref="R52:R53"/>
    <mergeCell ref="S52:S53"/>
    <mergeCell ref="T52:T53"/>
  </mergeCells>
  <conditionalFormatting sqref="H8:I11 L8:M11">
    <cfRule type="cellIs" dxfId="0" priority="1" operator="equal">
      <formula>"N/A"</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B3:O50"/>
  <sheetViews>
    <sheetView workbookViewId="0">
      <selection activeCell="C7" sqref="C7"/>
    </sheetView>
  </sheetViews>
  <sheetFormatPr defaultRowHeight="15"/>
  <cols>
    <col min="2" max="2" width="17.7109375" customWidth="1"/>
    <col min="12" max="12" width="27.42578125" customWidth="1"/>
  </cols>
  <sheetData>
    <row r="3" spans="2:12">
      <c r="B3" t="s">
        <v>1521</v>
      </c>
    </row>
    <row r="4" spans="2:12">
      <c r="C4" s="148">
        <f>SUM(Results!D48:D50)</f>
        <v>13500.168036529478</v>
      </c>
      <c r="D4" t="s">
        <v>1531</v>
      </c>
    </row>
    <row r="5" spans="2:12">
      <c r="C5" s="410">
        <f>SUM(Results!C48:C50)</f>
        <v>105.10056859890601</v>
      </c>
      <c r="D5" t="s">
        <v>1522</v>
      </c>
    </row>
    <row r="6" spans="2:12">
      <c r="C6" s="148">
        <f>C5*Fuel_Specs!E13</f>
        <v>332853.5007527353</v>
      </c>
      <c r="D6" t="s">
        <v>1524</v>
      </c>
    </row>
    <row r="7" spans="2:12">
      <c r="C7" s="1772">
        <v>1000</v>
      </c>
      <c r="D7" t="s">
        <v>1525</v>
      </c>
    </row>
    <row r="8" spans="2:12">
      <c r="C8">
        <v>10</v>
      </c>
      <c r="D8" t="s">
        <v>1525</v>
      </c>
    </row>
    <row r="9" spans="2:12">
      <c r="C9" s="148">
        <f>(C7-C8)/1000000*C6</f>
        <v>329.52496574520796</v>
      </c>
      <c r="D9" t="s">
        <v>1526</v>
      </c>
    </row>
    <row r="10" spans="2:12">
      <c r="C10">
        <v>1.05</v>
      </c>
      <c r="D10" t="s">
        <v>1527</v>
      </c>
    </row>
    <row r="11" spans="2:12">
      <c r="C11" s="144">
        <f>C9*C10*I11/I12</f>
        <v>21.753241460053466</v>
      </c>
      <c r="D11" t="s">
        <v>1530</v>
      </c>
      <c r="I11">
        <f>2*1.00797</f>
        <v>2.0159400000000001</v>
      </c>
      <c r="J11" t="s">
        <v>1528</v>
      </c>
    </row>
    <row r="12" spans="2:12">
      <c r="C12" s="153">
        <f>C11*1000*I13/1000000000</f>
        <v>2.4735540692480149</v>
      </c>
      <c r="D12" t="s">
        <v>1533</v>
      </c>
      <c r="I12">
        <v>32.064999999999998</v>
      </c>
      <c r="J12" t="s">
        <v>1529</v>
      </c>
      <c r="L12" s="1129"/>
    </row>
    <row r="13" spans="2:12">
      <c r="C13" s="148"/>
      <c r="I13" s="148">
        <f>Fuel_Specs!P48*lbperkg</f>
        <v>113709.67741935483</v>
      </c>
      <c r="J13" t="s">
        <v>1532</v>
      </c>
    </row>
    <row r="14" spans="2:12">
      <c r="C14">
        <f>(5000-1000)/1000000*120/42</f>
        <v>1.1428571428571429E-2</v>
      </c>
      <c r="D14" t="s">
        <v>1456</v>
      </c>
    </row>
    <row r="15" spans="2:12">
      <c r="C15" s="1108">
        <f>C4*C13/1000*C14</f>
        <v>0</v>
      </c>
      <c r="D15" s="152"/>
    </row>
    <row r="16" spans="2:12">
      <c r="C16" s="1108"/>
      <c r="D16" s="152"/>
    </row>
    <row r="17" spans="2:14" ht="18.75" thickBot="1">
      <c r="B17" s="1508" t="s">
        <v>1542</v>
      </c>
      <c r="C17" s="1508" t="s">
        <v>1331</v>
      </c>
      <c r="D17" s="295" t="s">
        <v>266</v>
      </c>
      <c r="E17" s="295" t="s">
        <v>267</v>
      </c>
      <c r="F17" s="295" t="s">
        <v>264</v>
      </c>
    </row>
    <row r="18" spans="2:14" ht="15.75" thickTop="1">
      <c r="B18" t="s">
        <v>1543</v>
      </c>
      <c r="C18" s="1505">
        <f>-M41*$C$12/$C$4</f>
        <v>-16.890455373363533</v>
      </c>
      <c r="D18" s="1506">
        <f>-M39*$C$12/$C$4</f>
        <v>-4.3012367480048948E-2</v>
      </c>
      <c r="E18" s="1507">
        <f>-M40*$C$12/$C$4</f>
        <v>-1.0257145387090327E-4</v>
      </c>
      <c r="F18" s="228">
        <f t="shared" ref="F18:F20" si="0">C18+D18*CH4_GWP+E18*N2O_GWP</f>
        <v>-17.996330853618286</v>
      </c>
    </row>
    <row r="19" spans="2:14">
      <c r="B19" t="s">
        <v>1544</v>
      </c>
      <c r="C19" s="144">
        <f>-$L$50*(Upstream!D11+Factors!D71)</f>
        <v>-25.321761050068737</v>
      </c>
      <c r="D19" s="153">
        <f>-$L$50*(Upstream!E11+Factors!E71)</f>
        <v>-5.8889717359552812E-2</v>
      </c>
      <c r="E19" s="153">
        <f>-$L$50*(Upstream!F11+Factors!F71)</f>
        <v>-3.4727112203886362E-4</v>
      </c>
      <c r="F19" s="228">
        <f t="shared" si="0"/>
        <v>-26.897490778425137</v>
      </c>
    </row>
    <row r="20" spans="2:14">
      <c r="B20" s="163" t="s">
        <v>1551</v>
      </c>
      <c r="C20" s="1509">
        <f>C19+C18</f>
        <v>-42.212216423432267</v>
      </c>
      <c r="D20" s="1510">
        <f t="shared" ref="D20:E20" si="1">D19+D18</f>
        <v>-0.10190208483960175</v>
      </c>
      <c r="E20" s="1510">
        <f t="shared" si="1"/>
        <v>-4.4984257590976692E-4</v>
      </c>
      <c r="F20" s="233">
        <f t="shared" si="0"/>
        <v>-44.893821632043419</v>
      </c>
    </row>
    <row r="21" spans="2:14">
      <c r="L21" t="s">
        <v>1541</v>
      </c>
    </row>
    <row r="22" spans="2:14" ht="46.5" customHeight="1">
      <c r="L22" s="1499"/>
      <c r="M22" s="1889" t="s">
        <v>1538</v>
      </c>
      <c r="N22" s="1890"/>
    </row>
    <row r="23" spans="2:14">
      <c r="L23" s="1500"/>
      <c r="M23" s="1502" t="s">
        <v>1539</v>
      </c>
      <c r="N23" s="1503" t="s">
        <v>1540</v>
      </c>
    </row>
    <row r="24" spans="2:14">
      <c r="L24" s="1486" t="s">
        <v>1504</v>
      </c>
      <c r="M24" s="1465"/>
      <c r="N24" s="1504"/>
    </row>
    <row r="25" spans="2:14">
      <c r="L25" s="1486" t="s">
        <v>1534</v>
      </c>
      <c r="M25" s="148">
        <v>533427.19251410768</v>
      </c>
      <c r="N25" s="861">
        <v>1000000</v>
      </c>
    </row>
    <row r="26" spans="2:14">
      <c r="L26" s="1486" t="s">
        <v>1535</v>
      </c>
      <c r="M26" s="148">
        <v>523635.73446705256</v>
      </c>
      <c r="N26" s="861">
        <v>1000000</v>
      </c>
    </row>
    <row r="27" spans="2:14">
      <c r="L27" s="1486" t="s">
        <v>86</v>
      </c>
      <c r="M27" s="148">
        <v>26697.22633332387</v>
      </c>
      <c r="N27" s="861">
        <v>0</v>
      </c>
    </row>
    <row r="28" spans="2:14">
      <c r="L28" s="1486" t="s">
        <v>76</v>
      </c>
      <c r="M28" s="148">
        <v>490488.18344722816</v>
      </c>
      <c r="N28" s="861">
        <v>1000000</v>
      </c>
    </row>
    <row r="29" spans="2:14">
      <c r="L29" s="1486" t="s">
        <v>1227</v>
      </c>
      <c r="M29" s="148">
        <v>6450.3246865005531</v>
      </c>
      <c r="N29" s="861">
        <v>0</v>
      </c>
    </row>
    <row r="30" spans="2:14">
      <c r="L30" s="1486" t="s">
        <v>1514</v>
      </c>
      <c r="M30" s="1465">
        <v>29.857937359438083</v>
      </c>
      <c r="N30" s="1504">
        <v>0</v>
      </c>
    </row>
    <row r="31" spans="2:14">
      <c r="L31" s="1486" t="s">
        <v>116</v>
      </c>
      <c r="M31" s="1465">
        <v>11.367650425956278</v>
      </c>
      <c r="N31" s="1504">
        <v>0</v>
      </c>
    </row>
    <row r="32" spans="2:14">
      <c r="L32" s="1486" t="s">
        <v>119</v>
      </c>
      <c r="M32" s="1465">
        <v>28.338346807559283</v>
      </c>
      <c r="N32" s="1504">
        <v>0</v>
      </c>
    </row>
    <row r="33" spans="12:15">
      <c r="L33" s="1486" t="s">
        <v>250</v>
      </c>
      <c r="M33" s="1465">
        <v>40.976043419131514</v>
      </c>
      <c r="N33" s="1504">
        <v>0</v>
      </c>
    </row>
    <row r="34" spans="12:15">
      <c r="L34" s="1486" t="s">
        <v>251</v>
      </c>
      <c r="M34" s="1465">
        <v>2.9522981390286809</v>
      </c>
      <c r="N34" s="1504">
        <v>0</v>
      </c>
    </row>
    <row r="35" spans="12:15">
      <c r="L35" s="1486" t="s">
        <v>252</v>
      </c>
      <c r="M35" s="1465">
        <v>2.5841553226741727</v>
      </c>
      <c r="N35" s="1504">
        <v>0</v>
      </c>
    </row>
    <row r="36" spans="12:15">
      <c r="L36" s="1486" t="s">
        <v>253</v>
      </c>
      <c r="M36" s="1465">
        <v>22.348064531717689</v>
      </c>
      <c r="N36" s="1504">
        <v>0</v>
      </c>
    </row>
    <row r="37" spans="12:15">
      <c r="L37" s="1486" t="s">
        <v>254</v>
      </c>
      <c r="M37" s="1465">
        <v>0.346327870421484</v>
      </c>
      <c r="N37" s="1504">
        <v>0</v>
      </c>
    </row>
    <row r="38" spans="12:15">
      <c r="L38" s="1486" t="s">
        <v>255</v>
      </c>
      <c r="M38" s="1465">
        <v>0.57440609647482244</v>
      </c>
      <c r="N38" s="1504">
        <v>0</v>
      </c>
    </row>
    <row r="39" spans="12:15">
      <c r="L39" s="1486" t="s">
        <v>110</v>
      </c>
      <c r="M39" s="1465">
        <v>234.75297987164984</v>
      </c>
      <c r="N39" s="1504">
        <v>0</v>
      </c>
    </row>
    <row r="40" spans="12:15">
      <c r="L40" s="1486" t="s">
        <v>113</v>
      </c>
      <c r="M40" s="1465">
        <v>0.5598146732362711</v>
      </c>
      <c r="N40" s="1504">
        <v>0</v>
      </c>
    </row>
    <row r="41" spans="12:15">
      <c r="L41" s="1486" t="s">
        <v>107</v>
      </c>
      <c r="M41" s="148">
        <v>92184.759002754072</v>
      </c>
      <c r="N41" s="861">
        <v>0</v>
      </c>
    </row>
    <row r="42" spans="12:15">
      <c r="L42" s="1486" t="s">
        <v>1536</v>
      </c>
      <c r="M42" s="148">
        <v>92264.719867755426</v>
      </c>
      <c r="N42" s="861">
        <v>0</v>
      </c>
    </row>
    <row r="43" spans="12:15">
      <c r="L43" s="1501" t="s">
        <v>1537</v>
      </c>
      <c r="M43" s="1094">
        <v>98300.369137171074</v>
      </c>
      <c r="N43" s="862">
        <v>0</v>
      </c>
    </row>
    <row r="46" spans="12:15">
      <c r="L46">
        <v>400</v>
      </c>
      <c r="M46" t="s">
        <v>143</v>
      </c>
    </row>
    <row r="47" spans="12:15">
      <c r="L47">
        <v>2.21</v>
      </c>
      <c r="M47" t="s">
        <v>1547</v>
      </c>
      <c r="O47" t="s">
        <v>1546</v>
      </c>
    </row>
    <row r="48" spans="12:15">
      <c r="L48">
        <f>(L46-298)*L47/1000</f>
        <v>0.22541999999999998</v>
      </c>
      <c r="M48" t="s">
        <v>26</v>
      </c>
      <c r="O48" t="s">
        <v>1548</v>
      </c>
    </row>
    <row r="49" spans="12:13">
      <c r="L49" s="1488">
        <f>1000/13800</f>
        <v>7.2463768115942032E-2</v>
      </c>
      <c r="M49" t="s">
        <v>1549</v>
      </c>
    </row>
    <row r="50" spans="12:13">
      <c r="L50">
        <f>L49*L48/Fuel_Specs!N13</f>
        <v>3.8172610763337182E-4</v>
      </c>
      <c r="M50" t="s">
        <v>1550</v>
      </c>
    </row>
  </sheetData>
  <mergeCells count="1">
    <mergeCell ref="M22:N2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B157"/>
  <sheetViews>
    <sheetView showGridLines="0" topLeftCell="AC43" zoomScale="84" zoomScaleNormal="84" workbookViewId="0">
      <selection activeCell="O90" sqref="O90"/>
    </sheetView>
  </sheetViews>
  <sheetFormatPr defaultColWidth="9.140625" defaultRowHeight="15"/>
  <cols>
    <col min="1" max="1" width="12.28515625" customWidth="1"/>
    <col min="2" max="2" width="11.42578125" customWidth="1"/>
    <col min="3" max="3" width="29.140625" customWidth="1"/>
    <col min="4" max="4" width="17.7109375" customWidth="1"/>
    <col min="5" max="5" width="12.7109375" customWidth="1"/>
    <col min="6" max="6" width="14.7109375" customWidth="1"/>
    <col min="7" max="8" width="13.5703125" customWidth="1"/>
    <col min="9" max="9" width="20.42578125" customWidth="1"/>
    <col min="10" max="10" width="14.140625" customWidth="1"/>
    <col min="11" max="11" width="20.28515625" customWidth="1"/>
    <col min="12" max="12" width="9.85546875" customWidth="1"/>
    <col min="13" max="13" width="9.28515625" customWidth="1"/>
    <col min="14" max="14" width="13.7109375" customWidth="1"/>
    <col min="15" max="15" width="12.140625" customWidth="1"/>
    <col min="16" max="16" width="12.5703125" customWidth="1"/>
    <col min="17" max="17" width="13" customWidth="1"/>
    <col min="18" max="18" width="15.28515625" bestFit="1" customWidth="1"/>
    <col min="19" max="19" width="14" customWidth="1"/>
    <col min="21" max="21" width="31" customWidth="1"/>
    <col min="22" max="23" width="12" customWidth="1"/>
    <col min="24" max="24" width="10.28515625" customWidth="1"/>
    <col min="25" max="25" width="9.85546875" customWidth="1"/>
    <col min="26" max="26" width="18" customWidth="1"/>
    <col min="27" max="27" width="12.7109375" customWidth="1"/>
    <col min="28" max="28" width="89.140625" customWidth="1"/>
    <col min="32" max="32" width="14.140625" customWidth="1"/>
    <col min="33" max="33" width="13.7109375" customWidth="1"/>
    <col min="34" max="34" width="20.140625" customWidth="1"/>
    <col min="38" max="38" width="13.28515625" bestFit="1" customWidth="1"/>
    <col min="39" max="39" width="12.85546875" customWidth="1"/>
    <col min="40" max="40" width="10.85546875" customWidth="1"/>
    <col min="41" max="41" width="10" customWidth="1"/>
    <col min="42" max="42" width="10.85546875" customWidth="1"/>
    <col min="43" max="43" width="11.5703125" customWidth="1"/>
    <col min="46" max="46" width="5.85546875" customWidth="1"/>
    <col min="47" max="47" width="13" customWidth="1"/>
    <col min="48" max="48" width="12" customWidth="1"/>
    <col min="49" max="51" width="11.140625" customWidth="1"/>
    <col min="53" max="53" width="13.28515625" customWidth="1"/>
  </cols>
  <sheetData>
    <row r="2" spans="2:28" ht="18.75">
      <c r="B2" s="1253" t="s">
        <v>387</v>
      </c>
    </row>
    <row r="3" spans="2:28">
      <c r="B3" s="152" t="s">
        <v>427</v>
      </c>
      <c r="D3" s="254">
        <f>'Direct End use'!F41</f>
        <v>13668.77336527029</v>
      </c>
      <c r="E3" s="152" t="s">
        <v>388</v>
      </c>
      <c r="F3" s="152"/>
      <c r="G3" s="152"/>
    </row>
    <row r="4" spans="2:28">
      <c r="B4" t="str">
        <f>Input!B11</f>
        <v>On-site Peak Shaving</v>
      </c>
      <c r="D4" s="148">
        <f>'Direct End use'!F21</f>
        <v>150.9606669505759</v>
      </c>
      <c r="E4" t="s">
        <v>388</v>
      </c>
      <c r="AB4" s="152"/>
    </row>
    <row r="5" spans="2:28">
      <c r="B5" t="s">
        <v>426</v>
      </c>
      <c r="D5" s="148">
        <f>'Direct End use'!F41-'Direct End use'!F21</f>
        <v>13517.812698319714</v>
      </c>
      <c r="E5" t="s">
        <v>388</v>
      </c>
      <c r="AB5" s="152"/>
    </row>
    <row r="6" spans="2:28">
      <c r="AB6" s="152"/>
    </row>
    <row r="7" spans="2:28">
      <c r="B7" s="147" t="s">
        <v>384</v>
      </c>
      <c r="H7" s="147" t="s">
        <v>451</v>
      </c>
      <c r="M7" s="147" t="s">
        <v>370</v>
      </c>
      <c r="AB7" s="152"/>
    </row>
    <row r="8" spans="2:28">
      <c r="B8" t="s">
        <v>433</v>
      </c>
      <c r="D8" s="327">
        <f>Input!C29</f>
        <v>8520</v>
      </c>
      <c r="E8" t="s">
        <v>378</v>
      </c>
      <c r="H8" t="s">
        <v>433</v>
      </c>
      <c r="J8" s="327">
        <f>Input!C30</f>
        <v>8760</v>
      </c>
      <c r="K8" t="s">
        <v>378</v>
      </c>
      <c r="M8" t="s">
        <v>433</v>
      </c>
      <c r="O8" s="328">
        <f>Input!C31</f>
        <v>60</v>
      </c>
      <c r="P8" t="s">
        <v>378</v>
      </c>
      <c r="AB8" s="152"/>
    </row>
    <row r="9" spans="2:28">
      <c r="B9" t="s">
        <v>391</v>
      </c>
      <c r="D9" s="1144">
        <f>Input!D37</f>
        <v>18</v>
      </c>
      <c r="E9" t="s">
        <v>422</v>
      </c>
      <c r="H9" t="s">
        <v>434</v>
      </c>
      <c r="J9" s="260">
        <f>IF(scenario="B",2,1)*40417</f>
        <v>80834</v>
      </c>
      <c r="K9" t="s">
        <v>435</v>
      </c>
      <c r="M9" t="s">
        <v>1354</v>
      </c>
      <c r="O9" s="1192">
        <f>Input!D42</f>
        <v>66</v>
      </c>
      <c r="P9" t="s">
        <v>422</v>
      </c>
      <c r="AB9" s="152"/>
    </row>
    <row r="10" spans="2:28">
      <c r="D10" s="258">
        <f>D9*J19</f>
        <v>153360</v>
      </c>
      <c r="E10" t="s">
        <v>429</v>
      </c>
      <c r="H10" t="s">
        <v>1209</v>
      </c>
      <c r="J10" s="169">
        <f>Input!D39</f>
        <v>71.2</v>
      </c>
      <c r="K10" t="s">
        <v>422</v>
      </c>
      <c r="M10" s="169" t="s">
        <v>379</v>
      </c>
      <c r="O10" s="261">
        <f>O8*O9</f>
        <v>3960</v>
      </c>
      <c r="P10" s="259" t="s">
        <v>1706</v>
      </c>
      <c r="AB10" s="152"/>
    </row>
    <row r="11" spans="2:28">
      <c r="B11" t="s">
        <v>392</v>
      </c>
      <c r="D11" s="1144">
        <f>Input!D38</f>
        <v>3.2</v>
      </c>
      <c r="E11" t="s">
        <v>422</v>
      </c>
      <c r="H11" s="152" t="s">
        <v>437</v>
      </c>
      <c r="I11" s="152"/>
      <c r="J11" s="254">
        <f>J10*J8</f>
        <v>623712</v>
      </c>
      <c r="K11" s="152" t="s">
        <v>454</v>
      </c>
      <c r="M11" t="s">
        <v>446</v>
      </c>
      <c r="O11" s="1195">
        <f>Input!C52/1000</f>
        <v>4.4999999999999998E-2</v>
      </c>
      <c r="P11" s="259" t="s">
        <v>377</v>
      </c>
      <c r="AB11" s="152"/>
    </row>
    <row r="12" spans="2:28">
      <c r="D12" s="258">
        <f>D11*J19</f>
        <v>27264</v>
      </c>
      <c r="E12" t="s">
        <v>429</v>
      </c>
      <c r="H12" t="s">
        <v>455</v>
      </c>
      <c r="O12" s="262">
        <f>O11*Fuel_Specs!C25/1000000</f>
        <v>3.4720008976329357E-3</v>
      </c>
      <c r="P12" s="259" t="s">
        <v>1705</v>
      </c>
      <c r="AB12" s="152"/>
    </row>
    <row r="13" spans="2:28">
      <c r="B13" s="152" t="s">
        <v>450</v>
      </c>
      <c r="C13" s="152"/>
      <c r="D13" s="1193">
        <f>D10+D12</f>
        <v>180624</v>
      </c>
      <c r="E13" s="152" t="s">
        <v>429</v>
      </c>
      <c r="F13" s="152"/>
      <c r="P13" t="s">
        <v>548</v>
      </c>
      <c r="AB13" s="152"/>
    </row>
    <row r="14" spans="2:28">
      <c r="B14" t="s">
        <v>457</v>
      </c>
      <c r="D14" s="217">
        <f>Input!D48</f>
        <v>0.99760000000000004</v>
      </c>
      <c r="G14" s="257"/>
      <c r="AB14" s="152"/>
    </row>
    <row r="15" spans="2:28">
      <c r="AB15" s="152"/>
    </row>
    <row r="16" spans="2:28">
      <c r="AB16" s="152"/>
    </row>
    <row r="17" spans="2:47">
      <c r="B17" s="147" t="s">
        <v>444</v>
      </c>
      <c r="H17" s="147" t="s">
        <v>376</v>
      </c>
      <c r="M17" s="147" t="s">
        <v>448</v>
      </c>
      <c r="AB17" s="152"/>
    </row>
    <row r="18" spans="2:47">
      <c r="B18" t="s">
        <v>531</v>
      </c>
      <c r="H18" t="s">
        <v>445</v>
      </c>
      <c r="J18">
        <v>1.35</v>
      </c>
      <c r="K18" t="s">
        <v>443</v>
      </c>
      <c r="N18" t="s">
        <v>342</v>
      </c>
      <c r="AB18" s="152"/>
    </row>
    <row r="19" spans="2:47">
      <c r="B19" t="s">
        <v>433</v>
      </c>
      <c r="D19" s="327">
        <f>Input!C32</f>
        <v>500</v>
      </c>
      <c r="E19" t="s">
        <v>378</v>
      </c>
      <c r="H19" t="s">
        <v>389</v>
      </c>
      <c r="J19" s="327">
        <f>Input!C28</f>
        <v>8520</v>
      </c>
      <c r="K19" t="s">
        <v>390</v>
      </c>
      <c r="M19" t="s">
        <v>447</v>
      </c>
      <c r="N19" s="153">
        <f>Fugitives!N58</f>
        <v>7.5621711258278141</v>
      </c>
      <c r="AB19" s="152"/>
    </row>
    <row r="20" spans="2:47">
      <c r="B20" t="s">
        <v>196</v>
      </c>
      <c r="D20" s="260">
        <v>1500</v>
      </c>
      <c r="E20" t="s">
        <v>440</v>
      </c>
      <c r="AB20" s="152"/>
    </row>
    <row r="21" spans="2:47">
      <c r="B21" t="s">
        <v>459</v>
      </c>
      <c r="D21" s="148">
        <f>D19*D20</f>
        <v>750000</v>
      </c>
      <c r="E21" t="s">
        <v>460</v>
      </c>
      <c r="AB21" s="152"/>
    </row>
    <row r="22" spans="2:47">
      <c r="B22" t="s">
        <v>528</v>
      </c>
      <c r="D22" s="169">
        <f>Input!D44</f>
        <v>104.6</v>
      </c>
      <c r="E22" t="s">
        <v>529</v>
      </c>
      <c r="F22" s="257"/>
      <c r="AB22" s="152"/>
    </row>
    <row r="23" spans="2:47">
      <c r="D23" s="148">
        <f>D22*D19</f>
        <v>52300</v>
      </c>
      <c r="E23" t="s">
        <v>530</v>
      </c>
      <c r="AB23" s="152"/>
    </row>
    <row r="24" spans="2:47">
      <c r="D24" s="148">
        <f>D23*Fuel_Specs!C14/1000000</f>
        <v>6666.3420635893117</v>
      </c>
      <c r="E24" t="s">
        <v>429</v>
      </c>
      <c r="AB24" s="152"/>
    </row>
    <row r="25" spans="2:47">
      <c r="D25" s="410">
        <f>D24*1000/BtuperMJ/Fuel_Specs!N14</f>
        <v>164.31967206051402</v>
      </c>
      <c r="E25" t="s">
        <v>342</v>
      </c>
      <c r="AB25" s="152"/>
    </row>
    <row r="26" spans="2:47" ht="21">
      <c r="AB26" s="152"/>
      <c r="AG26" s="1098" t="s">
        <v>1721</v>
      </c>
      <c r="AI26" s="153"/>
      <c r="AM26" t="s">
        <v>1734</v>
      </c>
    </row>
    <row r="27" spans="2:47">
      <c r="D27" s="1464"/>
      <c r="E27" s="1464"/>
      <c r="F27" s="1464"/>
      <c r="G27" s="1464"/>
      <c r="H27" s="1464"/>
      <c r="I27" s="1464"/>
      <c r="J27" s="1464"/>
      <c r="K27" s="1464"/>
      <c r="L27" s="1464"/>
      <c r="M27" s="1464"/>
      <c r="N27" s="1464"/>
      <c r="O27" s="1464"/>
      <c r="P27" s="1464"/>
      <c r="Q27" s="1464"/>
      <c r="R27" s="1464"/>
      <c r="S27" s="1464"/>
      <c r="AB27" s="152"/>
      <c r="AG27" t="s">
        <v>339</v>
      </c>
      <c r="AO27" s="155"/>
    </row>
    <row r="28" spans="2:47" ht="18">
      <c r="D28" s="1464"/>
      <c r="E28" s="1464"/>
      <c r="F28" s="1464"/>
      <c r="G28" s="1464"/>
      <c r="H28" s="1464"/>
      <c r="I28" s="1464"/>
      <c r="J28" s="1464"/>
      <c r="K28" s="1464"/>
      <c r="L28" s="1464"/>
      <c r="M28" s="1464"/>
      <c r="N28" s="1464"/>
      <c r="O28" s="1464"/>
      <c r="P28" s="1464"/>
      <c r="Q28" s="1464"/>
      <c r="R28" s="1464"/>
      <c r="S28" s="1464"/>
      <c r="AB28" s="152"/>
      <c r="AG28" s="1460">
        <f>D25</f>
        <v>164.31967206051402</v>
      </c>
      <c r="AH28" t="s">
        <v>442</v>
      </c>
      <c r="AI28" t="s">
        <v>1102</v>
      </c>
      <c r="AO28" s="240" t="s">
        <v>1103</v>
      </c>
      <c r="AP28" s="1460">
        <f>AP34+AI36+AP51+AL36+AI29+AU33</f>
        <v>97412.048677004845</v>
      </c>
      <c r="AQ28" t="s">
        <v>1104</v>
      </c>
    </row>
    <row r="29" spans="2:47" ht="18">
      <c r="D29" s="1464"/>
      <c r="E29" s="1464"/>
      <c r="F29" s="1464"/>
      <c r="G29" s="1464"/>
      <c r="H29" s="1464"/>
      <c r="I29" s="1464"/>
      <c r="J29" s="1464"/>
      <c r="K29" s="1464"/>
      <c r="L29" s="1464"/>
      <c r="M29" s="1464"/>
      <c r="N29" s="1464"/>
      <c r="O29" s="1464"/>
      <c r="P29" s="1464"/>
      <c r="Q29" s="1464"/>
      <c r="R29" s="1464"/>
      <c r="S29" s="1464"/>
      <c r="AB29" s="152"/>
      <c r="AG29" s="1468">
        <f>AG28*Fuel_Specs!F14</f>
        <v>142.13651633234463</v>
      </c>
      <c r="AH29" t="s">
        <v>202</v>
      </c>
      <c r="AI29" s="1460">
        <f>I75</f>
        <v>523.11826437764432</v>
      </c>
      <c r="AJ29" t="s">
        <v>1104</v>
      </c>
      <c r="AP29" s="1468">
        <f>AP28*12/44</f>
        <v>26566.922366455863</v>
      </c>
      <c r="AQ29" t="s">
        <v>202</v>
      </c>
    </row>
    <row r="30" spans="2:47">
      <c r="D30" s="1464"/>
      <c r="E30" s="1464"/>
      <c r="F30" s="1464"/>
      <c r="G30" s="1464"/>
      <c r="H30" s="1464"/>
      <c r="I30" s="1464"/>
      <c r="J30" s="1464"/>
      <c r="K30" s="1464"/>
      <c r="L30" s="1464"/>
      <c r="M30" s="1464"/>
      <c r="N30" s="1464"/>
      <c r="O30" s="1464"/>
      <c r="P30" s="1464"/>
      <c r="Q30" s="1464"/>
      <c r="R30" s="1464"/>
      <c r="S30" s="1464"/>
      <c r="AB30" s="152"/>
      <c r="AG30" s="1458">
        <f>D24/1000</f>
        <v>6.6663420635893118</v>
      </c>
      <c r="AH30" t="s">
        <v>432</v>
      </c>
      <c r="AI30" s="1468">
        <f>AI29*12/44</f>
        <v>142.66861755753936</v>
      </c>
      <c r="AJ30" t="s">
        <v>202</v>
      </c>
    </row>
    <row r="31" spans="2:47" ht="15.75" thickBot="1">
      <c r="D31" s="1464"/>
      <c r="E31" s="1464"/>
      <c r="F31" s="1464"/>
      <c r="G31" s="1464"/>
      <c r="H31" s="1464"/>
      <c r="I31" s="1464"/>
      <c r="J31" s="1464"/>
      <c r="K31" s="1464"/>
      <c r="L31" s="1464"/>
      <c r="M31" s="1464"/>
      <c r="N31" s="1464"/>
      <c r="O31" s="1464"/>
      <c r="P31" s="1464"/>
      <c r="Q31" s="1464"/>
      <c r="R31" s="1464"/>
      <c r="S31" s="1464"/>
      <c r="AB31" s="152"/>
      <c r="AU31" t="s">
        <v>51</v>
      </c>
    </row>
    <row r="32" spans="2:47">
      <c r="D32" s="1464"/>
      <c r="E32" s="1464"/>
      <c r="F32" s="1464"/>
      <c r="G32" s="1464"/>
      <c r="H32" s="1464"/>
      <c r="I32" s="1464"/>
      <c r="J32" s="1464"/>
      <c r="K32" s="1464"/>
      <c r="L32" s="1464"/>
      <c r="M32" s="1464"/>
      <c r="N32" s="1464"/>
      <c r="O32" s="1464"/>
      <c r="P32" s="1464"/>
      <c r="Q32" s="1464"/>
      <c r="R32" s="1464"/>
      <c r="S32" s="1464"/>
      <c r="AB32" s="152"/>
      <c r="AH32" s="1891" t="s">
        <v>441</v>
      </c>
      <c r="AU32" t="str">
        <f>IF(Input!C24="NO","Product","Flared")</f>
        <v>Flared</v>
      </c>
    </row>
    <row r="33" spans="4:54" ht="22.5" customHeight="1" thickBot="1">
      <c r="D33" s="1464"/>
      <c r="E33" s="1464"/>
      <c r="F33" s="1464"/>
      <c r="G33" s="1464"/>
      <c r="H33" s="1464"/>
      <c r="I33" s="1464"/>
      <c r="J33" s="1464"/>
      <c r="K33" s="1464"/>
      <c r="L33" s="1464"/>
      <c r="M33" s="1464"/>
      <c r="N33" s="1464"/>
      <c r="O33" s="1464"/>
      <c r="P33" s="1464"/>
      <c r="Q33" s="1464"/>
      <c r="R33" s="1464"/>
      <c r="S33" s="1464"/>
      <c r="T33" s="1464" t="s">
        <v>1489</v>
      </c>
      <c r="U33" s="1464"/>
      <c r="V33" s="1464"/>
      <c r="W33" s="1470"/>
      <c r="X33" s="1464"/>
      <c r="Y33" s="1464"/>
      <c r="Z33" s="1464"/>
      <c r="AA33" s="1464" t="s">
        <v>1490</v>
      </c>
      <c r="AB33" s="1471"/>
      <c r="AC33" s="1464"/>
      <c r="AD33" s="1464"/>
      <c r="AE33" s="1464"/>
      <c r="AH33" s="1892"/>
      <c r="AM33" s="144"/>
      <c r="AP33" t="s">
        <v>1239</v>
      </c>
      <c r="AT33" s="1459"/>
      <c r="AU33" s="1460">
        <f>IF(Input!C24="YES",'PSE LNG Operations'!F74,0)</f>
        <v>26805.558983901479</v>
      </c>
      <c r="AV33" t="s">
        <v>1104</v>
      </c>
      <c r="AZ33" t="s">
        <v>855</v>
      </c>
    </row>
    <row r="34" spans="4:54" ht="18" customHeight="1">
      <c r="D34" s="1464"/>
      <c r="E34" s="1464"/>
      <c r="F34" s="1464"/>
      <c r="G34" s="1464"/>
      <c r="H34" s="1464"/>
      <c r="I34" s="1464"/>
      <c r="J34" s="1464"/>
      <c r="K34" s="1464"/>
      <c r="L34" s="1464"/>
      <c r="M34" s="1464"/>
      <c r="N34" s="1464"/>
      <c r="O34" s="1464"/>
      <c r="P34" s="1464"/>
      <c r="Q34" s="1464"/>
      <c r="R34" s="1464"/>
      <c r="S34" s="1464"/>
      <c r="AB34" s="152"/>
      <c r="AL34" t="s">
        <v>479</v>
      </c>
      <c r="AM34" s="144"/>
      <c r="AP34" s="1460">
        <f>AP35*CO2_MW/C_MW</f>
        <v>57415.879957420279</v>
      </c>
      <c r="AQ34" t="s">
        <v>1104</v>
      </c>
      <c r="AT34" s="1459"/>
      <c r="AU34" s="1460">
        <f>AM41*Input!G133/Input!C133</f>
        <v>8910.5181361290215</v>
      </c>
      <c r="AV34" t="s">
        <v>386</v>
      </c>
      <c r="AZ34" s="1465">
        <f>Input!D57/AU51</f>
        <v>6.2208746262041466</v>
      </c>
    </row>
    <row r="35" spans="4:54" ht="19.5">
      <c r="D35" s="1464"/>
      <c r="E35" s="1464"/>
      <c r="F35" s="1464"/>
      <c r="G35" s="1464"/>
      <c r="H35" s="1464"/>
      <c r="I35" s="1464"/>
      <c r="J35" s="1464"/>
      <c r="K35" s="1464"/>
      <c r="L35" s="1464"/>
      <c r="M35" s="1464"/>
      <c r="N35" s="1464"/>
      <c r="O35" s="1464"/>
      <c r="P35" s="1464"/>
      <c r="Q35" s="1464"/>
      <c r="R35" s="1464"/>
      <c r="S35" s="1464"/>
      <c r="U35" s="1252" t="s">
        <v>1332</v>
      </c>
      <c r="AB35" s="152"/>
      <c r="AI35" t="s">
        <v>1347</v>
      </c>
      <c r="AL35" t="s">
        <v>1105</v>
      </c>
      <c r="AP35" s="1468">
        <f>AG40-AU35-AU42-AU47-AP52-AI51-AL37-AI38</f>
        <v>15673.301924933867</v>
      </c>
      <c r="AQ35" t="s">
        <v>202</v>
      </c>
      <c r="AT35" s="1459"/>
      <c r="AU35" s="1468">
        <f>Fuel_Specs!F24*'PSE LNG Operations'!AU34</f>
        <v>7289.3002202945354</v>
      </c>
      <c r="AV35" t="s">
        <v>202</v>
      </c>
    </row>
    <row r="36" spans="4:54" ht="18" customHeight="1" thickBot="1">
      <c r="D36" s="1464"/>
      <c r="E36" s="1464"/>
      <c r="F36" s="1464"/>
      <c r="G36" s="1464"/>
      <c r="H36" s="1464"/>
      <c r="I36" s="1464"/>
      <c r="J36" s="1464"/>
      <c r="K36" s="1464"/>
      <c r="L36" s="1464"/>
      <c r="M36" s="1464"/>
      <c r="N36" s="1464"/>
      <c r="O36" s="1464"/>
      <c r="P36" s="1464"/>
      <c r="Q36" s="1464"/>
      <c r="R36" s="1464"/>
      <c r="S36" s="1464"/>
      <c r="U36" s="932"/>
      <c r="V36" s="1909" t="s">
        <v>485</v>
      </c>
      <c r="W36" s="1909"/>
      <c r="X36" s="1114" t="s">
        <v>1331</v>
      </c>
      <c r="Y36" s="1114" t="s">
        <v>213</v>
      </c>
      <c r="Z36" s="1103" t="s">
        <v>472</v>
      </c>
      <c r="AA36" s="932"/>
      <c r="AB36" s="932"/>
      <c r="AI36" s="1460">
        <f>F72</f>
        <v>10713.005417040165</v>
      </c>
      <c r="AJ36" t="s">
        <v>1104</v>
      </c>
      <c r="AL36" s="1460">
        <f>F76</f>
        <v>1719.6141576652828</v>
      </c>
      <c r="AM36" t="s">
        <v>1104</v>
      </c>
      <c r="AP36" s="1458">
        <f>AP35/AU35*AU36</f>
        <v>838.06716265727073</v>
      </c>
      <c r="AQ36" t="s">
        <v>345</v>
      </c>
      <c r="AT36" s="1459"/>
      <c r="AU36" s="1458">
        <f>AU34*1000*Fuel_Specs!N24*BtuperMJ/1000000000</f>
        <v>389.76618855666152</v>
      </c>
      <c r="AV36" t="s">
        <v>345</v>
      </c>
    </row>
    <row r="37" spans="4:54" ht="20.25" customHeight="1">
      <c r="D37" s="1464"/>
      <c r="E37" s="1464"/>
      <c r="F37" s="1464"/>
      <c r="G37" s="1464"/>
      <c r="H37" s="1464"/>
      <c r="I37" s="1464"/>
      <c r="J37" s="1464"/>
      <c r="K37" s="1464"/>
      <c r="L37" s="1464"/>
      <c r="M37" s="1464"/>
      <c r="N37" s="1464"/>
      <c r="O37" s="1464"/>
      <c r="P37" s="1464"/>
      <c r="Q37" s="1464"/>
      <c r="R37" s="1464"/>
      <c r="S37" s="1464"/>
      <c r="U37" s="152"/>
      <c r="V37" s="150" t="s">
        <v>478</v>
      </c>
      <c r="W37" s="150" t="s">
        <v>471</v>
      </c>
      <c r="X37" s="150" t="s">
        <v>471</v>
      </c>
      <c r="Y37" s="150" t="s">
        <v>471</v>
      </c>
      <c r="Z37" s="933" t="s">
        <v>471</v>
      </c>
      <c r="AA37" s="933" t="s">
        <v>475</v>
      </c>
      <c r="AB37" s="933" t="s">
        <v>20</v>
      </c>
      <c r="AI37" s="1460">
        <f>AI38/Fuel_Specs!F47</f>
        <v>3884.0172235880732</v>
      </c>
      <c r="AJ37" t="s">
        <v>385</v>
      </c>
      <c r="AL37" s="1468">
        <f>AL36*12/44</f>
        <v>468.98567936325895</v>
      </c>
      <c r="AM37" t="s">
        <v>202</v>
      </c>
      <c r="AO37" s="1914" t="s">
        <v>369</v>
      </c>
      <c r="AP37" s="1905"/>
      <c r="AT37" s="1459"/>
    </row>
    <row r="38" spans="4:54" ht="15.75" customHeight="1" thickBot="1">
      <c r="D38" s="1464"/>
      <c r="E38" s="1464"/>
      <c r="F38" s="1464"/>
      <c r="G38" s="1464"/>
      <c r="H38" s="1464"/>
      <c r="I38" s="1464"/>
      <c r="J38" s="1464"/>
      <c r="K38" s="1464"/>
      <c r="L38" s="1464"/>
      <c r="M38" s="1464"/>
      <c r="N38" s="1464"/>
      <c r="O38" s="1464"/>
      <c r="P38" s="1464"/>
      <c r="Q38" s="1464"/>
      <c r="R38" s="1464"/>
      <c r="S38" s="1464"/>
      <c r="U38" s="276"/>
      <c r="V38" s="276"/>
      <c r="W38" s="276"/>
      <c r="X38" s="276"/>
      <c r="Y38" s="276"/>
      <c r="Z38" s="665"/>
      <c r="AA38" s="276"/>
      <c r="AB38" s="276"/>
      <c r="AG38" t="s">
        <v>1432</v>
      </c>
      <c r="AI38" s="1468">
        <f>AI36*12/44</f>
        <v>2921.7287501018636</v>
      </c>
      <c r="AJ38" t="s">
        <v>202</v>
      </c>
      <c r="AO38" s="1906"/>
      <c r="AP38" s="1907"/>
      <c r="AR38" s="1893"/>
      <c r="AT38" s="1459"/>
      <c r="AY38" s="148">
        <f>AU34*$AZ$34</f>
        <v>55431.216179376897</v>
      </c>
      <c r="AZ38" s="1466" t="s">
        <v>478</v>
      </c>
    </row>
    <row r="39" spans="4:54" ht="15.75" customHeight="1" thickTop="1">
      <c r="D39" s="1464"/>
      <c r="E39" s="1464"/>
      <c r="F39" s="1464"/>
      <c r="G39" s="1464"/>
      <c r="H39" s="1464"/>
      <c r="I39" s="1464"/>
      <c r="J39" s="1464"/>
      <c r="K39" s="1464"/>
      <c r="L39" s="1464"/>
      <c r="M39" s="1464"/>
      <c r="N39" s="1464"/>
      <c r="O39" s="1464"/>
      <c r="P39" s="1464"/>
      <c r="Q39" s="1464"/>
      <c r="R39" s="1464"/>
      <c r="S39" s="1464"/>
      <c r="U39" s="147" t="s">
        <v>476</v>
      </c>
      <c r="Z39" s="152"/>
      <c r="AB39" s="208"/>
      <c r="AG39" s="1460">
        <f>Input!C57*Input!D28/lbperkg/1000</f>
        <v>326238.97759230703</v>
      </c>
      <c r="AH39" t="s">
        <v>385</v>
      </c>
      <c r="AI39" s="1458">
        <f>AI37*1000*Fuel_Specs!$N$47*BtuperMJ/1000000000</f>
        <v>180.44759508834932</v>
      </c>
      <c r="AJ39" t="s">
        <v>432</v>
      </c>
      <c r="AK39" s="178"/>
      <c r="AO39" s="240"/>
      <c r="AP39" s="240"/>
      <c r="AR39" s="1893"/>
      <c r="AT39" s="1459"/>
      <c r="AZ39" s="1466"/>
    </row>
    <row r="40" spans="4:54" ht="18" customHeight="1" thickBot="1">
      <c r="D40" s="1464"/>
      <c r="E40" s="1464"/>
      <c r="F40" s="1464"/>
      <c r="G40" s="1464"/>
      <c r="H40" s="1464"/>
      <c r="I40" s="1464"/>
      <c r="J40" s="1464"/>
      <c r="K40" s="1464"/>
      <c r="L40" s="1464"/>
      <c r="M40" s="1464"/>
      <c r="N40" s="1464"/>
      <c r="O40" s="1464"/>
      <c r="P40" s="1464"/>
      <c r="Q40" s="1464"/>
      <c r="R40" s="1464"/>
      <c r="S40" s="1464"/>
      <c r="U40" t="s">
        <v>477</v>
      </c>
      <c r="V40" s="1130">
        <f>Input!C57</f>
        <v>2025990</v>
      </c>
      <c r="W40" s="148">
        <f>AG39</f>
        <v>326238.97759230703</v>
      </c>
      <c r="Z40" s="254">
        <f>AG40</f>
        <v>245411.321671413</v>
      </c>
      <c r="AA40" s="148"/>
      <c r="AB40" s="183"/>
      <c r="AG40" s="1468">
        <f>AG39*Input!C88</f>
        <v>245411.321671413</v>
      </c>
      <c r="AH40" t="s">
        <v>202</v>
      </c>
      <c r="AJ40" s="178"/>
      <c r="AR40" s="1893"/>
      <c r="AS40" s="148"/>
      <c r="AT40" s="1459"/>
      <c r="AU40" t="s">
        <v>333</v>
      </c>
      <c r="AY40" s="148"/>
      <c r="AZ40" s="1466"/>
    </row>
    <row r="41" spans="4:54" ht="15.75" customHeight="1" thickBot="1">
      <c r="D41" s="1464"/>
      <c r="E41" s="1464"/>
      <c r="F41" s="1464"/>
      <c r="G41" s="1464"/>
      <c r="H41" s="1464"/>
      <c r="I41" s="1464"/>
      <c r="J41" s="1464"/>
      <c r="K41" s="1464"/>
      <c r="L41" s="1464"/>
      <c r="M41" s="1464"/>
      <c r="N41" s="1464"/>
      <c r="O41" s="1464"/>
      <c r="P41" s="1464"/>
      <c r="Q41" s="1464"/>
      <c r="R41" s="1464"/>
      <c r="S41" s="1464"/>
      <c r="U41" s="152" t="s">
        <v>482</v>
      </c>
      <c r="V41" s="148">
        <f>SUM(V40)</f>
        <v>2025990</v>
      </c>
      <c r="W41" s="148">
        <f>SUM(W40:W40)</f>
        <v>326238.97759230703</v>
      </c>
      <c r="Z41" s="254">
        <f>SUM(Z40:Z40)</f>
        <v>245411.321671413</v>
      </c>
      <c r="AB41" s="183"/>
      <c r="AG41" s="1458">
        <f>AG39*1000*Fuel_Specs!$N$47*BtuperMJ/1000000000</f>
        <v>15156.739927180392</v>
      </c>
      <c r="AH41" t="s">
        <v>432</v>
      </c>
      <c r="AJ41" s="1894" t="s">
        <v>384</v>
      </c>
      <c r="AK41" s="1895"/>
      <c r="AL41" s="1896"/>
      <c r="AM41" s="1343">
        <f>AG39-AI37</f>
        <v>322354.96036871895</v>
      </c>
      <c r="AN41" t="s">
        <v>385</v>
      </c>
      <c r="AO41" s="1915" t="s">
        <v>854</v>
      </c>
      <c r="AP41" s="1916"/>
      <c r="AQ41" t="s">
        <v>202</v>
      </c>
      <c r="AT41" s="1459"/>
      <c r="AU41" s="1460">
        <f>AU43*JperBtu/Fuel_Specs!N25</f>
        <v>288382.52526004851</v>
      </c>
      <c r="AV41" t="s">
        <v>428</v>
      </c>
      <c r="AY41" s="148">
        <f>AG39*$AZ$34</f>
        <v>2029491.7777827659</v>
      </c>
      <c r="AZ41" s="1466" t="s">
        <v>478</v>
      </c>
      <c r="BA41" s="148">
        <f>Upstream!C15</f>
        <v>2025990</v>
      </c>
      <c r="BB41" t="s">
        <v>1483</v>
      </c>
    </row>
    <row r="42" spans="4:54" ht="15.75" customHeight="1">
      <c r="D42" s="1464"/>
      <c r="E42" s="1464"/>
      <c r="F42" s="1464"/>
      <c r="G42" s="1464"/>
      <c r="H42" s="1464"/>
      <c r="I42" s="1464"/>
      <c r="J42" s="1464"/>
      <c r="K42" s="1464"/>
      <c r="L42" s="1464"/>
      <c r="M42" s="1464"/>
      <c r="N42" s="1464"/>
      <c r="O42" s="1464"/>
      <c r="P42" s="1464"/>
      <c r="Q42" s="1464"/>
      <c r="R42" s="1464"/>
      <c r="S42" s="1464"/>
      <c r="U42" s="275" t="s">
        <v>470</v>
      </c>
      <c r="V42" s="275"/>
      <c r="W42" s="166"/>
      <c r="X42" s="166"/>
      <c r="Y42" s="166"/>
      <c r="Z42" s="932"/>
      <c r="AA42" s="166"/>
      <c r="AB42" s="183"/>
      <c r="AJ42" s="1897"/>
      <c r="AK42" s="1898"/>
      <c r="AL42" s="1899"/>
      <c r="AO42" s="1917"/>
      <c r="AP42" s="1918"/>
      <c r="AQ42" s="1468">
        <f>AM43-AP35-AU35</f>
        <v>219052.33346837512</v>
      </c>
      <c r="AR42" s="1904" t="s">
        <v>383</v>
      </c>
      <c r="AS42" s="1905"/>
      <c r="AT42" s="1459"/>
      <c r="AU42" s="1468">
        <f>AU41*Fuel_Specs!F25</f>
        <v>216569.66880069335</v>
      </c>
      <c r="AV42" t="s">
        <v>202</v>
      </c>
      <c r="AY42" s="148">
        <f>AU41*$AZ$34</f>
        <v>1793991.5340309122</v>
      </c>
      <c r="AZ42" s="1466" t="s">
        <v>478</v>
      </c>
      <c r="BA42" s="1465">
        <f>BA41/BA52</f>
        <v>1.1168472778229199</v>
      </c>
      <c r="BB42" t="s">
        <v>1486</v>
      </c>
    </row>
    <row r="43" spans="4:54" ht="15.75" customHeight="1" thickBot="1">
      <c r="D43" s="1464"/>
      <c r="E43" s="1464"/>
      <c r="F43" s="1464"/>
      <c r="G43" s="1464"/>
      <c r="H43" s="1464"/>
      <c r="I43" s="1464"/>
      <c r="J43" s="1464"/>
      <c r="K43" s="1464"/>
      <c r="L43" s="1464"/>
      <c r="M43" s="1464"/>
      <c r="N43" s="1464"/>
      <c r="O43" s="1464"/>
      <c r="P43" s="1464"/>
      <c r="Q43" s="1464"/>
      <c r="R43" s="1464"/>
      <c r="S43" s="1464"/>
      <c r="U43" t="s">
        <v>480</v>
      </c>
      <c r="V43" s="148">
        <f>W43*$AZ$34</f>
        <v>0</v>
      </c>
      <c r="W43" s="148">
        <f>IF(Input!C24="NO",AU34,0)</f>
        <v>0</v>
      </c>
      <c r="Z43" s="254">
        <f>IF(Input!C24="NO",AU35,0)</f>
        <v>0</v>
      </c>
      <c r="AA43" s="150" t="s">
        <v>362</v>
      </c>
      <c r="AB43" s="183"/>
      <c r="AJ43" s="1900"/>
      <c r="AK43" s="1901"/>
      <c r="AL43" s="1902"/>
      <c r="AM43" s="1468">
        <f>AG40-AI38-AL37-AI51</f>
        <v>242014.93561360351</v>
      </c>
      <c r="AN43" s="183" t="s">
        <v>202</v>
      </c>
      <c r="AO43" s="1919"/>
      <c r="AP43" s="1920"/>
      <c r="AR43" s="1906"/>
      <c r="AS43" s="1907"/>
      <c r="AT43" s="1459"/>
      <c r="AU43" s="1458">
        <f>D5</f>
        <v>13517.812698319714</v>
      </c>
      <c r="AV43" t="s">
        <v>345</v>
      </c>
      <c r="AZ43" s="1466"/>
      <c r="BA43" s="1465">
        <f>(AG39)/(AU51+AP52/Fuel_Specs!F25)</f>
        <v>1.1184502100248208</v>
      </c>
      <c r="BB43" t="s">
        <v>1485</v>
      </c>
    </row>
    <row r="44" spans="4:54" ht="15" customHeight="1">
      <c r="D44" s="1464"/>
      <c r="E44" s="1464"/>
      <c r="F44" s="1464"/>
      <c r="G44" s="1464"/>
      <c r="H44" s="1464"/>
      <c r="I44" s="1464"/>
      <c r="J44" s="1464"/>
      <c r="K44" s="1464"/>
      <c r="L44" s="1464"/>
      <c r="M44" s="1464"/>
      <c r="N44" s="1464"/>
      <c r="O44" s="1464"/>
      <c r="P44" s="1464"/>
      <c r="Q44" s="1464"/>
      <c r="R44" s="1464"/>
      <c r="S44" s="1464"/>
      <c r="U44" t="s">
        <v>333</v>
      </c>
      <c r="V44" s="148">
        <f>W44*$AZ$34</f>
        <v>1814026</v>
      </c>
      <c r="W44" s="148">
        <f>AU51</f>
        <v>291603.04764201341</v>
      </c>
      <c r="Z44" s="254">
        <f>AU52</f>
        <v>218988.21848569394</v>
      </c>
      <c r="AB44" s="183"/>
      <c r="AM44" s="183"/>
      <c r="AN44" s="183"/>
      <c r="AO44" s="183"/>
      <c r="AR44" s="1893"/>
      <c r="AT44" s="1459"/>
      <c r="AU44" s="1459"/>
      <c r="AV44" s="1459"/>
      <c r="AZ44" s="1466"/>
    </row>
    <row r="45" spans="4:54" ht="15.75" customHeight="1" thickBot="1">
      <c r="D45" s="1464"/>
      <c r="E45" s="1464"/>
      <c r="F45" s="1464"/>
      <c r="G45" s="1464"/>
      <c r="H45" s="1464"/>
      <c r="I45" s="1464"/>
      <c r="J45" s="1464"/>
      <c r="K45" s="1464"/>
      <c r="L45" s="1464"/>
      <c r="M45" s="1464"/>
      <c r="N45" s="1464"/>
      <c r="O45" s="1464"/>
      <c r="P45" s="1464"/>
      <c r="Q45" s="1464"/>
      <c r="R45" s="1464"/>
      <c r="S45" s="1464"/>
      <c r="U45" s="152" t="s">
        <v>481</v>
      </c>
      <c r="V45" s="148">
        <f>SUM(V43:V44)</f>
        <v>1814026</v>
      </c>
      <c r="W45" s="148">
        <f t="shared" ref="W45" si="0">SUM(W43:W44)</f>
        <v>291603.04764201341</v>
      </c>
      <c r="X45" s="148"/>
      <c r="Y45" s="148"/>
      <c r="Z45" s="254">
        <f>SUM(Z43:Z44)</f>
        <v>218988.21848569394</v>
      </c>
      <c r="AB45" s="183"/>
      <c r="AG45" s="148"/>
      <c r="AM45" s="1461"/>
      <c r="AN45" s="183"/>
      <c r="AO45" s="183"/>
      <c r="AR45" s="1893"/>
      <c r="AT45" s="1459"/>
      <c r="AU45" t="s">
        <v>1434</v>
      </c>
      <c r="AZ45" s="1466"/>
    </row>
    <row r="46" spans="4:54">
      <c r="D46" s="1464"/>
      <c r="E46" s="1464"/>
      <c r="F46" s="1464"/>
      <c r="G46" s="1464"/>
      <c r="H46" s="1464"/>
      <c r="I46" s="1464"/>
      <c r="J46" s="1464"/>
      <c r="K46" s="1464"/>
      <c r="L46" s="1464"/>
      <c r="M46" s="1464"/>
      <c r="N46" s="1464"/>
      <c r="O46" s="1464"/>
      <c r="P46" s="1464"/>
      <c r="Q46" s="1464"/>
      <c r="R46" s="1464"/>
      <c r="S46" s="1464"/>
      <c r="U46" s="275" t="s">
        <v>473</v>
      </c>
      <c r="V46" s="275"/>
      <c r="W46" s="166"/>
      <c r="X46" s="166"/>
      <c r="Y46" s="166"/>
      <c r="Z46" s="932"/>
      <c r="AA46" s="166"/>
      <c r="AB46" s="183"/>
      <c r="AM46" s="183"/>
      <c r="AN46" s="183"/>
      <c r="AO46" s="183"/>
      <c r="AR46" s="1910" t="s">
        <v>382</v>
      </c>
      <c r="AS46" s="1911"/>
      <c r="AT46" s="169"/>
      <c r="AU46" s="1460">
        <f>AU48*JperBtu/Fuel_Specs!N25</f>
        <v>3220.5223819649177</v>
      </c>
      <c r="AV46" t="s">
        <v>428</v>
      </c>
      <c r="AZ46" s="1466"/>
    </row>
    <row r="47" spans="4:54" ht="18" customHeight="1" thickBot="1">
      <c r="D47" s="1464"/>
      <c r="E47" s="1464"/>
      <c r="F47" s="1464"/>
      <c r="G47" s="1464"/>
      <c r="H47" s="1464"/>
      <c r="I47" s="1464"/>
      <c r="J47" s="1464"/>
      <c r="K47" s="1464"/>
      <c r="L47" s="1464"/>
      <c r="M47" s="1464"/>
      <c r="N47" s="1464"/>
      <c r="O47" s="1464"/>
      <c r="P47" s="1464"/>
      <c r="Q47" s="1464"/>
      <c r="R47" s="1464"/>
      <c r="S47" s="1464"/>
      <c r="U47" t="s">
        <v>425</v>
      </c>
      <c r="V47" s="148"/>
      <c r="W47" s="148"/>
      <c r="X47" s="148">
        <f>AI36</f>
        <v>10713.005417040165</v>
      </c>
      <c r="Y47" s="148"/>
      <c r="Z47" s="254">
        <f>AI38</f>
        <v>2921.7287501018636</v>
      </c>
      <c r="AB47" s="1264" t="s">
        <v>1320</v>
      </c>
      <c r="AM47" s="183"/>
      <c r="AN47" s="183"/>
      <c r="AO47" s="183"/>
      <c r="AR47" s="1912"/>
      <c r="AS47" s="1913"/>
      <c r="AT47" s="1462"/>
      <c r="AU47" s="1468">
        <f>AU46*Fuel_Specs!F25</f>
        <v>2418.5496850005807</v>
      </c>
      <c r="AV47" t="s">
        <v>202</v>
      </c>
      <c r="AY47" s="148">
        <f>AU46*$AZ$34</f>
        <v>20034.465969088094</v>
      </c>
      <c r="AZ47" s="1466" t="s">
        <v>478</v>
      </c>
    </row>
    <row r="48" spans="4:54" ht="16.5" customHeight="1">
      <c r="D48" s="1464"/>
      <c r="E48" s="1464"/>
      <c r="F48" s="1464"/>
      <c r="G48" s="1464"/>
      <c r="H48" s="1464"/>
      <c r="I48" s="1464"/>
      <c r="J48" s="1464"/>
      <c r="K48" s="1464"/>
      <c r="L48" s="1464"/>
      <c r="M48" s="1464"/>
      <c r="N48" s="1464"/>
      <c r="O48" s="1464"/>
      <c r="P48" s="1464"/>
      <c r="Q48" s="1464"/>
      <c r="R48" s="1464"/>
      <c r="S48" s="1464"/>
      <c r="U48" s="183" t="s">
        <v>1106</v>
      </c>
      <c r="V48" s="148"/>
      <c r="W48" s="261"/>
      <c r="X48" s="261">
        <f>AL36</f>
        <v>1719.6141576652828</v>
      </c>
      <c r="Y48" s="261"/>
      <c r="Z48" s="347">
        <f>AL37</f>
        <v>468.98567936325895</v>
      </c>
      <c r="AA48" s="150" t="s">
        <v>488</v>
      </c>
      <c r="AB48" s="183" t="s">
        <v>1321</v>
      </c>
      <c r="AM48" s="183"/>
      <c r="AT48" s="1462"/>
      <c r="AU48" s="1458">
        <f>D4</f>
        <v>150.9606669505759</v>
      </c>
      <c r="AV48" t="s">
        <v>345</v>
      </c>
      <c r="AZ48" s="1466"/>
    </row>
    <row r="49" spans="1:54" ht="15.75" customHeight="1">
      <c r="D49" s="1464"/>
      <c r="E49" s="1464"/>
      <c r="F49" s="1464"/>
      <c r="G49" s="1464"/>
      <c r="H49" s="1464"/>
      <c r="I49" s="1464"/>
      <c r="J49" s="1464"/>
      <c r="K49" s="1464"/>
      <c r="L49" s="1464"/>
      <c r="M49" s="1464"/>
      <c r="N49" s="1464"/>
      <c r="O49" s="1464"/>
      <c r="P49" s="1464"/>
      <c r="Q49" s="1464"/>
      <c r="R49" s="1464"/>
      <c r="S49" s="1464"/>
      <c r="U49" t="s">
        <v>1305</v>
      </c>
      <c r="V49" s="148"/>
      <c r="W49" s="148"/>
      <c r="X49" s="148">
        <f>AP34-X48</f>
        <v>55696.265799754998</v>
      </c>
      <c r="Y49" s="148"/>
      <c r="Z49" s="254">
        <f>AP35</f>
        <v>15673.301924933867</v>
      </c>
      <c r="AB49" s="183" t="s">
        <v>1323</v>
      </c>
      <c r="AJ49" t="s">
        <v>371</v>
      </c>
      <c r="AM49" s="183"/>
      <c r="AT49" s="1462"/>
      <c r="AZ49" s="1466"/>
    </row>
    <row r="50" spans="1:54" ht="18.75" thickBot="1">
      <c r="D50" s="1464"/>
      <c r="E50" s="1464"/>
      <c r="F50" s="1464"/>
      <c r="G50" s="1464"/>
      <c r="H50" s="1464"/>
      <c r="I50" s="1464"/>
      <c r="J50" s="1464"/>
      <c r="K50" s="1464"/>
      <c r="L50" s="1464"/>
      <c r="M50" s="1464"/>
      <c r="N50" s="1464"/>
      <c r="O50" s="1464"/>
      <c r="P50" s="1464"/>
      <c r="Q50" s="1464"/>
      <c r="R50" s="1464"/>
      <c r="S50" s="1464"/>
      <c r="U50" t="s">
        <v>1306</v>
      </c>
      <c r="V50" s="148"/>
      <c r="W50" s="261"/>
      <c r="X50" s="148">
        <f>IF(Input!C24="YES",AU33,0)</f>
        <v>26805.558983901479</v>
      </c>
      <c r="Z50" s="254">
        <f>IF(Input!C24="YES",AU35,0)</f>
        <v>7289.3002202945354</v>
      </c>
      <c r="AB50" s="183" t="s">
        <v>1322</v>
      </c>
      <c r="AI50" s="1463">
        <f>G77</f>
        <v>7.5621711258278141</v>
      </c>
      <c r="AJ50" t="s">
        <v>458</v>
      </c>
      <c r="AM50" s="183"/>
      <c r="AP50" t="s">
        <v>1484</v>
      </c>
      <c r="AT50" s="1462"/>
      <c r="AU50" t="s">
        <v>365</v>
      </c>
      <c r="AZ50" s="1466"/>
    </row>
    <row r="51" spans="1:54" ht="18.75" thickBot="1">
      <c r="D51" s="1464"/>
      <c r="E51" s="1464"/>
      <c r="F51" s="1464"/>
      <c r="G51" s="1464"/>
      <c r="H51" s="1464"/>
      <c r="I51" s="1464"/>
      <c r="J51" s="1464"/>
      <c r="K51" s="1464"/>
      <c r="L51" s="1464"/>
      <c r="M51" s="1464"/>
      <c r="N51" s="1464"/>
      <c r="O51" s="1464"/>
      <c r="P51" s="1464"/>
      <c r="Q51" s="1464"/>
      <c r="R51" s="1464"/>
      <c r="S51" s="1464"/>
      <c r="U51" t="s">
        <v>1107</v>
      </c>
      <c r="V51" s="148"/>
      <c r="W51" s="153"/>
      <c r="Y51" s="153">
        <f>AI50</f>
        <v>7.5621711258278141</v>
      </c>
      <c r="Z51" s="254">
        <f>AI51</f>
        <v>5.6716283443708608</v>
      </c>
      <c r="AB51" s="1258" t="s">
        <v>1324</v>
      </c>
      <c r="AC51" s="1259"/>
      <c r="AD51" s="1260">
        <v>95</v>
      </c>
      <c r="AI51" s="1469">
        <f>AI50*12/16</f>
        <v>5.6716283443708608</v>
      </c>
      <c r="AJ51" t="s">
        <v>202</v>
      </c>
      <c r="AP51" s="1460">
        <f>F79</f>
        <v>234.87189660000359</v>
      </c>
      <c r="AQ51" t="s">
        <v>1104</v>
      </c>
      <c r="AT51" s="1462"/>
      <c r="AU51" s="1460">
        <f>AU41+AU46</f>
        <v>291603.04764201341</v>
      </c>
      <c r="AV51" t="s">
        <v>428</v>
      </c>
      <c r="AZ51" s="1466"/>
    </row>
    <row r="52" spans="1:54">
      <c r="D52" s="1464"/>
      <c r="E52" s="1464"/>
      <c r="F52" s="1464"/>
      <c r="G52" s="1464"/>
      <c r="H52" s="1464"/>
      <c r="I52" s="1464"/>
      <c r="J52" s="1464"/>
      <c r="K52" s="1464"/>
      <c r="L52" s="1464"/>
      <c r="M52" s="1464"/>
      <c r="N52" s="1464"/>
      <c r="O52" s="1464"/>
      <c r="P52" s="1464"/>
      <c r="Q52" s="1464"/>
      <c r="R52" s="1464"/>
      <c r="S52" s="1464"/>
      <c r="U52" t="s">
        <v>1307</v>
      </c>
      <c r="V52" s="148"/>
      <c r="W52" s="148"/>
      <c r="X52" s="148">
        <f>AP51</f>
        <v>234.87189660000359</v>
      </c>
      <c r="Z52" s="254">
        <f>AP52</f>
        <v>64.114982681162473</v>
      </c>
      <c r="AB52" s="183" t="s">
        <v>1319</v>
      </c>
      <c r="AP52" s="1468">
        <f>AP51*C_MW/CO2_MW</f>
        <v>64.114982681162473</v>
      </c>
      <c r="AQ52" t="s">
        <v>202</v>
      </c>
      <c r="AT52" s="1462"/>
      <c r="AU52" s="1468">
        <f>AU51*Fuel_Specs!F25</f>
        <v>218988.21848569394</v>
      </c>
      <c r="AV52" t="s">
        <v>202</v>
      </c>
      <c r="AY52" s="148">
        <f>AU51*$AZ$34</f>
        <v>1814026</v>
      </c>
      <c r="AZ52" s="1466" t="s">
        <v>478</v>
      </c>
      <c r="BA52" s="148">
        <f>Upstream!D15</f>
        <v>1814026</v>
      </c>
      <c r="BB52" t="s">
        <v>1481</v>
      </c>
    </row>
    <row r="53" spans="1:54">
      <c r="D53" s="1464"/>
      <c r="E53" s="1464"/>
      <c r="F53" s="1464"/>
      <c r="G53" s="1464"/>
      <c r="H53" s="1464"/>
      <c r="I53" s="1464"/>
      <c r="J53" s="1464"/>
      <c r="K53" s="1464"/>
      <c r="L53" s="1464"/>
      <c r="M53" s="1464"/>
      <c r="N53" s="1464"/>
      <c r="O53" s="1464"/>
      <c r="P53" s="1464"/>
      <c r="Q53" s="1464"/>
      <c r="R53" s="1464"/>
      <c r="S53" s="1464"/>
      <c r="U53" s="152" t="s">
        <v>474</v>
      </c>
      <c r="V53" s="148"/>
      <c r="W53" s="148"/>
      <c r="X53" s="148">
        <f>SUM(X47:X52)</f>
        <v>95169.316254961916</v>
      </c>
      <c r="Y53" s="148">
        <f>SUM(Y47:Y52)</f>
        <v>7.5621711258278141</v>
      </c>
      <c r="Z53" s="254">
        <f>SUM(Z47:Z52)</f>
        <v>26423.103185719061</v>
      </c>
      <c r="AA53" s="152"/>
      <c r="AB53" s="208"/>
      <c r="AU53" s="1458">
        <f>AU43+AU48</f>
        <v>13668.77336527029</v>
      </c>
      <c r="AV53" t="s">
        <v>345</v>
      </c>
      <c r="AW53" s="1489">
        <f>AU53/AG41</f>
        <v>0.90182806005388072</v>
      </c>
    </row>
    <row r="54" spans="1:54" ht="21" thickBot="1">
      <c r="D54" s="1464"/>
      <c r="E54" s="1464"/>
      <c r="F54" s="1464"/>
      <c r="G54" s="1464"/>
      <c r="H54" s="1464"/>
      <c r="I54" s="1464"/>
      <c r="J54" s="1464"/>
      <c r="K54" s="1464"/>
      <c r="L54" s="1464"/>
      <c r="M54" s="1464"/>
      <c r="N54" s="1464"/>
      <c r="O54" s="1464"/>
      <c r="P54" s="1464"/>
      <c r="Q54" s="1464"/>
      <c r="R54" s="1464"/>
      <c r="S54" s="1464"/>
      <c r="U54" s="267" t="s">
        <v>483</v>
      </c>
      <c r="V54" s="1390"/>
      <c r="W54" s="1390"/>
      <c r="X54" s="1390">
        <f>X45+X53</f>
        <v>95169.316254961916</v>
      </c>
      <c r="Y54" s="1390">
        <f>Y45+Y53</f>
        <v>7.5621711258278141</v>
      </c>
      <c r="Z54" s="1323">
        <f>Z45+Z53</f>
        <v>245411.321671413</v>
      </c>
      <c r="AA54" s="269"/>
      <c r="AB54" s="269"/>
      <c r="AG54" s="1467" t="s">
        <v>1433</v>
      </c>
    </row>
    <row r="55" spans="1:54" ht="19.5" thickBot="1">
      <c r="D55" s="1464"/>
      <c r="E55" s="1464"/>
      <c r="F55" s="1464"/>
      <c r="G55" s="1464"/>
      <c r="H55" s="1464"/>
      <c r="I55" s="1464"/>
      <c r="J55" s="1464"/>
      <c r="K55" s="1464"/>
      <c r="L55" s="1464"/>
      <c r="M55" s="1464"/>
      <c r="N55" s="1464"/>
      <c r="O55" s="1464"/>
      <c r="P55" s="1464"/>
      <c r="Q55" s="1464"/>
      <c r="R55" s="1464"/>
      <c r="S55" s="1464"/>
      <c r="U55" s="1388" t="s">
        <v>484</v>
      </c>
      <c r="V55" s="1094"/>
      <c r="W55" s="1094"/>
      <c r="X55" s="1094"/>
      <c r="Y55" s="1094"/>
      <c r="Z55" s="1389">
        <f>Z41-Z54</f>
        <v>0</v>
      </c>
      <c r="AA55" s="269"/>
      <c r="AB55" s="269"/>
      <c r="AG55" s="1467" t="s">
        <v>1487</v>
      </c>
    </row>
    <row r="56" spans="1:54" ht="18.75">
      <c r="D56" s="1464"/>
      <c r="E56" s="1464"/>
      <c r="F56" s="1464"/>
      <c r="G56" s="1464"/>
      <c r="H56" s="1464"/>
      <c r="I56" s="1464"/>
      <c r="J56" s="1464"/>
      <c r="K56" s="1464"/>
      <c r="L56" s="1464"/>
      <c r="M56" s="1464"/>
      <c r="N56" s="1464"/>
      <c r="O56" s="1464"/>
      <c r="P56" s="1464"/>
      <c r="Q56" s="1464"/>
      <c r="R56" s="1464"/>
      <c r="S56" s="1464"/>
      <c r="AB56" s="152"/>
      <c r="AG56" s="1467" t="s">
        <v>1488</v>
      </c>
    </row>
    <row r="57" spans="1:54">
      <c r="D57" s="1464"/>
      <c r="E57" s="1464"/>
      <c r="F57" s="1464"/>
      <c r="G57" s="1464"/>
      <c r="H57" s="1464"/>
      <c r="I57" s="1464"/>
      <c r="J57" s="1464"/>
      <c r="K57" s="1464"/>
      <c r="L57" s="1464"/>
      <c r="M57" s="1464"/>
      <c r="N57" s="1464"/>
      <c r="O57" s="1464"/>
      <c r="P57" s="1464"/>
      <c r="Q57" s="1464"/>
      <c r="R57" s="1464"/>
      <c r="S57" s="1464"/>
      <c r="U57" s="152"/>
      <c r="V57" s="152"/>
      <c r="W57" s="152"/>
      <c r="X57" s="152"/>
      <c r="Y57" s="152"/>
      <c r="Z57" s="254"/>
      <c r="AA57" s="152"/>
      <c r="AB57" s="152"/>
    </row>
    <row r="58" spans="1:54">
      <c r="D58" s="1464"/>
      <c r="E58" s="1464"/>
      <c r="F58" s="1464"/>
      <c r="G58" s="1464"/>
      <c r="H58" s="1464"/>
      <c r="I58" s="1464"/>
      <c r="J58" s="1464"/>
      <c r="K58" s="1464"/>
      <c r="L58" s="1464"/>
      <c r="M58" s="1464"/>
      <c r="N58" s="1464"/>
      <c r="O58" s="1464"/>
      <c r="P58" s="1464"/>
      <c r="Q58" s="1464"/>
      <c r="R58" s="1464"/>
      <c r="S58" s="1464"/>
      <c r="U58" s="152" t="s">
        <v>486</v>
      </c>
      <c r="V58" s="152"/>
      <c r="W58" s="152"/>
      <c r="X58" s="152"/>
      <c r="Y58" s="152"/>
      <c r="Z58" s="254"/>
      <c r="AA58" s="152"/>
      <c r="AB58" s="152"/>
    </row>
    <row r="59" spans="1:54">
      <c r="B59" s="1129"/>
      <c r="D59" s="1464"/>
      <c r="E59" s="1464"/>
      <c r="F59" s="1464"/>
      <c r="G59" s="1464"/>
      <c r="H59" s="1464"/>
      <c r="I59" s="1464"/>
      <c r="J59" s="1464"/>
      <c r="K59" s="1464"/>
      <c r="L59" s="1464"/>
      <c r="M59" s="1464"/>
      <c r="N59" s="1464"/>
      <c r="O59" s="1464"/>
      <c r="P59" s="1464"/>
      <c r="Q59" s="1464"/>
      <c r="R59" s="1464"/>
      <c r="S59" s="1464"/>
      <c r="U59" s="152"/>
      <c r="V59" s="152"/>
      <c r="W59" s="152"/>
      <c r="X59" s="152"/>
      <c r="Y59" s="152"/>
      <c r="Z59" s="254"/>
      <c r="AA59" s="152"/>
      <c r="AB59" s="152"/>
    </row>
    <row r="60" spans="1:54">
      <c r="B60" s="148"/>
      <c r="U60" s="152"/>
      <c r="V60" s="152"/>
      <c r="W60" s="152"/>
      <c r="X60" s="152"/>
      <c r="Y60" s="152"/>
      <c r="Z60" s="254"/>
      <c r="AA60" s="152"/>
      <c r="AB60" s="152"/>
    </row>
    <row r="61" spans="1:54">
      <c r="U61" t="s">
        <v>489</v>
      </c>
      <c r="AB61" s="152"/>
    </row>
    <row r="62" spans="1:54" ht="21">
      <c r="A62" s="1098" t="s">
        <v>1155</v>
      </c>
      <c r="C62" s="236" t="s">
        <v>1403</v>
      </c>
      <c r="D62" s="236"/>
      <c r="E62" s="1348"/>
      <c r="F62" s="1845" t="s">
        <v>1425</v>
      </c>
      <c r="G62" s="1845"/>
      <c r="H62" s="1845"/>
      <c r="I62" s="1845"/>
      <c r="U62" s="183" t="s">
        <v>487</v>
      </c>
      <c r="AB62" s="152"/>
    </row>
    <row r="63" spans="1:54" ht="18.75" thickBot="1">
      <c r="C63" s="187" t="s">
        <v>1147</v>
      </c>
      <c r="D63" s="216" t="s">
        <v>1145</v>
      </c>
      <c r="E63" s="1349"/>
      <c r="F63" s="187" t="s">
        <v>265</v>
      </c>
      <c r="G63" s="187" t="s">
        <v>266</v>
      </c>
      <c r="H63" s="187" t="s">
        <v>267</v>
      </c>
      <c r="I63" s="187" t="s">
        <v>264</v>
      </c>
      <c r="K63" s="1156" t="s">
        <v>1410</v>
      </c>
      <c r="AB63" s="152"/>
    </row>
    <row r="64" spans="1:54" ht="15.75" thickTop="1">
      <c r="C64" t="s">
        <v>505</v>
      </c>
      <c r="D64" s="183" t="s">
        <v>1404</v>
      </c>
      <c r="E64" s="1350"/>
      <c r="F64" s="265">
        <f>Factors!$D$70</f>
        <v>59311.085000000909</v>
      </c>
      <c r="G64" s="1095">
        <f>Factors!$E$70</f>
        <v>1.06</v>
      </c>
      <c r="H64" s="1095">
        <f>Factors!$F$70</f>
        <v>0.35</v>
      </c>
      <c r="I64" s="261">
        <f>Factors!$G$70</f>
        <v>59441.885000000912</v>
      </c>
      <c r="AB64" s="152"/>
    </row>
    <row r="65" spans="2:28">
      <c r="C65" s="183" t="s">
        <v>452</v>
      </c>
      <c r="D65" t="s">
        <v>369</v>
      </c>
      <c r="E65" s="1350"/>
      <c r="F65" s="265">
        <f>Factors!D80</f>
        <v>68662.016739283121</v>
      </c>
      <c r="G65" s="1095">
        <f>Factors!E80</f>
        <v>1.06</v>
      </c>
      <c r="H65" s="1095">
        <f>Factors!F80</f>
        <v>1.0680000000000001</v>
      </c>
      <c r="I65" s="261">
        <f>Factors!G80</f>
        <v>59659.753090572827</v>
      </c>
      <c r="AB65" s="152"/>
    </row>
    <row r="66" spans="2:28">
      <c r="C66" s="183" t="s">
        <v>1236</v>
      </c>
      <c r="D66" t="s">
        <v>369</v>
      </c>
      <c r="E66" s="1350"/>
      <c r="F66" s="265">
        <f>Factors!D79</f>
        <v>68773.433332339118</v>
      </c>
      <c r="G66" s="1095">
        <f>Factors!E79</f>
        <v>1.0680000000000001</v>
      </c>
      <c r="H66" s="1095">
        <f>Factors!F79</f>
        <v>1.0680000000000001</v>
      </c>
      <c r="I66" s="261">
        <f>Factors!G79</f>
        <v>69118.397332339111</v>
      </c>
      <c r="AB66" s="152"/>
    </row>
    <row r="67" spans="2:28">
      <c r="C67" s="183" t="s">
        <v>1146</v>
      </c>
      <c r="D67" t="s">
        <v>1333</v>
      </c>
      <c r="E67" s="1350"/>
      <c r="F67" s="265">
        <f>Factors!D63</f>
        <v>78187.235473148816</v>
      </c>
      <c r="G67" s="1095">
        <f>Factors!E63</f>
        <v>4.2210000000000001</v>
      </c>
      <c r="H67" s="1095">
        <f>Factors!F63</f>
        <v>0.6</v>
      </c>
      <c r="I67" s="148">
        <f>F67+G67*CH4_GWP+H67*N2O_GWP</f>
        <v>78471.560473148813</v>
      </c>
      <c r="AB67" s="152"/>
    </row>
    <row r="68" spans="2:28">
      <c r="B68" t="s">
        <v>1725</v>
      </c>
      <c r="C68" s="209" t="s">
        <v>370</v>
      </c>
      <c r="D68" s="1198" t="s">
        <v>1404</v>
      </c>
      <c r="E68" s="1351"/>
      <c r="F68" s="1101">
        <f>Factors!D$70</f>
        <v>59311.085000000909</v>
      </c>
      <c r="G68" s="1796">
        <f>Factors!E$70</f>
        <v>1.06</v>
      </c>
      <c r="H68" s="1796">
        <f>Factors!F$70</f>
        <v>0.35</v>
      </c>
      <c r="I68" s="1094">
        <f>F68+G68*CH4_GWP+H68*N2O_GWP</f>
        <v>59441.885000000912</v>
      </c>
      <c r="K68" s="261">
        <f>$AP$35/Input!$E$88*Input!$E$84*1000*BtuperMJ/1000000*F65/1000000-F76</f>
        <v>55714.312736357482</v>
      </c>
      <c r="L68" s="261"/>
      <c r="M68" s="261"/>
      <c r="N68" s="261"/>
      <c r="AB68" s="152"/>
    </row>
    <row r="69" spans="2:28">
      <c r="C69" s="163" t="s">
        <v>370</v>
      </c>
      <c r="D69" s="1198" t="s">
        <v>1707</v>
      </c>
      <c r="E69" s="1351"/>
      <c r="F69" s="1262">
        <f>Upstream!D47</f>
        <v>275.26159999999999</v>
      </c>
      <c r="G69" s="1769">
        <f>Upstream!E47</f>
        <v>0.52572000000000008</v>
      </c>
      <c r="H69" s="1769">
        <f>Upstream!F47</f>
        <v>5.3920000000000001E-3</v>
      </c>
      <c r="I69" s="148">
        <f>F69+G69*CH4_GWP+H69*N2O_GWP</f>
        <v>290.011416</v>
      </c>
      <c r="AB69" s="152"/>
    </row>
    <row r="70" spans="2:28">
      <c r="C70" s="1109"/>
      <c r="D70" s="1263"/>
      <c r="E70" s="1352"/>
      <c r="F70" s="1847" t="s">
        <v>1183</v>
      </c>
      <c r="G70" s="1847"/>
      <c r="H70" s="1847"/>
      <c r="I70" s="1847"/>
      <c r="K70" s="1241"/>
      <c r="L70" s="1241" t="s">
        <v>1336</v>
      </c>
      <c r="M70" s="1241"/>
      <c r="N70" s="1241"/>
      <c r="O70" s="1241"/>
      <c r="AB70" s="152"/>
    </row>
    <row r="71" spans="2:28" ht="18" customHeight="1" thickBot="1">
      <c r="C71" s="665" t="s">
        <v>1147</v>
      </c>
      <c r="D71" s="216" t="s">
        <v>1145</v>
      </c>
      <c r="E71" s="1349"/>
      <c r="F71" s="216" t="s">
        <v>265</v>
      </c>
      <c r="G71" s="216" t="s">
        <v>266</v>
      </c>
      <c r="H71" s="216" t="s">
        <v>267</v>
      </c>
      <c r="I71" s="216" t="s">
        <v>264</v>
      </c>
      <c r="K71" s="665" t="s">
        <v>1147</v>
      </c>
      <c r="L71" s="216" t="s">
        <v>265</v>
      </c>
      <c r="M71" s="216" t="s">
        <v>266</v>
      </c>
      <c r="N71" s="216" t="s">
        <v>267</v>
      </c>
      <c r="O71" s="216" t="s">
        <v>264</v>
      </c>
      <c r="AB71" s="152"/>
    </row>
    <row r="72" spans="2:28" ht="15.75" thickTop="1">
      <c r="C72" t="s">
        <v>505</v>
      </c>
      <c r="D72" s="183" t="s">
        <v>1404</v>
      </c>
      <c r="E72" s="1353"/>
      <c r="F72" s="261">
        <f>F64*($D$10+$D$12)/1000000</f>
        <v>10713.005417040165</v>
      </c>
      <c r="G72" s="1093">
        <f>G64*($D$10+$D$12)/1000000</f>
        <v>0.19146144000000001</v>
      </c>
      <c r="H72" s="1093">
        <f>H64*($D$10+$D$12)/1000000</f>
        <v>6.3218399999999994E-2</v>
      </c>
      <c r="I72" s="261">
        <f>I64*($D$10+$D$12)/1000000</f>
        <v>10736.631036240164</v>
      </c>
      <c r="K72" t="s">
        <v>505</v>
      </c>
      <c r="L72" s="144">
        <f t="shared" ref="L72:O78" si="1">F72*1000/$AU$53</f>
        <v>783.75762994650574</v>
      </c>
      <c r="M72" s="144">
        <f t="shared" si="1"/>
        <v>1.4007214464939957E-2</v>
      </c>
      <c r="N72" s="144">
        <f t="shared" si="1"/>
        <v>4.6250236440839474E-3</v>
      </c>
      <c r="O72" s="144">
        <f t="shared" si="1"/>
        <v>785.48606735406611</v>
      </c>
      <c r="AB72" s="152"/>
    </row>
    <row r="73" spans="2:28">
      <c r="C73" s="259" t="s">
        <v>1411</v>
      </c>
      <c r="D73" s="183" t="s">
        <v>369</v>
      </c>
      <c r="E73" s="1353"/>
      <c r="F73" s="261">
        <f>AP34</f>
        <v>57415.879957420279</v>
      </c>
      <c r="G73" s="1093">
        <f>$AP$35/Input!$E$88*Input!$E$84*1000*BtuperMJ/1000000*G65/1000000</f>
        <v>0.8866614381402711</v>
      </c>
      <c r="H73" s="1093">
        <f>$AP$35/Input!$E$88*Input!$E$84*1000*BtuperMJ/1000000*H65/1000000</f>
        <v>0.89335322257906558</v>
      </c>
      <c r="I73" s="148">
        <f>F73+G73*CH4_GWP+H73*N2O_GWP</f>
        <v>57704.265753702341</v>
      </c>
      <c r="K73" s="259" t="s">
        <v>1144</v>
      </c>
      <c r="L73" s="144">
        <f t="shared" si="1"/>
        <v>4200.5144443540876</v>
      </c>
      <c r="M73" s="144">
        <f t="shared" si="1"/>
        <v>6.486766694026154E-2</v>
      </c>
      <c r="N73" s="144">
        <f t="shared" si="1"/>
        <v>6.5357234237923889E-2</v>
      </c>
      <c r="O73" s="144">
        <f t="shared" si="1"/>
        <v>4221.6125918304951</v>
      </c>
    </row>
    <row r="74" spans="2:28">
      <c r="C74" s="259" t="s">
        <v>1349</v>
      </c>
      <c r="D74" s="183" t="s">
        <v>369</v>
      </c>
      <c r="E74" s="1353"/>
      <c r="F74" s="261">
        <f>F66/1000000*Fuel_Specs!$B$24/Fuel_Specs!$E$24*$AU$34*IF(Input!C24="NO",0,1)</f>
        <v>26805.558983901479</v>
      </c>
      <c r="G74" s="1093">
        <f>G66/1000000*Fuel_Specs!$B$24/Fuel_Specs!$E$24*$AU$34</f>
        <v>0.41627028937851446</v>
      </c>
      <c r="H74" s="1093">
        <f>H66/1000000*Fuel_Specs!$B$24/Fuel_Specs!$E$24*$AU$34</f>
        <v>0.41627028937851446</v>
      </c>
      <c r="I74" s="261">
        <f>F74+G74*CH4_GWP+H74*N2O_GWP</f>
        <v>26940.014287370737</v>
      </c>
      <c r="K74" s="259" t="s">
        <v>1238</v>
      </c>
      <c r="L74" s="144">
        <f t="shared" si="1"/>
        <v>1961.0800667753567</v>
      </c>
      <c r="M74" s="144">
        <f t="shared" si="1"/>
        <v>3.0454107201468187E-2</v>
      </c>
      <c r="N74" s="144">
        <f t="shared" si="1"/>
        <v>3.0454107201468187E-2</v>
      </c>
      <c r="O74" s="144">
        <f t="shared" si="1"/>
        <v>1970.9167434014309</v>
      </c>
    </row>
    <row r="75" spans="2:28">
      <c r="C75" s="183" t="s">
        <v>1146</v>
      </c>
      <c r="D75" t="s">
        <v>1333</v>
      </c>
      <c r="E75" s="1354"/>
      <c r="F75" s="261">
        <f>F67*$D$24/1000000</f>
        <v>521.22285667041433</v>
      </c>
      <c r="G75" s="1093">
        <f>G67*$D$24/1000000</f>
        <v>2.8138629850410487E-2</v>
      </c>
      <c r="H75" s="1789">
        <f>H67*$D$24/1000000</f>
        <v>3.9998052381535866E-3</v>
      </c>
      <c r="I75" s="148">
        <f>F75+G75*CH4_GWP+H75*N2O_GWP</f>
        <v>523.11826437764432</v>
      </c>
      <c r="K75" s="183" t="s">
        <v>1146</v>
      </c>
      <c r="L75" s="144">
        <f t="shared" si="1"/>
        <v>38.132379749212966</v>
      </c>
      <c r="M75" s="144">
        <f t="shared" si="1"/>
        <v>2.0586068038779036E-3</v>
      </c>
      <c r="N75" s="144">
        <f t="shared" si="1"/>
        <v>2.9262356842614117E-4</v>
      </c>
      <c r="O75" s="144">
        <f t="shared" si="1"/>
        <v>38.271046742700896</v>
      </c>
    </row>
    <row r="76" spans="2:28">
      <c r="C76" s="259" t="s">
        <v>456</v>
      </c>
      <c r="D76" s="259" t="s">
        <v>1346</v>
      </c>
      <c r="E76" s="1355"/>
      <c r="F76" s="261">
        <f>AM41*Input!E132/Input!C133</f>
        <v>1719.6141576652828</v>
      </c>
      <c r="G76" s="261">
        <v>0</v>
      </c>
      <c r="H76" s="261">
        <v>0</v>
      </c>
      <c r="I76" s="261">
        <f>F76</f>
        <v>1719.6141576652828</v>
      </c>
      <c r="K76" s="259" t="s">
        <v>456</v>
      </c>
      <c r="L76" s="144">
        <f t="shared" si="1"/>
        <v>125.80603333686767</v>
      </c>
      <c r="M76" s="144">
        <f t="shared" si="1"/>
        <v>0</v>
      </c>
      <c r="N76" s="144">
        <f t="shared" si="1"/>
        <v>0</v>
      </c>
      <c r="O76" s="144">
        <f t="shared" si="1"/>
        <v>125.80603333686767</v>
      </c>
    </row>
    <row r="77" spans="2:28">
      <c r="C77" s="209" t="s">
        <v>371</v>
      </c>
      <c r="D77" s="209" t="s">
        <v>1150</v>
      </c>
      <c r="E77" s="1356"/>
      <c r="F77" s="345">
        <v>0</v>
      </c>
      <c r="G77" s="1096">
        <f>N19</f>
        <v>7.5621711258278141</v>
      </c>
      <c r="H77" s="1096">
        <v>0</v>
      </c>
      <c r="I77" s="1094">
        <f>F77+G77*CH4_GWP+H77*N2O_GWP</f>
        <v>189.05427814569535</v>
      </c>
      <c r="K77" s="183" t="s">
        <v>371</v>
      </c>
      <c r="L77" s="144">
        <f t="shared" si="1"/>
        <v>0</v>
      </c>
      <c r="M77" s="144">
        <f t="shared" si="1"/>
        <v>0.55324431269318053</v>
      </c>
      <c r="N77" s="144">
        <f t="shared" si="1"/>
        <v>0</v>
      </c>
      <c r="O77" s="144">
        <f t="shared" si="1"/>
        <v>13.831107817329512</v>
      </c>
    </row>
    <row r="78" spans="2:28" ht="15.75" thickBot="1">
      <c r="C78" s="212" t="s">
        <v>1159</v>
      </c>
      <c r="D78" s="212"/>
      <c r="E78" s="1357"/>
      <c r="F78" s="1323">
        <f>SUM(F72:F77)</f>
        <v>97175.281372697616</v>
      </c>
      <c r="G78" s="1791">
        <f>SUM(G72:G77)</f>
        <v>9.0847029231970104</v>
      </c>
      <c r="H78" s="1791">
        <f>SUM(H72:H77)</f>
        <v>1.3768417171957337</v>
      </c>
      <c r="I78" s="1323">
        <f>SUM(I72:I77)</f>
        <v>97812.69777750186</v>
      </c>
      <c r="K78" s="1266" t="s">
        <v>1159</v>
      </c>
      <c r="L78" s="1267">
        <f t="shared" si="1"/>
        <v>7109.2905541620303</v>
      </c>
      <c r="M78" s="1267">
        <f t="shared" si="1"/>
        <v>0.66463190810372808</v>
      </c>
      <c r="N78" s="1267">
        <f t="shared" si="1"/>
        <v>0.10072898865190218</v>
      </c>
      <c r="O78" s="1267">
        <f t="shared" si="1"/>
        <v>7155.9235904828902</v>
      </c>
    </row>
    <row r="79" spans="2:28">
      <c r="C79" s="183" t="s">
        <v>1151</v>
      </c>
      <c r="D79" s="183" t="s">
        <v>229</v>
      </c>
      <c r="E79" s="1353"/>
      <c r="F79" s="265">
        <f>F68*$O$10/1000000</f>
        <v>234.87189660000359</v>
      </c>
      <c r="G79" s="1790">
        <f t="shared" ref="G79:H79" si="2">G68*$O$10/1000000</f>
        <v>4.1976000000000001E-3</v>
      </c>
      <c r="H79" s="1790">
        <f t="shared" si="2"/>
        <v>1.3860000000000001E-3</v>
      </c>
      <c r="I79" s="261">
        <f>F79+G79*CH4_GWP+H79*N2O_GWP</f>
        <v>235.38986460000359</v>
      </c>
    </row>
    <row r="80" spans="2:28">
      <c r="C80" s="163" t="s">
        <v>370</v>
      </c>
      <c r="D80" s="209" t="s">
        <v>1152</v>
      </c>
      <c r="E80" s="1356"/>
      <c r="F80" s="1792">
        <f>F69*'Direct End use'!$F$21/1000*$O$12</f>
        <v>0.14427439593432356</v>
      </c>
      <c r="G80" s="1792">
        <f>G69*'Direct End use'!$F$21/1000*$O$12</f>
        <v>2.7554855247005974E-4</v>
      </c>
      <c r="H80" s="1792">
        <f>H69*'Direct End use'!$F$21/1000*$O$12</f>
        <v>2.8261389996929196E-6</v>
      </c>
      <c r="I80" s="1773">
        <f>F80+G80*CH4_GWP+H80*N2O_GWP</f>
        <v>0.15200529916798355</v>
      </c>
    </row>
    <row r="81" spans="1:15">
      <c r="C81" t="s">
        <v>371</v>
      </c>
      <c r="D81" s="183"/>
      <c r="E81" s="1353"/>
      <c r="F81" s="1100"/>
      <c r="G81" s="1100"/>
      <c r="H81" s="1100"/>
      <c r="I81" s="1100"/>
    </row>
    <row r="82" spans="1:15">
      <c r="A82" s="1217" t="s">
        <v>1444</v>
      </c>
      <c r="C82" s="183" t="s">
        <v>1157</v>
      </c>
      <c r="D82" s="183" t="s">
        <v>1150</v>
      </c>
      <c r="E82" s="1353"/>
      <c r="F82" s="265">
        <v>0</v>
      </c>
      <c r="G82" s="1100">
        <f>G123</f>
        <v>6.8686341798940447</v>
      </c>
      <c r="H82" s="1100">
        <v>0</v>
      </c>
      <c r="I82" s="1100">
        <f>H123</f>
        <v>171.71585449735113</v>
      </c>
      <c r="J82" t="s">
        <v>1024</v>
      </c>
    </row>
    <row r="83" spans="1:15">
      <c r="C83" s="183" t="s">
        <v>1158</v>
      </c>
      <c r="D83" s="183" t="s">
        <v>1150</v>
      </c>
      <c r="E83" s="1353"/>
      <c r="F83" s="265">
        <v>0</v>
      </c>
      <c r="G83" s="1100">
        <f>G125</f>
        <v>561.95235798659064</v>
      </c>
      <c r="H83" s="1100">
        <v>0</v>
      </c>
      <c r="I83" s="1100">
        <f>H125</f>
        <v>14048.808949664766</v>
      </c>
    </row>
    <row r="84" spans="1:15" ht="15.75" thickBot="1">
      <c r="C84" s="209" t="s">
        <v>1282</v>
      </c>
      <c r="D84" s="209" t="s">
        <v>1150</v>
      </c>
      <c r="E84" s="1358"/>
      <c r="F84" s="1099">
        <v>1</v>
      </c>
      <c r="G84" s="1099">
        <f>G126</f>
        <v>12.883603928642327</v>
      </c>
      <c r="H84" s="1099">
        <v>1</v>
      </c>
      <c r="I84" s="1099">
        <f>H126</f>
        <v>322.09009821605815</v>
      </c>
    </row>
    <row r="85" spans="1:15" ht="15.75" thickTop="1">
      <c r="C85" s="212" t="s">
        <v>200</v>
      </c>
      <c r="D85" s="212"/>
      <c r="E85" s="1357"/>
      <c r="F85" s="1323">
        <f>SUM(F78:F84)</f>
        <v>97411.297543693552</v>
      </c>
      <c r="G85" s="1323">
        <f>SUM(G78:G84)</f>
        <v>590.79377216687647</v>
      </c>
      <c r="H85" s="1791">
        <f>SUM(H78:H84)</f>
        <v>2.3782305433347335</v>
      </c>
      <c r="I85" s="1323">
        <f>SUM(I78:I84)</f>
        <v>112590.85454977921</v>
      </c>
      <c r="J85" s="257"/>
      <c r="K85" s="1265" t="s">
        <v>200</v>
      </c>
      <c r="L85" s="1265">
        <f>F85*1000/$AU$53</f>
        <v>7126.5573684319643</v>
      </c>
      <c r="M85" s="1265">
        <f>G85*1000/$AU$53</f>
        <v>43.22214996028606</v>
      </c>
      <c r="N85" s="1265">
        <f>H85*1000/$AU$53</f>
        <v>0.17399004868844758</v>
      </c>
      <c r="O85" s="1265">
        <f>I85*1000/$AU$53</f>
        <v>8237.085475120306</v>
      </c>
    </row>
    <row r="86" spans="1:15" ht="29.25" customHeight="1">
      <c r="E86" s="1354"/>
    </row>
    <row r="87" spans="1:15" ht="17.25" customHeight="1">
      <c r="C87" s="1109"/>
      <c r="D87" s="1263"/>
      <c r="E87" s="1263"/>
      <c r="F87" s="1903" t="s">
        <v>1183</v>
      </c>
      <c r="G87" s="1903"/>
      <c r="H87" s="1903"/>
      <c r="I87" s="1903"/>
      <c r="K87" s="183"/>
      <c r="L87" s="1156"/>
      <c r="M87" s="1156"/>
      <c r="N87" s="1156"/>
      <c r="O87" s="1156"/>
    </row>
    <row r="88" spans="1:15" ht="18.75" thickBot="1">
      <c r="A88" s="568"/>
      <c r="C88" s="665" t="s">
        <v>1147</v>
      </c>
      <c r="D88" s="216" t="s">
        <v>1145</v>
      </c>
      <c r="E88" s="216"/>
      <c r="F88" s="216" t="s">
        <v>265</v>
      </c>
      <c r="G88" s="216" t="s">
        <v>266</v>
      </c>
      <c r="H88" s="216" t="s">
        <v>267</v>
      </c>
      <c r="I88" s="216" t="s">
        <v>264</v>
      </c>
      <c r="J88" s="568"/>
    </row>
    <row r="89" spans="1:15" ht="15.75" thickTop="1">
      <c r="A89" s="568" t="s">
        <v>1722</v>
      </c>
      <c r="C89" s="183" t="str">
        <f>C79</f>
        <v xml:space="preserve">Vaporizer </v>
      </c>
      <c r="D89" s="183" t="str">
        <f t="shared" ref="D89" si="3">D79</f>
        <v>Boiler</v>
      </c>
      <c r="E89" s="183"/>
      <c r="F89" s="1100">
        <f t="shared" ref="F89:I90" si="4">F79</f>
        <v>234.87189660000359</v>
      </c>
      <c r="G89" s="1790">
        <f t="shared" si="4"/>
        <v>4.1976000000000001E-3</v>
      </c>
      <c r="H89" s="1790">
        <f t="shared" si="4"/>
        <v>1.3860000000000001E-3</v>
      </c>
      <c r="I89" s="1100">
        <f t="shared" si="4"/>
        <v>235.38986460000359</v>
      </c>
      <c r="J89" s="568"/>
      <c r="K89" s="208"/>
      <c r="L89" s="192"/>
      <c r="M89" s="192"/>
      <c r="N89" s="192"/>
      <c r="O89" s="192"/>
    </row>
    <row r="90" spans="1:15">
      <c r="A90" s="568" t="s">
        <v>1723</v>
      </c>
      <c r="C90" s="163" t="str">
        <f>C80</f>
        <v>Vaporizer</v>
      </c>
      <c r="D90" s="209" t="str">
        <f t="shared" ref="D90" si="5">D80</f>
        <v xml:space="preserve">Pump - power </v>
      </c>
      <c r="E90" s="209"/>
      <c r="F90" s="1237">
        <f t="shared" si="4"/>
        <v>0.14427439593432356</v>
      </c>
      <c r="G90" s="1771">
        <f t="shared" si="4"/>
        <v>2.7554855247005974E-4</v>
      </c>
      <c r="H90" s="1770">
        <f t="shared" si="4"/>
        <v>2.8261389996929196E-6</v>
      </c>
      <c r="I90" s="1237">
        <f t="shared" si="4"/>
        <v>0.15200529916798355</v>
      </c>
      <c r="J90" s="568"/>
      <c r="K90" s="208"/>
      <c r="L90" s="192"/>
      <c r="M90" s="192"/>
      <c r="N90" s="192"/>
      <c r="O90" s="192"/>
    </row>
    <row r="91" spans="1:15">
      <c r="A91" s="568"/>
      <c r="C91" s="1812" t="s">
        <v>200</v>
      </c>
      <c r="D91" s="1813"/>
      <c r="E91" s="1813"/>
      <c r="F91" s="1814">
        <f>F90+F89</f>
        <v>235.01617099593793</v>
      </c>
      <c r="G91" s="1815">
        <f t="shared" ref="G91:I91" si="6">G90+G89</f>
        <v>4.4731485524700599E-3</v>
      </c>
      <c r="H91" s="1818">
        <f t="shared" si="6"/>
        <v>1.388826138999693E-3</v>
      </c>
      <c r="I91" s="1816">
        <f t="shared" si="6"/>
        <v>235.54186989917159</v>
      </c>
      <c r="J91" s="568"/>
      <c r="K91" s="208"/>
      <c r="L91" s="192"/>
      <c r="M91" s="192"/>
      <c r="N91" s="192"/>
      <c r="O91" s="192"/>
    </row>
    <row r="92" spans="1:15">
      <c r="A92" s="568"/>
      <c r="C92" s="1388" t="s">
        <v>1729</v>
      </c>
      <c r="D92" s="1808"/>
      <c r="E92" s="1808"/>
      <c r="F92" s="1809">
        <f>F91/4</f>
        <v>58.754042748984482</v>
      </c>
      <c r="G92" s="1817">
        <f t="shared" ref="G92:I92" si="7">G91/4</f>
        <v>1.118287138117515E-3</v>
      </c>
      <c r="H92" s="1810">
        <f t="shared" si="7"/>
        <v>3.4720653474992324E-4</v>
      </c>
      <c r="I92" s="1811">
        <f t="shared" si="7"/>
        <v>58.885467474792897</v>
      </c>
      <c r="J92" s="568"/>
      <c r="K92" s="208"/>
      <c r="L92" s="192"/>
      <c r="M92" s="192"/>
      <c r="N92" s="192"/>
      <c r="O92" s="192"/>
    </row>
    <row r="93" spans="1:15">
      <c r="A93" s="568"/>
      <c r="C93" s="1274"/>
      <c r="D93" s="1275"/>
      <c r="E93" s="1275"/>
      <c r="F93" s="1275"/>
      <c r="G93" s="1156"/>
      <c r="H93" s="1156"/>
      <c r="I93" s="1156"/>
      <c r="J93" s="568"/>
      <c r="K93" s="208"/>
      <c r="L93" s="192"/>
      <c r="M93" s="192"/>
      <c r="N93" s="192"/>
      <c r="O93" s="192"/>
    </row>
    <row r="94" spans="1:15">
      <c r="A94" s="568"/>
      <c r="C94" s="579"/>
      <c r="D94" s="568"/>
      <c r="E94" s="568"/>
      <c r="F94" s="568"/>
      <c r="G94" s="568"/>
      <c r="H94" s="568"/>
      <c r="I94" s="568"/>
      <c r="J94" s="568"/>
      <c r="K94" s="265"/>
    </row>
    <row r="95" spans="1:15" ht="50.25" thickBot="1">
      <c r="A95" s="607" t="s">
        <v>1154</v>
      </c>
      <c r="C95" s="628" t="s">
        <v>1148</v>
      </c>
      <c r="D95" s="631" t="s">
        <v>1298</v>
      </c>
      <c r="E95" s="631" t="s">
        <v>1299</v>
      </c>
      <c r="F95" s="631" t="s">
        <v>991</v>
      </c>
      <c r="H95" s="568"/>
      <c r="I95" s="568"/>
      <c r="J95" s="568"/>
      <c r="K95" s="265"/>
    </row>
    <row r="96" spans="1:15" ht="15.75" thickTop="1">
      <c r="A96" s="568"/>
      <c r="C96" s="568" t="s">
        <v>992</v>
      </c>
      <c r="D96" s="574">
        <f>I111*J123</f>
        <v>2.3528258570854228</v>
      </c>
      <c r="E96" s="600">
        <f>J111*J123</f>
        <v>58.820646427135571</v>
      </c>
      <c r="F96" s="608">
        <f>(D123+D125)/D127*J123</f>
        <v>0.95955416730459586</v>
      </c>
      <c r="G96" s="568"/>
      <c r="H96" s="568" t="s">
        <v>1358</v>
      </c>
      <c r="I96" s="568"/>
      <c r="J96" s="568"/>
      <c r="K96" s="265"/>
    </row>
    <row r="97" spans="1:11">
      <c r="A97" s="568"/>
      <c r="C97" s="568" t="s">
        <v>993</v>
      </c>
      <c r="D97" s="574">
        <f>I115*J125</f>
        <v>6.416091944287035</v>
      </c>
      <c r="E97" s="609">
        <f>J115*J125</f>
        <v>160.40229860717588</v>
      </c>
      <c r="F97" s="608">
        <f>D125/D127*J125</f>
        <v>0.7434736912606561</v>
      </c>
      <c r="G97" s="568"/>
      <c r="H97" s="568"/>
      <c r="I97" s="568"/>
      <c r="J97" s="568"/>
      <c r="K97" s="265"/>
    </row>
    <row r="98" spans="1:11">
      <c r="A98" s="568"/>
      <c r="C98" s="568" t="s">
        <v>994</v>
      </c>
      <c r="D98" s="574">
        <f>I119*J126</f>
        <v>47.037225522511292</v>
      </c>
      <c r="E98" s="609">
        <f>J119*J126</f>
        <v>1175.9306380627822</v>
      </c>
      <c r="F98" s="608">
        <f>(D125+D126)/D127*J126</f>
        <v>0.76369660760835822</v>
      </c>
      <c r="G98" s="568"/>
      <c r="H98" s="568"/>
      <c r="I98" s="568">
        <v>10000</v>
      </c>
      <c r="J98" s="568" t="s">
        <v>279</v>
      </c>
      <c r="K98" s="265"/>
    </row>
    <row r="99" spans="1:11">
      <c r="A99" s="568"/>
      <c r="C99" s="629" t="s">
        <v>200</v>
      </c>
      <c r="D99" s="632">
        <f>SUM(D96:D98)</f>
        <v>55.806143323883752</v>
      </c>
      <c r="E99" s="630">
        <f>SUMPRODUCT(E96:E98,F96:F98)</f>
        <v>1073.7507245061581</v>
      </c>
      <c r="F99" s="633"/>
      <c r="G99" s="568"/>
      <c r="H99" s="568"/>
      <c r="I99" s="568">
        <v>0.5</v>
      </c>
      <c r="J99" s="568" t="s">
        <v>1359</v>
      </c>
      <c r="K99" s="265" t="s">
        <v>1360</v>
      </c>
    </row>
    <row r="100" spans="1:11">
      <c r="A100" s="568"/>
      <c r="C100" s="568" t="s">
        <v>1362</v>
      </c>
      <c r="D100" s="574"/>
      <c r="E100" s="609"/>
      <c r="F100" s="608"/>
      <c r="G100" s="568"/>
      <c r="H100" s="568"/>
      <c r="I100" s="568">
        <f>I99*0.4</f>
        <v>0.2</v>
      </c>
      <c r="J100" s="568" t="s">
        <v>1361</v>
      </c>
      <c r="K100" s="265"/>
    </row>
    <row r="101" spans="1:11">
      <c r="A101" s="568"/>
      <c r="C101" s="568"/>
      <c r="D101" s="574"/>
      <c r="E101" s="609"/>
      <c r="F101" s="608"/>
      <c r="G101" s="568"/>
      <c r="H101" s="568"/>
      <c r="I101" s="568">
        <f>I100/I98/80000*1000000</f>
        <v>2.5000000000000001E-4</v>
      </c>
      <c r="J101" s="568"/>
      <c r="K101" s="265"/>
    </row>
    <row r="102" spans="1:11">
      <c r="A102" s="568"/>
      <c r="C102" s="568"/>
      <c r="D102" s="574"/>
      <c r="E102" s="609"/>
      <c r="F102" s="608"/>
      <c r="G102" s="568"/>
      <c r="H102" s="568"/>
      <c r="I102" s="568"/>
      <c r="J102" s="568"/>
      <c r="K102" s="265"/>
    </row>
    <row r="103" spans="1:11">
      <c r="A103" s="568"/>
      <c r="C103" s="568"/>
      <c r="D103" s="574"/>
      <c r="E103" s="609"/>
      <c r="F103" s="608"/>
      <c r="G103" s="568"/>
      <c r="H103" s="568"/>
      <c r="I103" s="568"/>
      <c r="J103" s="568"/>
      <c r="K103" s="265"/>
    </row>
    <row r="104" spans="1:11">
      <c r="A104" s="568"/>
      <c r="C104" s="568"/>
      <c r="D104" s="568"/>
      <c r="E104" s="568"/>
      <c r="F104" s="568"/>
      <c r="G104" s="568"/>
      <c r="H104" s="568"/>
      <c r="I104" s="568"/>
      <c r="J104" s="568"/>
      <c r="K104" s="265"/>
    </row>
    <row r="105" spans="1:11" ht="15.75" thickBot="1">
      <c r="A105" s="568"/>
      <c r="C105" s="627" t="s">
        <v>995</v>
      </c>
      <c r="D105" s="683">
        <f>E127</f>
        <v>2.1087448485433468E-3</v>
      </c>
      <c r="E105" s="617" t="s">
        <v>996</v>
      </c>
      <c r="F105" s="617"/>
      <c r="G105" s="568"/>
      <c r="H105" s="611"/>
      <c r="I105" s="611"/>
      <c r="J105" s="568"/>
      <c r="K105" s="265"/>
    </row>
    <row r="106" spans="1:11" ht="15.75" thickTop="1">
      <c r="A106" s="568"/>
      <c r="C106" s="568"/>
      <c r="D106" s="568"/>
      <c r="E106" s="568"/>
      <c r="F106" s="568"/>
      <c r="G106" s="568"/>
      <c r="H106" s="611"/>
      <c r="I106" s="611"/>
      <c r="J106" s="568"/>
      <c r="K106" s="265"/>
    </row>
    <row r="107" spans="1:11" ht="15.75" thickBot="1">
      <c r="A107" s="568"/>
      <c r="C107" s="617" t="s">
        <v>997</v>
      </c>
      <c r="D107" s="684">
        <v>380000</v>
      </c>
      <c r="E107" s="617" t="s">
        <v>998</v>
      </c>
      <c r="F107" s="617"/>
      <c r="G107" s="568"/>
      <c r="H107" s="611"/>
      <c r="I107" s="611"/>
      <c r="J107" s="568"/>
      <c r="K107" s="265"/>
    </row>
    <row r="108" spans="1:11" ht="15.75" thickTop="1">
      <c r="A108" s="568"/>
      <c r="C108" s="568"/>
      <c r="D108" s="609"/>
      <c r="E108" s="568"/>
      <c r="F108" s="568"/>
      <c r="G108" s="568"/>
      <c r="H108" s="568"/>
      <c r="I108" s="568"/>
      <c r="J108" s="568"/>
      <c r="K108" s="265"/>
    </row>
    <row r="109" spans="1:11">
      <c r="A109" s="568"/>
      <c r="C109" s="1408" t="s">
        <v>999</v>
      </c>
      <c r="D109" s="568"/>
      <c r="E109" s="568"/>
      <c r="F109" s="568"/>
      <c r="G109" s="568"/>
      <c r="H109" s="568"/>
      <c r="I109" s="568"/>
      <c r="J109" s="568"/>
      <c r="K109" s="265"/>
    </row>
    <row r="110" spans="1:11" ht="60.75" thickBot="1">
      <c r="A110" s="568"/>
      <c r="C110" s="1409" t="s">
        <v>1000</v>
      </c>
      <c r="D110" s="617"/>
      <c r="E110" s="618" t="s">
        <v>1001</v>
      </c>
      <c r="F110" s="619" t="s">
        <v>1002</v>
      </c>
      <c r="G110" s="619" t="s">
        <v>1003</v>
      </c>
      <c r="H110" s="619" t="s">
        <v>1004</v>
      </c>
      <c r="I110" s="619" t="s">
        <v>1283</v>
      </c>
      <c r="J110" s="619" t="s">
        <v>1284</v>
      </c>
      <c r="K110" s="265"/>
    </row>
    <row r="111" spans="1:11" ht="15.75" thickTop="1">
      <c r="A111" s="568"/>
      <c r="C111" s="1410">
        <v>2.2000000000000001E-3</v>
      </c>
      <c r="D111" s="635"/>
      <c r="E111" s="634">
        <v>0.95</v>
      </c>
      <c r="F111" s="621">
        <f>C111*(1-E111)</f>
        <v>1.100000000000001E-4</v>
      </c>
      <c r="G111" s="622">
        <f>G115+H111</f>
        <v>380994.03823803569</v>
      </c>
      <c r="H111" s="623">
        <f>G115/(1-F111)-G115</f>
        <v>41.909344206214882</v>
      </c>
      <c r="I111" s="624">
        <f>H111*Fuel_Specs!$E$25/($D$107*Fuel_Specs!$C$25/1000000)</f>
        <v>2.3528258570854228</v>
      </c>
      <c r="J111" s="622">
        <f>I111*CH4_GWP</f>
        <v>58.820646427135571</v>
      </c>
      <c r="K111" s="265"/>
    </row>
    <row r="112" spans="1:11">
      <c r="A112" s="568"/>
      <c r="C112" s="1411"/>
      <c r="D112" s="568"/>
      <c r="E112" s="614"/>
      <c r="F112" s="615"/>
      <c r="G112" s="616"/>
      <c r="H112" s="625"/>
      <c r="I112" s="605"/>
      <c r="J112" s="616"/>
      <c r="K112" s="265"/>
    </row>
    <row r="113" spans="1:17">
      <c r="A113" s="568"/>
      <c r="C113" s="1408" t="s">
        <v>993</v>
      </c>
      <c r="D113" s="613"/>
      <c r="E113" s="614"/>
      <c r="F113" s="614"/>
      <c r="G113" s="615"/>
      <c r="H113" s="616"/>
      <c r="I113" s="612"/>
      <c r="J113" s="605"/>
      <c r="K113" s="265"/>
    </row>
    <row r="114" spans="1:17" ht="60.75" thickBot="1">
      <c r="A114" s="568"/>
      <c r="C114" s="1412" t="s">
        <v>1005</v>
      </c>
      <c r="D114" s="618" t="s">
        <v>1006</v>
      </c>
      <c r="E114" s="618" t="s">
        <v>1001</v>
      </c>
      <c r="F114" s="619" t="s">
        <v>1002</v>
      </c>
      <c r="G114" s="619" t="s">
        <v>1003</v>
      </c>
      <c r="H114" s="619" t="s">
        <v>1004</v>
      </c>
      <c r="I114" s="619" t="s">
        <v>1710</v>
      </c>
      <c r="J114" s="619" t="s">
        <v>1711</v>
      </c>
      <c r="K114" s="265"/>
    </row>
    <row r="115" spans="1:17" ht="15.75" thickTop="1">
      <c r="A115" s="177" t="s">
        <v>1477</v>
      </c>
      <c r="C115" s="1410">
        <v>1.5E-3</v>
      </c>
      <c r="D115" s="637">
        <v>4</v>
      </c>
      <c r="E115" s="634">
        <f>Input!H27</f>
        <v>0.95</v>
      </c>
      <c r="F115" s="1401">
        <f>C115*D115*(1-E115)</f>
        <v>3.000000000000003E-4</v>
      </c>
      <c r="G115" s="622">
        <f>G119+H115</f>
        <v>380952.12889382947</v>
      </c>
      <c r="H115" s="622">
        <f>G119/(1-F115)-G119</f>
        <v>114.28563866810873</v>
      </c>
      <c r="I115" s="624">
        <f>H115*Fuel_Specs!$E$25/($D$107*Fuel_Specs!$C$25/1000000)</f>
        <v>6.416091944287035</v>
      </c>
      <c r="J115" s="622">
        <f>I115*CH4_GWP</f>
        <v>160.40229860717588</v>
      </c>
      <c r="K115" s="265"/>
    </row>
    <row r="116" spans="1:17">
      <c r="A116" s="568"/>
      <c r="C116" s="1411"/>
      <c r="D116" s="612"/>
      <c r="E116" s="614"/>
      <c r="F116" s="626"/>
      <c r="G116" s="616"/>
      <c r="H116" s="616"/>
      <c r="I116" s="605"/>
      <c r="J116" s="616"/>
      <c r="K116" s="265"/>
    </row>
    <row r="117" spans="1:17">
      <c r="A117" s="568"/>
      <c r="C117" s="1408" t="s">
        <v>994</v>
      </c>
      <c r="D117" s="612"/>
      <c r="E117" s="612"/>
      <c r="F117" s="612"/>
      <c r="G117" s="612"/>
      <c r="H117" s="612"/>
      <c r="I117" s="612"/>
      <c r="J117" s="612"/>
      <c r="K117" s="265"/>
    </row>
    <row r="118" spans="1:17" ht="60.75" thickBot="1">
      <c r="A118" s="568"/>
      <c r="C118" s="1409" t="s">
        <v>1000</v>
      </c>
      <c r="D118" s="617"/>
      <c r="E118" s="618" t="s">
        <v>1001</v>
      </c>
      <c r="F118" s="619" t="s">
        <v>1002</v>
      </c>
      <c r="G118" s="619" t="s">
        <v>1003</v>
      </c>
      <c r="H118" s="619" t="s">
        <v>1004</v>
      </c>
      <c r="I118" s="619" t="s">
        <v>1283</v>
      </c>
      <c r="J118" s="619" t="s">
        <v>1284</v>
      </c>
      <c r="K118" s="265"/>
    </row>
    <row r="119" spans="1:17" ht="15.75" thickTop="1">
      <c r="A119" s="568"/>
      <c r="C119" s="1410">
        <v>2.2000000000000001E-3</v>
      </c>
      <c r="D119" s="635"/>
      <c r="E119" s="634">
        <v>0</v>
      </c>
      <c r="F119" s="620">
        <f>C119*(1-E119)</f>
        <v>2.2000000000000001E-3</v>
      </c>
      <c r="G119" s="622">
        <f>H119+D107</f>
        <v>380837.84325516137</v>
      </c>
      <c r="H119" s="622">
        <f>D107/(1-F119)-D107</f>
        <v>837.84325516136596</v>
      </c>
      <c r="I119" s="624">
        <f>H119*Fuel_Specs!$E$25/($D$107*Fuel_Specs!$C$25/1000000)</f>
        <v>47.037225522511292</v>
      </c>
      <c r="J119" s="622">
        <f>I119*CH4_GWP</f>
        <v>1175.9306380627822</v>
      </c>
      <c r="K119" s="265"/>
    </row>
    <row r="120" spans="1:17">
      <c r="A120" s="568"/>
      <c r="C120" s="613"/>
      <c r="D120" s="568"/>
      <c r="E120" s="614"/>
      <c r="F120" s="613"/>
      <c r="G120" s="616"/>
      <c r="H120" s="616"/>
      <c r="I120" s="605"/>
      <c r="J120" s="616"/>
      <c r="K120" s="265"/>
    </row>
    <row r="121" spans="1:17">
      <c r="A121" s="568"/>
      <c r="C121" s="613"/>
      <c r="D121" s="568"/>
      <c r="E121" s="614"/>
      <c r="F121" s="613"/>
      <c r="G121" s="616"/>
      <c r="H121" s="616"/>
      <c r="I121" s="605"/>
      <c r="J121" s="616"/>
      <c r="K121" s="265"/>
    </row>
    <row r="122" spans="1:17" ht="48.75" thickBot="1">
      <c r="A122" s="568"/>
      <c r="C122" s="1090" t="s">
        <v>1499</v>
      </c>
      <c r="D122" s="631" t="s">
        <v>1007</v>
      </c>
      <c r="E122" s="1244" t="s">
        <v>995</v>
      </c>
      <c r="F122" s="631" t="s">
        <v>1156</v>
      </c>
      <c r="G122" s="631" t="s">
        <v>1285</v>
      </c>
      <c r="H122" s="631" t="s">
        <v>1300</v>
      </c>
      <c r="I122" s="568"/>
      <c r="J122" s="612" t="s">
        <v>1041</v>
      </c>
      <c r="K122" s="265"/>
      <c r="M122" s="1396" t="s">
        <v>1378</v>
      </c>
      <c r="N122" s="1396"/>
      <c r="O122" s="1396"/>
      <c r="P122" s="183"/>
      <c r="Q122" s="183"/>
    </row>
    <row r="123" spans="1:17" ht="16.5" thickTop="1" thickBot="1">
      <c r="A123" s="568"/>
      <c r="C123" s="568" t="s">
        <v>1008</v>
      </c>
      <c r="D123" s="609">
        <f>'Direct End use'!E30*1000000</f>
        <v>37931506.849315017</v>
      </c>
      <c r="E123" s="610">
        <f>(1/((1-F111)))-1</f>
        <v>1.1001210133110284E-4</v>
      </c>
      <c r="F123" s="609">
        <f>D123*E123</f>
        <v>4172.9247751482653</v>
      </c>
      <c r="G123" s="609">
        <f>F123*Fuel_Specs!$E$25/1000000</f>
        <v>6.8686341798940447</v>
      </c>
      <c r="H123" s="609">
        <f>G123*CH4_GWP</f>
        <v>171.71585449735113</v>
      </c>
      <c r="I123" s="568"/>
      <c r="J123" s="612">
        <f>IF(D123&gt;0,1,0)</f>
        <v>1</v>
      </c>
      <c r="K123" s="265"/>
      <c r="M123" s="1396" t="s">
        <v>1377</v>
      </c>
      <c r="N123" s="1396"/>
      <c r="O123" s="1396"/>
      <c r="P123" s="183"/>
      <c r="Q123" s="183"/>
    </row>
    <row r="124" spans="1:17" ht="15.75" thickTop="1">
      <c r="A124" s="568"/>
      <c r="C124" s="568" t="s">
        <v>1617</v>
      </c>
      <c r="D124" s="609">
        <f>+'Direct End use'!E27*1000000</f>
        <v>3550000</v>
      </c>
      <c r="E124" s="610">
        <f>'GREET LNG'!D27+'GREET LNG'!E27</f>
        <v>4.7243137605381905E-3</v>
      </c>
      <c r="F124" s="609">
        <f>D124*E124</f>
        <v>16771.313849910577</v>
      </c>
      <c r="G124" s="609">
        <f>F124/1000000*Fuel_Specs!$E$25</f>
        <v>27.605582596952807</v>
      </c>
      <c r="H124" s="609">
        <f>G124*CH4_GWP</f>
        <v>690.13956492382022</v>
      </c>
      <c r="I124" s="568"/>
      <c r="J124" s="612">
        <f>IF(D124&gt;0,1,0)</f>
        <v>1</v>
      </c>
      <c r="K124" s="265"/>
      <c r="M124" s="1573"/>
      <c r="N124" s="1573"/>
      <c r="O124" s="1573"/>
      <c r="P124" s="183"/>
      <c r="Q124" s="183"/>
    </row>
    <row r="125" spans="1:17">
      <c r="A125" s="568"/>
      <c r="C125" s="568" t="s">
        <v>1009</v>
      </c>
      <c r="D125" s="609">
        <f>'Direct End use'!E38*1000000</f>
        <v>130511918.19201855</v>
      </c>
      <c r="E125" s="610">
        <f>(1/((1-F111)*(1-F115)*(1-F119)))-1</f>
        <v>2.6158901000938872E-3</v>
      </c>
      <c r="F125" s="609">
        <f>D125*E125</f>
        <v>341404.83474276465</v>
      </c>
      <c r="G125" s="609">
        <f>F125/1000000*Fuel_Specs!$E$25</f>
        <v>561.95235798659064</v>
      </c>
      <c r="H125" s="609">
        <f>G125*CH4_GWP</f>
        <v>14048.808949664766</v>
      </c>
      <c r="I125" s="568"/>
      <c r="J125" s="612">
        <f>IF(D125&gt;0,1,0)</f>
        <v>1</v>
      </c>
      <c r="K125" s="265"/>
      <c r="M125" s="183"/>
      <c r="N125" s="183"/>
      <c r="O125" s="183"/>
      <c r="P125" s="183"/>
      <c r="Q125" s="183"/>
    </row>
    <row r="126" spans="1:17">
      <c r="A126" s="568"/>
      <c r="C126" s="568" t="s">
        <v>358</v>
      </c>
      <c r="D126" s="609">
        <f>('Direct End use'!E34+'Direct End use'!E24)*1000000</f>
        <v>3550000</v>
      </c>
      <c r="E126" s="610">
        <f>(1/((1-F119)))-1</f>
        <v>2.2048506714771321E-3</v>
      </c>
      <c r="F126" s="609">
        <f>D126*E126</f>
        <v>7827.2198837438191</v>
      </c>
      <c r="G126" s="609">
        <f>F126/1000000*Fuel_Specs!$E$25</f>
        <v>12.883603928642327</v>
      </c>
      <c r="H126" s="609">
        <f>G126*CH4_GWP</f>
        <v>322.09009821605815</v>
      </c>
      <c r="I126" s="568"/>
      <c r="J126" s="612">
        <f>IF(D126&gt;0,1,0)</f>
        <v>1</v>
      </c>
      <c r="K126" s="265"/>
      <c r="M126" s="183"/>
      <c r="N126" s="183"/>
      <c r="O126" s="183"/>
      <c r="P126" s="183"/>
      <c r="Q126" s="183"/>
    </row>
    <row r="127" spans="1:17">
      <c r="C127" s="706" t="s">
        <v>200</v>
      </c>
      <c r="D127" s="707">
        <f>SUM(D123:D126)</f>
        <v>175543425.04133356</v>
      </c>
      <c r="E127" s="708">
        <f>SUMPRODUCT(D123:D126,E123:E126)/D127</f>
        <v>2.1087448485433468E-3</v>
      </c>
      <c r="F127" s="707">
        <f>D127*E127</f>
        <v>370176.29325156729</v>
      </c>
      <c r="G127" s="707">
        <f>SUM(G123:G126)</f>
        <v>609.31017869207983</v>
      </c>
      <c r="H127" s="707">
        <f>G127*CH4_GWP</f>
        <v>15232.754467301997</v>
      </c>
      <c r="I127" s="568"/>
      <c r="J127" s="568"/>
      <c r="K127" s="265"/>
    </row>
    <row r="128" spans="1:17">
      <c r="C128" s="579" t="s">
        <v>886</v>
      </c>
      <c r="K128" s="265"/>
    </row>
    <row r="129" spans="1:19">
      <c r="C129" s="579"/>
      <c r="K129" s="265"/>
    </row>
    <row r="130" spans="1:19" ht="15.75" thickBot="1">
      <c r="K130" s="265"/>
      <c r="N130" s="1447" t="s">
        <v>537</v>
      </c>
      <c r="O130" s="169"/>
      <c r="P130" s="169"/>
      <c r="Q130" s="169"/>
    </row>
    <row r="131" spans="1:19" ht="21.75" thickTop="1">
      <c r="A131" s="1098" t="s">
        <v>1153</v>
      </c>
      <c r="C131" s="267" t="s">
        <v>1149</v>
      </c>
      <c r="D131" s="1847" t="s">
        <v>1183</v>
      </c>
      <c r="E131" s="1847"/>
      <c r="F131" s="1847"/>
      <c r="G131" s="1847"/>
      <c r="I131" s="1303" t="s">
        <v>1421</v>
      </c>
      <c r="N131" s="236" t="s">
        <v>536</v>
      </c>
      <c r="O131" s="244"/>
      <c r="P131" s="1908" t="s">
        <v>535</v>
      </c>
      <c r="Q131" s="1908"/>
      <c r="R131" s="1908"/>
      <c r="S131" s="1908"/>
    </row>
    <row r="132" spans="1:19" ht="18.75" thickBot="1">
      <c r="C132" s="145"/>
      <c r="D132" s="187" t="s">
        <v>265</v>
      </c>
      <c r="E132" s="187" t="s">
        <v>266</v>
      </c>
      <c r="F132" s="187" t="s">
        <v>267</v>
      </c>
      <c r="G132" s="187" t="s">
        <v>264</v>
      </c>
      <c r="H132" s="1156" t="s">
        <v>125</v>
      </c>
      <c r="I132" s="1255" t="s">
        <v>1478</v>
      </c>
      <c r="J132" t="s">
        <v>1325</v>
      </c>
      <c r="N132" s="182"/>
      <c r="O132" s="182"/>
      <c r="P132" s="187" t="s">
        <v>265</v>
      </c>
      <c r="Q132" s="187" t="s">
        <v>266</v>
      </c>
      <c r="R132" s="187" t="s">
        <v>267</v>
      </c>
      <c r="S132" s="187" t="s">
        <v>264</v>
      </c>
    </row>
    <row r="133" spans="1:19" ht="15.75" thickTop="1">
      <c r="C133" s="190" t="s">
        <v>1418</v>
      </c>
      <c r="D133" s="192">
        <f>$F$72</f>
        <v>10713.005417040165</v>
      </c>
      <c r="E133" s="195">
        <f>G72+G76</f>
        <v>0.19146144000000001</v>
      </c>
      <c r="F133" s="195">
        <f>H72+H76</f>
        <v>6.3218399999999994E-2</v>
      </c>
      <c r="G133" s="192">
        <f t="shared" ref="G133:G138" si="8">D133+E133*CH4_GWP+F133*N2O_GWP</f>
        <v>10736.631036240165</v>
      </c>
      <c r="H133" s="192">
        <f t="shared" ref="H133:H138" si="9">D133*C_MW/CO2_MW+E133+C_MW/CH4_MW</f>
        <v>2925.360526409801</v>
      </c>
      <c r="I133" s="1256">
        <f>4930*2</f>
        <v>9860</v>
      </c>
      <c r="J133" t="s">
        <v>1480</v>
      </c>
      <c r="N133" s="190" t="s">
        <v>369</v>
      </c>
      <c r="P133" s="264">
        <v>27110</v>
      </c>
      <c r="Q133" s="251">
        <v>40</v>
      </c>
      <c r="R133" s="251">
        <v>3.3000000000000002E-2</v>
      </c>
      <c r="S133" s="264">
        <v>28131</v>
      </c>
    </row>
    <row r="134" spans="1:19">
      <c r="C134" s="190" t="s">
        <v>1416</v>
      </c>
      <c r="D134" s="192">
        <f>$F$76</f>
        <v>1719.6141576652828</v>
      </c>
      <c r="E134" s="150"/>
      <c r="F134" s="150"/>
      <c r="G134" s="164">
        <f t="shared" si="8"/>
        <v>1719.6141576652828</v>
      </c>
      <c r="H134" s="192">
        <f t="shared" si="9"/>
        <v>470.1664308243852</v>
      </c>
    </row>
    <row r="135" spans="1:19">
      <c r="C135" s="190" t="s">
        <v>1422</v>
      </c>
      <c r="D135" s="192">
        <f>F73</f>
        <v>57415.879957420279</v>
      </c>
      <c r="E135" s="228">
        <f>G73</f>
        <v>0.8866614381402711</v>
      </c>
      <c r="F135" s="228">
        <f>H73</f>
        <v>0.89335322257906558</v>
      </c>
      <c r="G135" s="192">
        <f t="shared" si="8"/>
        <v>57704.265753702341</v>
      </c>
      <c r="H135" s="192">
        <f t="shared" si="9"/>
        <v>15674.937289775573</v>
      </c>
      <c r="I135" s="1256">
        <f>28131*2</f>
        <v>56262</v>
      </c>
      <c r="J135" t="s">
        <v>1479</v>
      </c>
      <c r="N135" s="190" t="s">
        <v>370</v>
      </c>
      <c r="P135" s="264">
        <v>841</v>
      </c>
      <c r="Q135" s="251">
        <v>3.5999999999999997E-2</v>
      </c>
      <c r="R135" s="251">
        <v>1.6000000000000001E-3</v>
      </c>
      <c r="S135" s="264">
        <v>842</v>
      </c>
    </row>
    <row r="136" spans="1:19">
      <c r="C136" s="190" t="s">
        <v>1327</v>
      </c>
      <c r="D136" s="164">
        <f>+F74</f>
        <v>26805.558983901479</v>
      </c>
      <c r="E136" s="179">
        <f>+G74</f>
        <v>0.41627028937851446</v>
      </c>
      <c r="F136" s="179">
        <f>+H74</f>
        <v>0.41627028937851446</v>
      </c>
      <c r="G136" s="164">
        <f t="shared" si="8"/>
        <v>26940.014287370737</v>
      </c>
      <c r="H136" s="192">
        <f t="shared" si="9"/>
        <v>7318.5067880634933</v>
      </c>
      <c r="I136" s="1257" t="s">
        <v>1417</v>
      </c>
      <c r="N136" s="190" t="s">
        <v>533</v>
      </c>
      <c r="P136" s="264">
        <v>4183</v>
      </c>
      <c r="Q136" s="251">
        <v>7.8799999999999995E-2</v>
      </c>
      <c r="R136" s="251">
        <v>7.9000000000000008E-3</v>
      </c>
      <c r="S136" s="264">
        <v>4186</v>
      </c>
    </row>
    <row r="137" spans="1:19">
      <c r="C137" s="190" t="str">
        <f>C77</f>
        <v>Fugitives</v>
      </c>
      <c r="D137" s="192">
        <f>F77</f>
        <v>0</v>
      </c>
      <c r="E137" s="195">
        <f>G77</f>
        <v>7.5621711258278141</v>
      </c>
      <c r="F137" s="195">
        <f>H77</f>
        <v>0</v>
      </c>
      <c r="G137" s="192">
        <f t="shared" si="8"/>
        <v>189.05427814569535</v>
      </c>
      <c r="H137" s="192">
        <f t="shared" si="9"/>
        <v>8.3108745293934536</v>
      </c>
      <c r="I137" s="1256">
        <f>95*2</f>
        <v>190</v>
      </c>
      <c r="N137" s="190" t="s">
        <v>534</v>
      </c>
      <c r="P137" s="264">
        <v>744</v>
      </c>
      <c r="Q137" s="251">
        <v>1.4E-2</v>
      </c>
      <c r="R137" s="251">
        <v>1.4E-3</v>
      </c>
      <c r="S137" s="264">
        <v>744</v>
      </c>
    </row>
    <row r="138" spans="1:19">
      <c r="C138" s="190" t="str">
        <f>C67</f>
        <v>Emergency  Generator</v>
      </c>
      <c r="D138" s="164">
        <f>F75</f>
        <v>521.22285667041433</v>
      </c>
      <c r="E138" s="184">
        <f>G75</f>
        <v>2.8138629850410487E-2</v>
      </c>
      <c r="F138" s="184">
        <f>H75</f>
        <v>3.9998052381535866E-3</v>
      </c>
      <c r="G138" s="164">
        <f t="shared" si="8"/>
        <v>523.11826437764432</v>
      </c>
      <c r="H138" s="192">
        <f t="shared" si="9"/>
        <v>143.05948594360763</v>
      </c>
      <c r="I138" s="1256">
        <v>536</v>
      </c>
      <c r="N138" s="190" t="s">
        <v>538</v>
      </c>
      <c r="P138" s="264">
        <v>534</v>
      </c>
      <c r="Q138" s="251">
        <v>0.03</v>
      </c>
      <c r="R138" s="251">
        <v>6.0000000000000001E-3</v>
      </c>
      <c r="S138" s="264">
        <v>536</v>
      </c>
    </row>
    <row r="139" spans="1:19">
      <c r="C139" s="934" t="s">
        <v>1108</v>
      </c>
      <c r="D139" s="1345">
        <f>SUM(D133:D138)</f>
        <v>97175.281372697616</v>
      </c>
      <c r="E139" s="1394">
        <f>SUM(E133:E138)</f>
        <v>9.0847029231970104</v>
      </c>
      <c r="F139" s="1394">
        <f>SUM(F133:F138)</f>
        <v>1.3768417171957337</v>
      </c>
      <c r="G139" s="1345">
        <f>D139+E139*CH4_GWP+F139*N2O_GWP+I139</f>
        <v>97812.697777501875</v>
      </c>
      <c r="H139" s="1345">
        <f>SUM(H133:H138)</f>
        <v>26540.341395546253</v>
      </c>
      <c r="I139" s="144">
        <f>J139*G133</f>
        <v>0</v>
      </c>
      <c r="J139">
        <f>IF(Input!C24="NO",-1,0)</f>
        <v>0</v>
      </c>
      <c r="K139" t="s">
        <v>1426</v>
      </c>
      <c r="N139" s="190" t="s">
        <v>371</v>
      </c>
      <c r="P139" s="264" t="s">
        <v>532</v>
      </c>
      <c r="Q139" s="251"/>
      <c r="R139" s="251" t="s">
        <v>532</v>
      </c>
      <c r="S139" s="264">
        <v>95</v>
      </c>
    </row>
    <row r="140" spans="1:19">
      <c r="C140" s="190" t="s">
        <v>370</v>
      </c>
      <c r="D140" s="179">
        <f>F79</f>
        <v>234.87189660000359</v>
      </c>
      <c r="E140" s="184">
        <f>G79</f>
        <v>4.1976000000000001E-3</v>
      </c>
      <c r="F140" s="184">
        <f>H79</f>
        <v>1.3860000000000001E-3</v>
      </c>
      <c r="G140" s="179">
        <f>D140+E140*CH4_GWP+F140*N2O_GWP</f>
        <v>235.38986460000359</v>
      </c>
      <c r="H140" s="192">
        <f>D140*C_MW/CO2_MW+E140+C_MW/CH4_MW</f>
        <v>64.867883684728113</v>
      </c>
      <c r="I140" s="1257"/>
      <c r="N140" s="266" t="s">
        <v>200</v>
      </c>
      <c r="O140" s="266"/>
      <c r="P140" s="266">
        <v>33411</v>
      </c>
      <c r="Q140" s="266">
        <v>40.6</v>
      </c>
      <c r="R140" s="266">
        <v>0.05</v>
      </c>
      <c r="S140" s="266">
        <v>34533</v>
      </c>
    </row>
    <row r="141" spans="1:19">
      <c r="C141" s="149" t="s">
        <v>1498</v>
      </c>
      <c r="D141" s="150">
        <v>0</v>
      </c>
      <c r="E141" s="184">
        <f>G127</f>
        <v>609.31017869207983</v>
      </c>
      <c r="F141" s="184">
        <v>0</v>
      </c>
      <c r="G141" s="164">
        <f>D141+E141*CH4_GWP+F141*N2O_GWP</f>
        <v>15232.754467301997</v>
      </c>
      <c r="H141" s="192">
        <f>D141*C_MW/CO2_MW+E141+C_MW/CH4_MW</f>
        <v>610.05888209564546</v>
      </c>
      <c r="I141" s="1256">
        <f>842*2</f>
        <v>1684</v>
      </c>
    </row>
    <row r="142" spans="1:19">
      <c r="C142" s="935" t="s">
        <v>200</v>
      </c>
      <c r="D142" s="1345">
        <f>SUM(D139:D140)</f>
        <v>97410.153269297618</v>
      </c>
      <c r="E142" s="1394">
        <f>SUM(E139:E140)</f>
        <v>9.0889005231970099</v>
      </c>
      <c r="F142" s="1394">
        <f>SUM(F139:F140)</f>
        <v>1.3782277171957338</v>
      </c>
      <c r="G142" s="1345">
        <f>D142+E142*CH4_GWP+F142*N2O_GWP</f>
        <v>98048.087642101862</v>
      </c>
      <c r="H142" s="1345">
        <f>SUM(H139:H140)</f>
        <v>26605.209279230981</v>
      </c>
      <c r="I142" s="148">
        <f>SUM(I133:I141)</f>
        <v>68532</v>
      </c>
    </row>
    <row r="143" spans="1:19">
      <c r="K143" s="265"/>
    </row>
    <row r="144" spans="1:19">
      <c r="C144" t="s">
        <v>1423</v>
      </c>
      <c r="K144" s="265"/>
    </row>
    <row r="145" spans="1:11">
      <c r="C145" s="1347">
        <f>AU34*1000/Input!D28</f>
        <v>25100.051087687385</v>
      </c>
      <c r="D145" t="s">
        <v>1424</v>
      </c>
      <c r="K145" s="265"/>
    </row>
    <row r="146" spans="1:11">
      <c r="C146" s="1347">
        <f>C145/Fuel_Specs!E24*1000</f>
        <v>13052.548667544143</v>
      </c>
      <c r="D146" t="s">
        <v>352</v>
      </c>
      <c r="K146" s="265"/>
    </row>
    <row r="147" spans="1:11">
      <c r="K147" s="265"/>
    </row>
    <row r="148" spans="1:11">
      <c r="K148" s="265"/>
    </row>
    <row r="149" spans="1:11">
      <c r="E149" s="245"/>
      <c r="F149" s="245"/>
    </row>
    <row r="150" spans="1:11" ht="21.75" thickBot="1">
      <c r="A150" s="1098" t="s">
        <v>1496</v>
      </c>
      <c r="C150" s="1476" t="s">
        <v>192</v>
      </c>
      <c r="D150" s="1477" t="s">
        <v>1492</v>
      </c>
      <c r="E150" s="1477" t="s">
        <v>963</v>
      </c>
      <c r="F150" s="1477" t="s">
        <v>32</v>
      </c>
    </row>
    <row r="151" spans="1:11" ht="15.75" thickTop="1">
      <c r="C151" t="s">
        <v>1450</v>
      </c>
      <c r="D151" s="150" t="s">
        <v>1493</v>
      </c>
      <c r="E151" s="1478">
        <v>1.1168472778229199</v>
      </c>
      <c r="F151" s="1478">
        <v>1.1094434467043528</v>
      </c>
    </row>
    <row r="152" spans="1:11">
      <c r="C152" s="163" t="s">
        <v>1494</v>
      </c>
      <c r="D152" s="1479" t="s">
        <v>1495</v>
      </c>
      <c r="E152" s="1480">
        <v>1348</v>
      </c>
      <c r="F152" s="1480">
        <v>43.887063554183051</v>
      </c>
    </row>
    <row r="153" spans="1:11">
      <c r="E153" s="245"/>
      <c r="F153" s="245"/>
    </row>
    <row r="154" spans="1:11">
      <c r="E154" s="245"/>
      <c r="F154" s="245"/>
    </row>
    <row r="155" spans="1:11">
      <c r="E155" s="245"/>
      <c r="F155" s="245"/>
    </row>
    <row r="156" spans="1:11">
      <c r="E156" s="245"/>
      <c r="F156" s="245"/>
    </row>
    <row r="157" spans="1:11">
      <c r="E157" s="245"/>
      <c r="F157" s="245"/>
    </row>
  </sheetData>
  <mergeCells count="14">
    <mergeCell ref="AH32:AH33"/>
    <mergeCell ref="AR44:AR45"/>
    <mergeCell ref="AJ41:AL43"/>
    <mergeCell ref="AR38:AR40"/>
    <mergeCell ref="D131:G131"/>
    <mergeCell ref="F70:I70"/>
    <mergeCell ref="F62:I62"/>
    <mergeCell ref="F87:I87"/>
    <mergeCell ref="AR42:AS43"/>
    <mergeCell ref="P131:S131"/>
    <mergeCell ref="V36:W36"/>
    <mergeCell ref="AR46:AS47"/>
    <mergeCell ref="AO37:AP38"/>
    <mergeCell ref="AO41:AP43"/>
  </mergeCells>
  <hyperlinks>
    <hyperlink ref="C128" r:id="rId1"/>
  </hyperlinks>
  <pageMargins left="0.7" right="0.7" top="0.75" bottom="0.75" header="0.3" footer="0.3"/>
  <pageSetup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J32"/>
  <sheetViews>
    <sheetView showGridLines="0" workbookViewId="0">
      <selection activeCell="J6" sqref="J6"/>
    </sheetView>
  </sheetViews>
  <sheetFormatPr defaultRowHeight="15"/>
  <cols>
    <col min="2" max="2" width="43.85546875" style="1494" customWidth="1"/>
    <col min="3" max="5" width="9.140625" style="1571"/>
    <col min="6" max="6" width="9" style="1571" customWidth="1"/>
    <col min="7" max="7" width="9.140625" style="150"/>
  </cols>
  <sheetData>
    <row r="1" spans="2:10">
      <c r="B1" s="1570" t="s">
        <v>1612</v>
      </c>
    </row>
    <row r="2" spans="2:10">
      <c r="B2" s="1924" t="s">
        <v>1520</v>
      </c>
      <c r="C2" s="1921" t="s">
        <v>1362</v>
      </c>
      <c r="D2" s="1923"/>
      <c r="E2" s="1922"/>
      <c r="F2" s="1921" t="s">
        <v>1390</v>
      </c>
      <c r="G2" s="1922"/>
    </row>
    <row r="3" spans="2:10" ht="108">
      <c r="B3" s="1925"/>
      <c r="C3" s="1576" t="s">
        <v>1515</v>
      </c>
      <c r="D3" s="1575" t="s">
        <v>1610</v>
      </c>
      <c r="E3" s="1576" t="s">
        <v>1611</v>
      </c>
      <c r="F3" s="1576" t="s">
        <v>1390</v>
      </c>
      <c r="G3" s="1574" t="s">
        <v>1613</v>
      </c>
    </row>
    <row r="4" spans="2:10">
      <c r="B4" s="1588" t="s">
        <v>1619</v>
      </c>
      <c r="C4" s="1589">
        <v>1.109</v>
      </c>
      <c r="D4" s="1590"/>
      <c r="E4" s="1591"/>
      <c r="F4" s="1589">
        <f>'PSE LNG Operations'!AG39/'PSE LNG Operations'!AU51</f>
        <v>1.1187776678960311</v>
      </c>
      <c r="G4" s="1574"/>
    </row>
    <row r="5" spans="2:10">
      <c r="B5" s="1490" t="s">
        <v>1502</v>
      </c>
      <c r="C5" s="1577">
        <v>0.91</v>
      </c>
      <c r="D5" s="1577"/>
      <c r="E5" s="1577"/>
      <c r="F5" s="1577">
        <f>1000000/(F20+F21+F19+1000000)</f>
        <v>0.86010906402700726</v>
      </c>
      <c r="G5" s="1577"/>
      <c r="I5" s="1487">
        <f>1000000/(C20+C21+1000000)</f>
        <v>0.91</v>
      </c>
      <c r="J5" t="s">
        <v>1741</v>
      </c>
    </row>
    <row r="6" spans="2:10">
      <c r="B6" s="1491" t="s">
        <v>1503</v>
      </c>
      <c r="C6" s="1578">
        <v>0</v>
      </c>
      <c r="D6" s="1578"/>
      <c r="E6" s="1578"/>
      <c r="F6" s="1578"/>
      <c r="G6" s="1578"/>
    </row>
    <row r="7" spans="2:10">
      <c r="B7" s="1492" t="s">
        <v>1504</v>
      </c>
      <c r="C7" s="1579">
        <f>1+C25/C30*C31/1000000</f>
        <v>1.0010050251256282</v>
      </c>
      <c r="D7" s="1579"/>
      <c r="E7" s="1579"/>
      <c r="F7" s="1579">
        <f>1+F25/C30*C31/1000000</f>
        <v>1.000025786590564</v>
      </c>
      <c r="G7" s="1579"/>
    </row>
    <row r="8" spans="2:10">
      <c r="B8" s="1926" t="s">
        <v>1505</v>
      </c>
      <c r="C8" s="1927"/>
      <c r="D8" s="1927"/>
      <c r="E8" s="1927"/>
      <c r="F8" s="1927"/>
      <c r="G8" s="1928"/>
    </row>
    <row r="9" spans="2:10">
      <c r="B9" s="1491" t="s">
        <v>1506</v>
      </c>
      <c r="C9" s="1580"/>
      <c r="D9" s="1580"/>
      <c r="E9" s="1580"/>
      <c r="F9" s="1580"/>
      <c r="G9" s="1580"/>
    </row>
    <row r="10" spans="2:10">
      <c r="B10" s="1495" t="s">
        <v>1507</v>
      </c>
      <c r="C10" s="1578">
        <v>0</v>
      </c>
      <c r="D10" s="1578"/>
      <c r="E10" s="1578"/>
      <c r="F10" s="1578">
        <f>F17/SUM($F$17:$F$22)</f>
        <v>0</v>
      </c>
      <c r="G10" s="1578"/>
    </row>
    <row r="11" spans="2:10">
      <c r="B11" s="1495" t="s">
        <v>1508</v>
      </c>
      <c r="C11" s="1578">
        <v>0</v>
      </c>
      <c r="D11" s="1578"/>
      <c r="E11" s="1578"/>
      <c r="F11" s="1578">
        <f t="shared" ref="F11:F15" si="0">F18/SUM($F$17:$F$22)</f>
        <v>0</v>
      </c>
      <c r="G11" s="1578"/>
    </row>
    <row r="12" spans="2:10">
      <c r="B12" s="1495" t="s">
        <v>1518</v>
      </c>
      <c r="C12" s="1578">
        <f>0*(1-C15)</f>
        <v>0</v>
      </c>
      <c r="D12" s="1578"/>
      <c r="E12" s="1578"/>
      <c r="F12" s="1578">
        <f t="shared" si="0"/>
        <v>0.552280340677056</v>
      </c>
      <c r="G12" s="1578"/>
    </row>
    <row r="13" spans="2:10">
      <c r="B13" s="1495" t="s">
        <v>1509</v>
      </c>
      <c r="C13" s="1578">
        <v>0.98</v>
      </c>
      <c r="D13" s="1578"/>
      <c r="E13" s="1578"/>
      <c r="F13" s="1578">
        <f>(F20/SUM($F$17:$F$22))</f>
        <v>8.1165460435831671E-2</v>
      </c>
      <c r="G13" s="1578"/>
    </row>
    <row r="14" spans="2:10">
      <c r="B14" s="1495" t="s">
        <v>1510</v>
      </c>
      <c r="C14" s="1578">
        <v>0.02</v>
      </c>
      <c r="D14" s="1578"/>
      <c r="E14" s="1578"/>
      <c r="F14" s="1578">
        <f t="shared" si="0"/>
        <v>0.36652139354757218</v>
      </c>
      <c r="G14" s="1578"/>
    </row>
    <row r="15" spans="2:10">
      <c r="B15" s="1495" t="s">
        <v>1511</v>
      </c>
      <c r="C15" s="1578">
        <v>0</v>
      </c>
      <c r="D15" s="1578"/>
      <c r="E15" s="1578"/>
      <c r="F15" s="1578">
        <f t="shared" si="0"/>
        <v>3.2805339540144043E-5</v>
      </c>
      <c r="G15" s="1578"/>
    </row>
    <row r="16" spans="2:10">
      <c r="B16" s="1490" t="s">
        <v>1615</v>
      </c>
      <c r="C16" s="1581">
        <f>SUM(C17:C22)</f>
        <v>99906.124026726902</v>
      </c>
      <c r="D16" s="1581"/>
      <c r="E16" s="1581"/>
      <c r="F16" s="1581">
        <f>SUM(F17:F22)</f>
        <v>162648.58858504877</v>
      </c>
      <c r="G16" s="1581"/>
      <c r="I16" s="1841"/>
    </row>
    <row r="17" spans="2:7">
      <c r="B17" s="1495" t="s">
        <v>1507</v>
      </c>
      <c r="C17" s="1582">
        <v>0</v>
      </c>
      <c r="D17" s="1582"/>
      <c r="E17" s="1582"/>
      <c r="F17" s="1582">
        <v>0</v>
      </c>
      <c r="G17" s="1582"/>
    </row>
    <row r="18" spans="2:7">
      <c r="B18" s="1495" t="s">
        <v>1508</v>
      </c>
      <c r="C18" s="1582">
        <v>0</v>
      </c>
      <c r="D18" s="1582"/>
      <c r="E18" s="1582"/>
      <c r="F18" s="1582">
        <v>0</v>
      </c>
      <c r="G18" s="1582"/>
    </row>
    <row r="19" spans="2:7">
      <c r="B19" s="1495" t="s">
        <v>1518</v>
      </c>
      <c r="C19" s="1582">
        <v>0</v>
      </c>
      <c r="D19" s="1582"/>
      <c r="E19" s="1582"/>
      <c r="F19" s="1582">
        <f>('PSE LNG Operations'!AU36+'PSE LNG Operations'!AP36)/'PSE LNG Operations'!AU53*1000000</f>
        <v>89827.617914393064</v>
      </c>
      <c r="G19" s="1582"/>
    </row>
    <row r="20" spans="2:7">
      <c r="B20" s="1495" t="s">
        <v>1512</v>
      </c>
      <c r="C20" s="1582">
        <f>1000000*(1/C$5-1)*C13</f>
        <v>96923.076923076791</v>
      </c>
      <c r="D20" s="1582"/>
      <c r="E20" s="1582"/>
      <c r="F20" s="1582">
        <f>'PSE LNG Operations'!AI39/'PSE LNG Operations'!AU53*1000000</f>
        <v>13201.447581743638</v>
      </c>
      <c r="G20" s="1582"/>
    </row>
    <row r="21" spans="2:7">
      <c r="B21" s="1495" t="s">
        <v>1510</v>
      </c>
      <c r="C21" s="1582">
        <f>1000000*(1/C$5-1)*C14</f>
        <v>1978.0219780219754</v>
      </c>
      <c r="D21" s="1582"/>
      <c r="E21" s="1582"/>
      <c r="F21" s="1582">
        <f>Input!C51*BtuperkWh/1000/Fuel_Specs!C25*1000000</f>
        <v>59614.187346737817</v>
      </c>
      <c r="G21" s="1582"/>
    </row>
    <row r="22" spans="2:7">
      <c r="B22" s="1497" t="s">
        <v>1513</v>
      </c>
      <c r="C22" s="1583">
        <f>+C25/$C$30*$C$31</f>
        <v>1005.0251256281406</v>
      </c>
      <c r="D22" s="1583">
        <v>538.00684605180356</v>
      </c>
      <c r="E22" s="1583">
        <v>4186.3069144863866</v>
      </c>
      <c r="F22" s="1583">
        <f>'PSE LNG Operations'!AI50*Fuel_Specs!P25/lbperkg*1000/'PSE LNG Operations'!AU53/1000</f>
        <v>5.3357421742577209</v>
      </c>
      <c r="G22" s="1583">
        <f>+G25/$G$30*$G$31</f>
        <v>2089.5192406908573</v>
      </c>
    </row>
    <row r="23" spans="2:7">
      <c r="B23" s="1496"/>
      <c r="C23" s="1593"/>
      <c r="D23" s="1581"/>
      <c r="E23" s="1581"/>
      <c r="F23" s="1581"/>
      <c r="G23" s="1581"/>
    </row>
    <row r="24" spans="2:7">
      <c r="B24" s="1572" t="s">
        <v>1517</v>
      </c>
      <c r="C24" s="1594">
        <v>0.8</v>
      </c>
      <c r="D24" s="1584"/>
      <c r="E24" s="1584"/>
      <c r="F24" s="1584"/>
      <c r="G24" s="1584"/>
    </row>
    <row r="25" spans="2:7" ht="21">
      <c r="B25" s="1572" t="s">
        <v>1621</v>
      </c>
      <c r="C25" s="1592">
        <f>C26*(1-C24)</f>
        <v>21.803342192762525</v>
      </c>
      <c r="D25" s="1585">
        <v>11.6716956296838</v>
      </c>
      <c r="E25" s="1585">
        <v>90.819104769572178</v>
      </c>
      <c r="F25" s="1585">
        <f>'PSE LNG Operations'!AI50*1000000/'PSE LNG Operations'!AU43/1000</f>
        <v>0.55942268875850043</v>
      </c>
      <c r="G25" s="1585">
        <f>'PSE LNG Operations'!G127*1000000/'PSE LNG Operations'!AU53/1000</f>
        <v>44.576800156787961</v>
      </c>
    </row>
    <row r="26" spans="2:7">
      <c r="B26" s="1572" t="s">
        <v>1614</v>
      </c>
      <c r="C26" s="1595">
        <v>109.01671096381264</v>
      </c>
      <c r="D26" s="1586"/>
      <c r="E26" s="1586"/>
      <c r="F26" s="1586"/>
      <c r="G26" s="1586"/>
    </row>
    <row r="27" spans="2:7" ht="21">
      <c r="B27" s="1597" t="s">
        <v>1620</v>
      </c>
      <c r="C27" s="1596">
        <f>C25/$C$32</f>
        <v>1.0050251256281406E-3</v>
      </c>
      <c r="D27" s="1587">
        <f t="shared" ref="D27:F27" si="1">D25/$C$32</f>
        <v>5.3800684605180354E-4</v>
      </c>
      <c r="E27" s="1587">
        <f t="shared" si="1"/>
        <v>4.1863069144863867E-3</v>
      </c>
      <c r="F27" s="1598">
        <f t="shared" si="1"/>
        <v>2.5786590563871162E-5</v>
      </c>
      <c r="G27" s="1587">
        <f>G25/$G$32</f>
        <v>2.0895192406908576E-3</v>
      </c>
    </row>
    <row r="29" spans="2:7">
      <c r="C29" s="1599" t="s">
        <v>1362</v>
      </c>
      <c r="G29" s="150" t="s">
        <v>963</v>
      </c>
    </row>
    <row r="30" spans="2:7">
      <c r="B30" s="1498" t="s">
        <v>24</v>
      </c>
      <c r="C30" s="1599">
        <v>1621</v>
      </c>
      <c r="G30" s="1599">
        <f>Fuel_Specs!E25</f>
        <v>1646</v>
      </c>
    </row>
    <row r="31" spans="2:7">
      <c r="B31" s="1498" t="s">
        <v>1516</v>
      </c>
      <c r="C31" s="1599">
        <v>74720</v>
      </c>
      <c r="G31" s="1599">
        <f>Fuel_Specs!B25</f>
        <v>77155.575502954132</v>
      </c>
    </row>
    <row r="32" spans="2:7">
      <c r="B32" s="1498" t="s">
        <v>1519</v>
      </c>
      <c r="C32" s="1599">
        <f>C30/C31*1000000</f>
        <v>21694.325481798714</v>
      </c>
      <c r="D32" s="1599"/>
      <c r="E32" s="1599"/>
      <c r="F32" s="1599"/>
      <c r="G32" s="1599">
        <f t="shared" ref="G32" si="2">G30/G31*1000000</f>
        <v>21333.519830164158</v>
      </c>
    </row>
  </sheetData>
  <mergeCells count="4">
    <mergeCell ref="F2:G2"/>
    <mergeCell ref="C2:E2"/>
    <mergeCell ref="B2:B3"/>
    <mergeCell ref="B8:G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51</vt:i4>
      </vt:variant>
    </vt:vector>
  </HeadingPairs>
  <TitlesOfParts>
    <vt:vector size="75" baseType="lpstr">
      <vt:lpstr>Input</vt:lpstr>
      <vt:lpstr>Results</vt:lpstr>
      <vt:lpstr>Compare Results</vt:lpstr>
      <vt:lpstr>Direct End use</vt:lpstr>
      <vt:lpstr>Upstream</vt:lpstr>
      <vt:lpstr>CH4</vt:lpstr>
      <vt:lpstr>Oil WTT</vt:lpstr>
      <vt:lpstr>PSE LNG Operations</vt:lpstr>
      <vt:lpstr>GREET LNG</vt:lpstr>
      <vt:lpstr>Matrix</vt:lpstr>
      <vt:lpstr>Results FEIS scenario A</vt:lpstr>
      <vt:lpstr>Construction Equipment</vt:lpstr>
      <vt:lpstr>Construction Material&amp;Power</vt:lpstr>
      <vt:lpstr>End use Gig Harbor</vt:lpstr>
      <vt:lpstr>End use On-road trucking</vt:lpstr>
      <vt:lpstr>End use TOTE - LNG Vessel</vt:lpstr>
      <vt:lpstr>End use TOTE - MGO Vessel</vt:lpstr>
      <vt:lpstr>Fugitives</vt:lpstr>
      <vt:lpstr>Factors</vt:lpstr>
      <vt:lpstr>Fuel_Specs</vt:lpstr>
      <vt:lpstr>EFs</vt:lpstr>
      <vt:lpstr>EF Marine Vessels spec. TOTE</vt:lpstr>
      <vt:lpstr> Gas Data Fugitives</vt:lpstr>
      <vt:lpstr>BC_OC Ratios</vt:lpstr>
      <vt:lpstr>Upstream!_Ref514137621</vt:lpstr>
      <vt:lpstr>acreperhectare</vt:lpstr>
      <vt:lpstr>BtuperkWh</vt:lpstr>
      <vt:lpstr>BtuperMJ</vt:lpstr>
      <vt:lpstr>C_MW</vt:lpstr>
      <vt:lpstr>Ca_MW</vt:lpstr>
      <vt:lpstr>CarVMTmiles</vt:lpstr>
      <vt:lpstr>CH4_C_Ratio</vt:lpstr>
      <vt:lpstr>CH4_GWP</vt:lpstr>
      <vt:lpstr>CH4_MW</vt:lpstr>
      <vt:lpstr>Cl_MW</vt:lpstr>
      <vt:lpstr>CO_C_Ratio</vt:lpstr>
      <vt:lpstr>CO_GWP</vt:lpstr>
      <vt:lpstr>CO_MW</vt:lpstr>
      <vt:lpstr>CO2_C_Ratio</vt:lpstr>
      <vt:lpstr>CO2_GWP</vt:lpstr>
      <vt:lpstr>CO2_MW</vt:lpstr>
      <vt:lpstr>galMeOHpertonne</vt:lpstr>
      <vt:lpstr>gperlb</vt:lpstr>
      <vt:lpstr>H_MW</vt:lpstr>
      <vt:lpstr>JperBtu</vt:lpstr>
      <vt:lpstr>K_MW</vt:lpstr>
      <vt:lpstr>km_mi</vt:lpstr>
      <vt:lpstr>kmpermi</vt:lpstr>
      <vt:lpstr>kwperhp</vt:lpstr>
      <vt:lpstr>lbperkg</vt:lpstr>
      <vt:lpstr>Lpergal</vt:lpstr>
      <vt:lpstr>Lpergmol</vt:lpstr>
      <vt:lpstr>mipernaut</vt:lpstr>
      <vt:lpstr>N_MW</vt:lpstr>
      <vt:lpstr>N2O_GWP</vt:lpstr>
      <vt:lpstr>N2O_MW</vt:lpstr>
      <vt:lpstr>Na_MW</vt:lpstr>
      <vt:lpstr>NO2_GWP</vt:lpstr>
      <vt:lpstr>NO2_MW</vt:lpstr>
      <vt:lpstr>O_MW</vt:lpstr>
      <vt:lpstr>P_MW</vt:lpstr>
      <vt:lpstr>' Gas Data Fugitives'!Print_Area</vt:lpstr>
      <vt:lpstr>'EF Marine Vessels spec. TOTE'!Print_Area</vt:lpstr>
      <vt:lpstr>Fugitives!Print_Area</vt:lpstr>
      <vt:lpstr>S_MW</vt:lpstr>
      <vt:lpstr>scenario</vt:lpstr>
      <vt:lpstr>scfperlbmol</vt:lpstr>
      <vt:lpstr>scfperm3</vt:lpstr>
      <vt:lpstr>shorttonpertonne</vt:lpstr>
      <vt:lpstr>SO2_S_Ratio</vt:lpstr>
      <vt:lpstr>tonneperton</vt:lpstr>
      <vt:lpstr>TruckVMTmiles</vt:lpstr>
      <vt:lpstr>VOC_C_Ratio</vt:lpstr>
      <vt:lpstr>VOC_GWP</vt:lpstr>
      <vt:lpstr>VOC_MW</vt:lpstr>
    </vt:vector>
  </TitlesOfParts>
  <Company>Life Cycle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Betsy Wheelock</cp:lastModifiedBy>
  <dcterms:created xsi:type="dcterms:W3CDTF">2014-05-01T22:42:44Z</dcterms:created>
  <dcterms:modified xsi:type="dcterms:W3CDTF">2019-03-28T22:12:12Z</dcterms:modified>
</cp:coreProperties>
</file>