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6840" yWindow="-150" windowWidth="12720" windowHeight="8445" tabRatio="714" firstSheet="7" activeTab="17"/>
  </bookViews>
  <sheets>
    <sheet name="1 Rates" sheetId="44" r:id="rId1"/>
    <sheet name="2 Gas Data" sheetId="50" r:id="rId2"/>
    <sheet name="3 Vapor" sheetId="51" r:id="rId3"/>
    <sheet name="4 Flare1" sheetId="53" r:id="rId4"/>
    <sheet name="5 Flare2" sheetId="54" r:id="rId5"/>
    <sheet name="6 Flare3" sheetId="55" r:id="rId6"/>
    <sheet name="7 Flare4" sheetId="52" r:id="rId7"/>
    <sheet name="8 Flare5" sheetId="56" r:id="rId8"/>
    <sheet name="9 Flare Hold" sheetId="61" r:id="rId9"/>
    <sheet name="10 Flare Purge A1" sheetId="62" r:id="rId10"/>
    <sheet name="11 Flare Purge A2" sheetId="65" r:id="rId11"/>
    <sheet name="12 Flare Purge B" sheetId="66" r:id="rId12"/>
    <sheet name="13 Fugitives" sheetId="57" r:id="rId13"/>
    <sheet name="14 Summary" sheetId="93" r:id="rId14"/>
    <sheet name="A1 WPG" sheetId="25" r:id="rId15"/>
    <sheet name="A2 Regen" sheetId="24" r:id="rId16"/>
    <sheet name="A3 E Gen" sheetId="23" r:id="rId17"/>
    <sheet name="Scenarios" sheetId="94" r:id="rId18"/>
  </sheets>
  <externalReferences>
    <externalReference r:id="rId19"/>
    <externalReference r:id="rId20"/>
    <externalReference r:id="rId21"/>
  </externalReferences>
  <definedNames>
    <definedName name="__123Graph_A" localSheetId="9" hidden="1">'[1]Page 1'!#REF!</definedName>
    <definedName name="__123Graph_A" localSheetId="10" hidden="1">'[1]Page 1'!#REF!</definedName>
    <definedName name="__123Graph_A" localSheetId="11" hidden="1">'[1]Page 1'!#REF!</definedName>
    <definedName name="__123Graph_A" localSheetId="12" hidden="1">'[1]Page 1'!#REF!</definedName>
    <definedName name="__123Graph_A" localSheetId="13" hidden="1">'[1]Page 1'!#REF!</definedName>
    <definedName name="__123Graph_A" localSheetId="1" hidden="1">'[1]Page 1'!#REF!</definedName>
    <definedName name="__123Graph_A" localSheetId="2" hidden="1">'[1]Page 1'!#REF!</definedName>
    <definedName name="__123Graph_A" localSheetId="3" hidden="1">'[1]Page 1'!#REF!</definedName>
    <definedName name="__123Graph_A" localSheetId="4" hidden="1">'[1]Page 1'!#REF!</definedName>
    <definedName name="__123Graph_A" localSheetId="5" hidden="1">'[1]Page 1'!#REF!</definedName>
    <definedName name="__123Graph_A" localSheetId="6" hidden="1">'[1]Page 1'!#REF!</definedName>
    <definedName name="__123Graph_A" localSheetId="7" hidden="1">'[1]Page 1'!#REF!</definedName>
    <definedName name="__123Graph_A" localSheetId="8" hidden="1">'[1]Page 1'!#REF!</definedName>
    <definedName name="__123Graph_A" hidden="1">'[1]Page 1'!#REF!</definedName>
    <definedName name="__123Graph_X" localSheetId="9" hidden="1">'[1]Page 1'!#REF!</definedName>
    <definedName name="__123Graph_X" localSheetId="10" hidden="1">'[1]Page 1'!#REF!</definedName>
    <definedName name="__123Graph_X" localSheetId="11" hidden="1">'[1]Page 1'!#REF!</definedName>
    <definedName name="__123Graph_X" localSheetId="12" hidden="1">'[1]Page 1'!#REF!</definedName>
    <definedName name="__123Graph_X" localSheetId="13" hidden="1">'[1]Page 1'!#REF!</definedName>
    <definedName name="__123Graph_X" localSheetId="1" hidden="1">'[1]Page 1'!#REF!</definedName>
    <definedName name="__123Graph_X" localSheetId="2" hidden="1">'[1]Page 1'!#REF!</definedName>
    <definedName name="__123Graph_X" localSheetId="3" hidden="1">'[1]Page 1'!#REF!</definedName>
    <definedName name="__123Graph_X" localSheetId="4" hidden="1">'[1]Page 1'!#REF!</definedName>
    <definedName name="__123Graph_X" localSheetId="5" hidden="1">'[1]Page 1'!#REF!</definedName>
    <definedName name="__123Graph_X" localSheetId="6" hidden="1">'[1]Page 1'!#REF!</definedName>
    <definedName name="__123Graph_X" localSheetId="7" hidden="1">'[1]Page 1'!#REF!</definedName>
    <definedName name="__123Graph_X" localSheetId="8" hidden="1">'[1]Page 1'!#REF!</definedName>
    <definedName name="__123Graph_X" hidden="1">'[1]Page 1'!#REF!</definedName>
    <definedName name="__WRN4"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_Order1" hidden="1">255</definedName>
    <definedName name="_WRN3"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BC"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BNMJG64"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fa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as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BC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BD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BA"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cv"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D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em"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Column_Name">#REF!</definedName>
    <definedName name="Combined_Qualifiers">#REF!</definedName>
    <definedName name="days">'[2]Turbine E. rates'!$I$4</definedName>
    <definedName name="DEC"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f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dfhd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e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gw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r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rr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ew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d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df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g"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g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ftjf"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gdg"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gmghk"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gsgv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heat">'[2]Turbine E. rates'!$I$2</definedName>
    <definedName name="hgh"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hh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hrs">'[2]Turbine E. rates'!$I$3</definedName>
    <definedName name="jgt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h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kkj"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jy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km"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op"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_xlnm.Print_Area" localSheetId="0">'1 Rates'!$A$3:$E$53</definedName>
    <definedName name="_xlnm.Print_Area" localSheetId="9">'10 Flare Purge A1'!$B$3:$G$103</definedName>
    <definedName name="_xlnm.Print_Area" localSheetId="10">'11 Flare Purge A2'!$B$3:$G$103</definedName>
    <definedName name="_xlnm.Print_Area" localSheetId="11">'12 Flare Purge B'!$B$3:$G$103</definedName>
    <definedName name="_xlnm.Print_Area" localSheetId="12">'13 Fugitives'!$A$3:$M$75</definedName>
    <definedName name="_xlnm.Print_Area" localSheetId="13">'14 Summary'!$B$1:$N$13</definedName>
    <definedName name="_xlnm.Print_Area" localSheetId="1">'2 Gas Data'!$A$4:$K$23</definedName>
    <definedName name="_xlnm.Print_Area" localSheetId="2">'3 Vapor'!$B$3:$F$100</definedName>
    <definedName name="_xlnm.Print_Area" localSheetId="3">'4 Flare1'!$B$3:$G$107</definedName>
    <definedName name="_xlnm.Print_Area" localSheetId="4">'5 Flare2'!$B$3:$G$103</definedName>
    <definedName name="_xlnm.Print_Area" localSheetId="5">'6 Flare3'!$B$3:$G$103</definedName>
    <definedName name="_xlnm.Print_Area" localSheetId="6">'7 Flare4'!$B$3:$G$103</definedName>
    <definedName name="_xlnm.Print_Area" localSheetId="7">'8 Flare5'!$B$3:$G$103</definedName>
    <definedName name="_xlnm.Print_Area" localSheetId="8">'9 Flare Hold'!$B$3:$G$103</definedName>
    <definedName name="_xlnm.Print_Area" localSheetId="16">'A3 E Gen'!$B$2:$G$63</definedName>
    <definedName name="Q_B">'[3]BACT cost est.'!$K$2</definedName>
    <definedName name="q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qwq"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Reporting_Platform">#REF!</definedName>
    <definedName name="rere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rer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r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aa"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ctn"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d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earchRange">#REF!</definedName>
    <definedName name="SHD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s"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SUCTHD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tjy"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tr"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uyuyu"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VOCcat">'[3]SOLAR Emission Rates'!$L$12</definedName>
    <definedName name="we"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e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e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rn.LD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RN2.LD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RN3.LDT"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WWWW"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XXXXXXXXXXXXXXXXXXXXXXXXXX">#REF!</definedName>
    <definedName name="XYA1"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XYZAB"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jy"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u"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uyu"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 name="YYYYYYYYYYYYYYYYYY">#REF!</definedName>
    <definedName name="zd" hidden="1">{#N/A,#N/A,FALSE,"frtsht";#N/A,#N/A,FALSE,"index";#N/A,#N/A,FALSE,"BFH";#N/A,#N/A,FALSE,"CDE";#N/A,#N/A,FALSE,"CI";#N/A,#N/A,FALSE,"DHC";#N/A,#N/A,FALSE,"DL";#N/A,#N/A,FALSE,"DMD";#N/A,#N/A,FALSE,"FG";#N/A,#N/A,FALSE,"FMP";#N/A,#N/A,FALSE,"GE";#N/A,#N/A,FALSE,"GRC";#N/A,#N/A,FALSE,"GHC";#N/A,#N/A,FALSE,"GS";#N/A,#N/A,FALSE,"NL";#N/A,#N/A,FALSE,"PHC";#N/A,#N/A,FALSE,"PL";#N/A,#N/A,FALSE,"SL";#N/A,#N/A,FALSE,"TL";#N/A,#N/A,FALSE,"TM";#N/A,#N/A,FALSE,"VE";#N/A,#N/A,FALSE,"VI";#N/A,#N/A,FALSE,"VP";#N/A,#N/A,FALSE,"WC";#N/A,#N/A,FALSE,"VU";#N/A,#N/A,FALSE,"WDM";#N/A,#N/A,FALSE,"WF";#N/A,#N/A,FALSE,"WHR";#N/A,#N/A,FALSE,"WHS";#N/A,#N/A,FALSE,"WIR";#N/A,#N/A,FALSE,"WIS";#N/A,#N/A,FALSE,"WPS";#N/A,#N/A,FALSE,"WR";#N/A,#N/A,FALSE,"WU"}</definedName>
  </definedNames>
  <calcPr calcId="145621"/>
</workbook>
</file>

<file path=xl/calcChain.xml><?xml version="1.0" encoding="utf-8"?>
<calcChain xmlns="http://schemas.openxmlformats.org/spreadsheetml/2006/main">
  <c r="M14" i="93" l="1"/>
  <c r="AK58" i="94"/>
  <c r="AL58" i="94"/>
  <c r="N14" i="93" s="1"/>
  <c r="AM58" i="94"/>
  <c r="AM7" i="94"/>
  <c r="AM8" i="94"/>
  <c r="AM9" i="94"/>
  <c r="AM10" i="94"/>
  <c r="AM11" i="94"/>
  <c r="AM12" i="94"/>
  <c r="AM13" i="94"/>
  <c r="AM14" i="94"/>
  <c r="AM15" i="94"/>
  <c r="AM16" i="94"/>
  <c r="AM17" i="94"/>
  <c r="AM18" i="94"/>
  <c r="AM19" i="94"/>
  <c r="AM20" i="94"/>
  <c r="AM21" i="94"/>
  <c r="AM22" i="94"/>
  <c r="AM23" i="94"/>
  <c r="AM24" i="94"/>
  <c r="AM25" i="94"/>
  <c r="AM26" i="94"/>
  <c r="AM27" i="94"/>
  <c r="AM28" i="94"/>
  <c r="AM29" i="94"/>
  <c r="AM30" i="94"/>
  <c r="AM31" i="94"/>
  <c r="AM32" i="94"/>
  <c r="AM33" i="94"/>
  <c r="AM34" i="94"/>
  <c r="AM35" i="94"/>
  <c r="AM36" i="94"/>
  <c r="AM37" i="94"/>
  <c r="AM38" i="94"/>
  <c r="AM39" i="94"/>
  <c r="AM40" i="94"/>
  <c r="AM41" i="94"/>
  <c r="AM42" i="94"/>
  <c r="AM43" i="94"/>
  <c r="AM44" i="94"/>
  <c r="AM45" i="94"/>
  <c r="AM46" i="94"/>
  <c r="AM47" i="94"/>
  <c r="AM48" i="94"/>
  <c r="AM49" i="94"/>
  <c r="AM50" i="94"/>
  <c r="AM51" i="94"/>
  <c r="AM52" i="94"/>
  <c r="AM53" i="94"/>
  <c r="AM54" i="94"/>
  <c r="AM55" i="94"/>
  <c r="AM56" i="94"/>
  <c r="AM57" i="94"/>
  <c r="AM6" i="94"/>
  <c r="D54" i="57"/>
  <c r="E54" i="57"/>
  <c r="F54" i="57"/>
  <c r="G54" i="57"/>
  <c r="H54" i="57"/>
  <c r="I54" i="57"/>
  <c r="J54" i="57"/>
  <c r="K54" i="57"/>
  <c r="L54" i="57"/>
  <c r="C54" i="57"/>
  <c r="L43" i="57"/>
  <c r="K43" i="57"/>
  <c r="J43" i="57"/>
  <c r="I43" i="57"/>
  <c r="H43" i="57"/>
  <c r="G43" i="57"/>
  <c r="F43" i="57"/>
  <c r="E43" i="57"/>
  <c r="D43" i="57"/>
  <c r="C43" i="57"/>
  <c r="F60" i="65"/>
  <c r="D13" i="93"/>
  <c r="F58" i="24" l="1"/>
  <c r="E58" i="24"/>
  <c r="F58" i="25"/>
  <c r="E58" i="25"/>
  <c r="E58" i="51"/>
  <c r="F60" i="66"/>
  <c r="F60" i="62"/>
  <c r="F60" i="61"/>
  <c r="F60" i="56"/>
  <c r="F60" i="52"/>
  <c r="F60" i="55"/>
  <c r="F60" i="54"/>
  <c r="F60" i="53"/>
  <c r="G16" i="62" l="1"/>
  <c r="G54" i="62"/>
  <c r="G16" i="65"/>
  <c r="G54" i="65"/>
  <c r="G16" i="66"/>
  <c r="G54" i="66"/>
  <c r="G60" i="66"/>
  <c r="G60" i="65"/>
  <c r="G60" i="62"/>
  <c r="G60" i="61"/>
  <c r="G60" i="56"/>
  <c r="G60" i="52"/>
  <c r="G60" i="55"/>
  <c r="G60" i="54"/>
  <c r="G60" i="53"/>
  <c r="F58" i="51"/>
  <c r="D85" i="54" l="1"/>
  <c r="D85" i="55"/>
  <c r="D85" i="52"/>
  <c r="D85" i="56"/>
  <c r="D85" i="61"/>
  <c r="D85" i="62"/>
  <c r="D85" i="65"/>
  <c r="D85" i="66"/>
  <c r="D85" i="53"/>
  <c r="C66" i="51"/>
  <c r="H12" i="93"/>
  <c r="G12" i="93"/>
  <c r="H10" i="93"/>
  <c r="G10" i="93"/>
  <c r="H9" i="93"/>
  <c r="G9" i="93"/>
  <c r="H8" i="93"/>
  <c r="G8" i="93"/>
  <c r="H7" i="93"/>
  <c r="G7" i="93"/>
  <c r="D72" i="61" l="1"/>
  <c r="D72" i="66"/>
  <c r="D72" i="65"/>
  <c r="D72" i="62"/>
  <c r="H11" i="50"/>
  <c r="I11" i="50"/>
  <c r="J11" i="50"/>
  <c r="K11" i="50"/>
  <c r="H12" i="50"/>
  <c r="I12" i="50"/>
  <c r="J12" i="50"/>
  <c r="K12" i="50"/>
  <c r="H13" i="50"/>
  <c r="I13" i="50"/>
  <c r="J13" i="50"/>
  <c r="K13" i="50"/>
  <c r="H14" i="50"/>
  <c r="I14" i="50"/>
  <c r="J14" i="50"/>
  <c r="K14" i="50"/>
  <c r="H15" i="50"/>
  <c r="I15" i="50"/>
  <c r="J15" i="50"/>
  <c r="K15" i="50"/>
  <c r="C55" i="25" l="1"/>
  <c r="C55" i="24"/>
  <c r="C55" i="51"/>
  <c r="E31" i="66"/>
  <c r="E31" i="65"/>
  <c r="E31" i="62"/>
  <c r="D16" i="54"/>
  <c r="D15" i="54"/>
  <c r="D14" i="54"/>
  <c r="D16" i="55"/>
  <c r="D15" i="55"/>
  <c r="D14" i="55"/>
  <c r="D16" i="52"/>
  <c r="D15" i="52"/>
  <c r="D14" i="52"/>
  <c r="D16" i="56"/>
  <c r="D15" i="56"/>
  <c r="D14" i="56"/>
  <c r="D16" i="61"/>
  <c r="D15" i="61"/>
  <c r="D14" i="61"/>
  <c r="D16" i="62"/>
  <c r="D15" i="62"/>
  <c r="D14" i="62"/>
  <c r="D16" i="65"/>
  <c r="D15" i="65"/>
  <c r="D14" i="65"/>
  <c r="D16" i="66"/>
  <c r="D15" i="66"/>
  <c r="D14" i="66"/>
  <c r="C57" i="24"/>
  <c r="C57" i="25"/>
  <c r="C33" i="24"/>
  <c r="C34" i="24"/>
  <c r="C35" i="24"/>
  <c r="C36" i="24"/>
  <c r="C37" i="24"/>
  <c r="C38" i="24"/>
  <c r="C39" i="24"/>
  <c r="C40" i="24"/>
  <c r="C41" i="24"/>
  <c r="C42" i="24"/>
  <c r="C43" i="24"/>
  <c r="C44" i="24"/>
  <c r="C45" i="24"/>
  <c r="C46" i="24"/>
  <c r="C47" i="24"/>
  <c r="C48" i="24"/>
  <c r="C49" i="24"/>
  <c r="C51" i="24"/>
  <c r="C52" i="24"/>
  <c r="C54" i="24"/>
  <c r="C56" i="24"/>
  <c r="C33" i="25"/>
  <c r="C34" i="25"/>
  <c r="C35" i="25"/>
  <c r="C36" i="25"/>
  <c r="C37" i="25"/>
  <c r="C38" i="25"/>
  <c r="C39" i="25"/>
  <c r="C40" i="25"/>
  <c r="C41" i="25"/>
  <c r="C42" i="25"/>
  <c r="C43" i="25"/>
  <c r="C44" i="25"/>
  <c r="C45" i="25"/>
  <c r="C46" i="25"/>
  <c r="C47" i="25"/>
  <c r="C48" i="25"/>
  <c r="C49" i="25"/>
  <c r="C51" i="25"/>
  <c r="C52" i="25"/>
  <c r="C54" i="25"/>
  <c r="C56" i="25"/>
  <c r="C15" i="24"/>
  <c r="C16" i="24"/>
  <c r="C17" i="24"/>
  <c r="C19" i="24"/>
  <c r="C20" i="24"/>
  <c r="C21" i="24"/>
  <c r="C22" i="24"/>
  <c r="C23" i="24"/>
  <c r="C24" i="24"/>
  <c r="C25" i="24"/>
  <c r="C26" i="24"/>
  <c r="C27" i="24"/>
  <c r="C28" i="24"/>
  <c r="C29" i="24"/>
  <c r="C31" i="24"/>
  <c r="C53" i="24"/>
  <c r="C15" i="25"/>
  <c r="C16" i="25"/>
  <c r="C17" i="25"/>
  <c r="C19" i="25"/>
  <c r="C20" i="25"/>
  <c r="C21" i="25"/>
  <c r="C22" i="25"/>
  <c r="C23" i="25"/>
  <c r="C24" i="25"/>
  <c r="C25" i="25"/>
  <c r="C26" i="25"/>
  <c r="C27" i="25"/>
  <c r="C28" i="25"/>
  <c r="C29" i="25"/>
  <c r="C31" i="25"/>
  <c r="C53" i="25"/>
  <c r="H54" i="53"/>
  <c r="C54" i="53" s="1"/>
  <c r="C54" i="55" s="1"/>
  <c r="H15" i="53"/>
  <c r="C15" i="53" s="1"/>
  <c r="H16" i="53"/>
  <c r="C16" i="53" s="1"/>
  <c r="D54" i="54"/>
  <c r="D30" i="54"/>
  <c r="D28" i="54"/>
  <c r="D27" i="54"/>
  <c r="D26" i="54"/>
  <c r="D25" i="54"/>
  <c r="D24" i="54"/>
  <c r="D23" i="54"/>
  <c r="D22" i="54"/>
  <c r="D21" i="54"/>
  <c r="D20" i="54"/>
  <c r="D19" i="54"/>
  <c r="D18" i="54"/>
  <c r="D17" i="54"/>
  <c r="D54" i="55"/>
  <c r="D30" i="55"/>
  <c r="D28" i="55"/>
  <c r="D27" i="55"/>
  <c r="D26" i="55"/>
  <c r="D25" i="55"/>
  <c r="D24" i="55"/>
  <c r="D23" i="55"/>
  <c r="D22" i="55"/>
  <c r="D21" i="55"/>
  <c r="D20" i="55"/>
  <c r="D19" i="55"/>
  <c r="D18" i="55"/>
  <c r="D17" i="55"/>
  <c r="D54" i="52"/>
  <c r="D30" i="52"/>
  <c r="D28" i="52"/>
  <c r="D27" i="52"/>
  <c r="D26" i="52"/>
  <c r="D25" i="52"/>
  <c r="D24" i="52"/>
  <c r="D23" i="52"/>
  <c r="D22" i="52"/>
  <c r="D21" i="52"/>
  <c r="D20" i="52"/>
  <c r="D19" i="52"/>
  <c r="D18" i="52"/>
  <c r="D17" i="52"/>
  <c r="D54" i="56"/>
  <c r="D30" i="56"/>
  <c r="D28" i="56"/>
  <c r="D27" i="56"/>
  <c r="D26" i="56"/>
  <c r="D25" i="56"/>
  <c r="D24" i="56"/>
  <c r="D23" i="56"/>
  <c r="D22" i="56"/>
  <c r="D21" i="56"/>
  <c r="D20" i="56"/>
  <c r="D19" i="56"/>
  <c r="D18" i="56"/>
  <c r="D17" i="56"/>
  <c r="D54" i="61"/>
  <c r="D30" i="61"/>
  <c r="D28" i="61"/>
  <c r="D27" i="61"/>
  <c r="D26" i="61"/>
  <c r="D25" i="61"/>
  <c r="D24" i="61"/>
  <c r="D23" i="61"/>
  <c r="D22" i="61"/>
  <c r="D21" i="61"/>
  <c r="D20" i="61"/>
  <c r="D19" i="61"/>
  <c r="D18" i="61"/>
  <c r="D17" i="61"/>
  <c r="D31" i="62"/>
  <c r="D29" i="62"/>
  <c r="D28" i="62"/>
  <c r="D26" i="62"/>
  <c r="D25" i="62"/>
  <c r="D24" i="62"/>
  <c r="D23" i="62"/>
  <c r="D22" i="62"/>
  <c r="D21" i="62"/>
  <c r="D20" i="62"/>
  <c r="D19" i="62"/>
  <c r="D18" i="62"/>
  <c r="D17" i="62"/>
  <c r="D31" i="65"/>
  <c r="D29" i="65"/>
  <c r="D28" i="65"/>
  <c r="D26" i="65"/>
  <c r="D25" i="65"/>
  <c r="D24" i="65"/>
  <c r="D23" i="65"/>
  <c r="D22" i="65"/>
  <c r="D21" i="65"/>
  <c r="D20" i="65"/>
  <c r="D19" i="65"/>
  <c r="D18" i="65"/>
  <c r="D17" i="65"/>
  <c r="D31" i="66"/>
  <c r="D29" i="66"/>
  <c r="D28" i="66"/>
  <c r="D26" i="66"/>
  <c r="D25" i="66"/>
  <c r="D24" i="66"/>
  <c r="D23" i="66"/>
  <c r="D22" i="66"/>
  <c r="D21" i="66"/>
  <c r="D20" i="66"/>
  <c r="D19" i="66"/>
  <c r="D18" i="66"/>
  <c r="D17" i="66"/>
  <c r="C18" i="51"/>
  <c r="C18" i="24" s="1"/>
  <c r="C14" i="51"/>
  <c r="C14" i="25" s="1"/>
  <c r="C7" i="23"/>
  <c r="C18" i="25" l="1"/>
  <c r="H14" i="53"/>
  <c r="C14" i="53" s="1"/>
  <c r="C14" i="66" s="1"/>
  <c r="H18" i="53"/>
  <c r="C14" i="24"/>
  <c r="C54" i="52"/>
  <c r="C54" i="66"/>
  <c r="C54" i="54"/>
  <c r="C54" i="56"/>
  <c r="C54" i="65"/>
  <c r="C54" i="61"/>
  <c r="C15" i="56"/>
  <c r="C15" i="66"/>
  <c r="C15" i="52"/>
  <c r="C15" i="55"/>
  <c r="C15" i="62"/>
  <c r="C15" i="61"/>
  <c r="C15" i="54"/>
  <c r="C15" i="65"/>
  <c r="C16" i="52"/>
  <c r="C16" i="65"/>
  <c r="C16" i="62"/>
  <c r="C16" i="61"/>
  <c r="C16" i="54"/>
  <c r="C16" i="66"/>
  <c r="C16" i="55"/>
  <c r="C16" i="56"/>
  <c r="C54" i="62"/>
  <c r="C14" i="62" l="1"/>
  <c r="C14" i="55"/>
  <c r="C14" i="65"/>
  <c r="C14" i="52"/>
  <c r="C14" i="54"/>
  <c r="C14" i="61"/>
  <c r="C14" i="56"/>
  <c r="E31" i="61" l="1"/>
  <c r="E31" i="56"/>
  <c r="E31" i="54"/>
  <c r="E31" i="55"/>
  <c r="E31" i="52" l="1"/>
  <c r="D31" i="53"/>
  <c r="E31" i="53"/>
  <c r="H30" i="53"/>
  <c r="C30" i="53" s="1"/>
  <c r="D30" i="51"/>
  <c r="C30" i="51"/>
  <c r="C30" i="24" l="1"/>
  <c r="C50" i="24"/>
  <c r="C50" i="25"/>
  <c r="C30" i="25"/>
  <c r="D54" i="65"/>
  <c r="D54" i="62"/>
  <c r="D54" i="66"/>
  <c r="H5" i="53" l="1"/>
  <c r="H12" i="53"/>
  <c r="C12" i="53" s="1"/>
  <c r="H17" i="53"/>
  <c r="C17" i="53" s="1"/>
  <c r="H19" i="53"/>
  <c r="C19" i="53" s="1"/>
  <c r="H20" i="53"/>
  <c r="C20" i="53" s="1"/>
  <c r="H21" i="53"/>
  <c r="C21" i="53" s="1"/>
  <c r="H22" i="53"/>
  <c r="C22" i="53" s="1"/>
  <c r="H23" i="53"/>
  <c r="C23" i="53" s="1"/>
  <c r="H25" i="53"/>
  <c r="C25" i="53" s="1"/>
  <c r="H26" i="53"/>
  <c r="C26" i="53" s="1"/>
  <c r="H28" i="53"/>
  <c r="C28" i="53" s="1"/>
  <c r="H29" i="53"/>
  <c r="C29" i="53" s="1"/>
  <c r="H32" i="53"/>
  <c r="C32" i="53" s="1"/>
  <c r="H34" i="53"/>
  <c r="C34" i="53" s="1"/>
  <c r="H35" i="53"/>
  <c r="C35" i="53" s="1"/>
  <c r="H36" i="53"/>
  <c r="C36" i="53" s="1"/>
  <c r="H37" i="53"/>
  <c r="C37" i="53" s="1"/>
  <c r="H38" i="53"/>
  <c r="C38" i="53" s="1"/>
  <c r="H39" i="53"/>
  <c r="C39" i="53" s="1"/>
  <c r="H40" i="53"/>
  <c r="C40" i="53" s="1"/>
  <c r="H41" i="53"/>
  <c r="C41" i="53" s="1"/>
  <c r="H42" i="53"/>
  <c r="C42" i="53" s="1"/>
  <c r="H43" i="53"/>
  <c r="C43" i="53" s="1"/>
  <c r="H44" i="53"/>
  <c r="C44" i="53" s="1"/>
  <c r="H45" i="53"/>
  <c r="C45" i="53" s="1"/>
  <c r="H46" i="53"/>
  <c r="C46" i="53" s="1"/>
  <c r="H47" i="53"/>
  <c r="C47" i="53" s="1"/>
  <c r="H48" i="53"/>
  <c r="C48" i="53" s="1"/>
  <c r="H49" i="53"/>
  <c r="C49" i="53" s="1"/>
  <c r="H50" i="53"/>
  <c r="C50" i="53" s="1"/>
  <c r="H51" i="53"/>
  <c r="C51" i="53" s="1"/>
  <c r="C31" i="53" s="1"/>
  <c r="H52" i="53"/>
  <c r="C52" i="53" s="1"/>
  <c r="H53" i="53"/>
  <c r="C53" i="53" s="1"/>
  <c r="H55" i="53"/>
  <c r="C55" i="53" s="1"/>
  <c r="H57" i="53"/>
  <c r="C57" i="53" s="1"/>
  <c r="H7" i="53"/>
  <c r="C7" i="53" s="1"/>
  <c r="J60" i="55"/>
  <c r="C17" i="55" l="1"/>
  <c r="C17" i="62"/>
  <c r="C17" i="54"/>
  <c r="C17" i="52"/>
  <c r="C17" i="61"/>
  <c r="C17" i="56"/>
  <c r="C17" i="66"/>
  <c r="C17" i="65"/>
  <c r="C32" i="51" l="1"/>
  <c r="C32" i="24" l="1"/>
  <c r="C32" i="25"/>
  <c r="H33" i="53"/>
  <c r="P53" i="23" l="1"/>
  <c r="Q53" i="23"/>
  <c r="C7" i="24" l="1"/>
  <c r="C12" i="24"/>
  <c r="C11" i="24"/>
  <c r="C12" i="25"/>
  <c r="C11" i="25"/>
  <c r="C7" i="25"/>
  <c r="E12" i="66" l="1"/>
  <c r="E7" i="66"/>
  <c r="E12" i="65"/>
  <c r="E7" i="65"/>
  <c r="E12" i="62"/>
  <c r="E7" i="62"/>
  <c r="E12" i="61"/>
  <c r="E7" i="61"/>
  <c r="E12" i="56"/>
  <c r="E7" i="56"/>
  <c r="E12" i="52"/>
  <c r="E7" i="52"/>
  <c r="E12" i="55"/>
  <c r="E7" i="55"/>
  <c r="E12" i="54"/>
  <c r="E7" i="54"/>
  <c r="E12" i="53"/>
  <c r="E7" i="53"/>
  <c r="D59" i="66" l="1"/>
  <c r="D58" i="66"/>
  <c r="D57" i="66"/>
  <c r="D56" i="66"/>
  <c r="D55" i="66"/>
  <c r="D53" i="66"/>
  <c r="D52" i="66"/>
  <c r="D51" i="66"/>
  <c r="D50" i="66"/>
  <c r="D49" i="66"/>
  <c r="D48" i="66"/>
  <c r="D47" i="66"/>
  <c r="D46" i="66"/>
  <c r="D45" i="66"/>
  <c r="D44" i="66"/>
  <c r="D43" i="66"/>
  <c r="D42" i="66"/>
  <c r="D41" i="66"/>
  <c r="D40" i="66"/>
  <c r="D39" i="66"/>
  <c r="D38" i="66"/>
  <c r="D37" i="66"/>
  <c r="D36" i="66"/>
  <c r="D35" i="66"/>
  <c r="D34" i="66"/>
  <c r="D33" i="66"/>
  <c r="D32" i="66"/>
  <c r="D30" i="66"/>
  <c r="D12" i="66"/>
  <c r="D7" i="66"/>
  <c r="D59" i="65"/>
  <c r="D58" i="65"/>
  <c r="D57" i="65"/>
  <c r="D56" i="65"/>
  <c r="D55" i="65"/>
  <c r="D53" i="65"/>
  <c r="D52" i="65"/>
  <c r="D51" i="65"/>
  <c r="D50" i="65"/>
  <c r="D49" i="65"/>
  <c r="D48" i="65"/>
  <c r="D47" i="65"/>
  <c r="D46" i="65"/>
  <c r="D45" i="65"/>
  <c r="D44" i="65"/>
  <c r="D43" i="65"/>
  <c r="D42" i="65"/>
  <c r="D41" i="65"/>
  <c r="D40" i="65"/>
  <c r="D39" i="65"/>
  <c r="D38" i="65"/>
  <c r="D37" i="65"/>
  <c r="D36" i="65"/>
  <c r="D35" i="65"/>
  <c r="D34" i="65"/>
  <c r="D33" i="65"/>
  <c r="D32" i="65"/>
  <c r="D30" i="65"/>
  <c r="D12" i="65"/>
  <c r="D7" i="65"/>
  <c r="D59" i="62"/>
  <c r="D58" i="62"/>
  <c r="D57" i="62"/>
  <c r="D56" i="62"/>
  <c r="D55" i="62"/>
  <c r="D53" i="62"/>
  <c r="D52" i="62"/>
  <c r="D51" i="62"/>
  <c r="D50" i="62"/>
  <c r="D49" i="62"/>
  <c r="D48" i="62"/>
  <c r="D47" i="62"/>
  <c r="D46" i="62"/>
  <c r="D45" i="62"/>
  <c r="D44" i="62"/>
  <c r="D43" i="62"/>
  <c r="D42" i="62"/>
  <c r="D41" i="62"/>
  <c r="D40" i="62"/>
  <c r="D39" i="62"/>
  <c r="D38" i="62"/>
  <c r="D37" i="62"/>
  <c r="D36" i="62"/>
  <c r="D35" i="62"/>
  <c r="D34" i="62"/>
  <c r="D33" i="62"/>
  <c r="D32" i="62"/>
  <c r="D30" i="62"/>
  <c r="D12" i="62"/>
  <c r="D7" i="62"/>
  <c r="D59" i="61"/>
  <c r="D58" i="61"/>
  <c r="D57" i="61"/>
  <c r="D56" i="61"/>
  <c r="D55" i="61"/>
  <c r="D53" i="61"/>
  <c r="D52" i="61"/>
  <c r="D51" i="61"/>
  <c r="D31" i="61" s="1"/>
  <c r="D50" i="61"/>
  <c r="D49" i="61"/>
  <c r="D48" i="61"/>
  <c r="D47" i="61"/>
  <c r="D46" i="61"/>
  <c r="D45" i="61"/>
  <c r="D44" i="61"/>
  <c r="D43" i="61"/>
  <c r="D42" i="61"/>
  <c r="D41" i="61"/>
  <c r="D40" i="61"/>
  <c r="D39" i="61"/>
  <c r="D38" i="61"/>
  <c r="D37" i="61"/>
  <c r="D36" i="61"/>
  <c r="D35" i="61"/>
  <c r="D34" i="61"/>
  <c r="D33" i="61"/>
  <c r="D32" i="61"/>
  <c r="D29" i="61"/>
  <c r="D12" i="61"/>
  <c r="D7" i="61"/>
  <c r="D59" i="56"/>
  <c r="D58" i="56"/>
  <c r="D57" i="56"/>
  <c r="D56" i="56"/>
  <c r="D55" i="56"/>
  <c r="D53" i="56"/>
  <c r="D52" i="56"/>
  <c r="D51" i="56"/>
  <c r="D31" i="56" s="1"/>
  <c r="D50" i="56"/>
  <c r="D49" i="56"/>
  <c r="D48" i="56"/>
  <c r="D47" i="56"/>
  <c r="D46" i="56"/>
  <c r="D45" i="56"/>
  <c r="D44" i="56"/>
  <c r="D43" i="56"/>
  <c r="D42" i="56"/>
  <c r="D41" i="56"/>
  <c r="D40" i="56"/>
  <c r="D39" i="56"/>
  <c r="D38" i="56"/>
  <c r="D37" i="56"/>
  <c r="D36" i="56"/>
  <c r="D35" i="56"/>
  <c r="D34" i="56"/>
  <c r="D33" i="56"/>
  <c r="D32" i="56"/>
  <c r="D29" i="56"/>
  <c r="D12" i="56"/>
  <c r="D7" i="56"/>
  <c r="D59" i="52"/>
  <c r="D58" i="52"/>
  <c r="D57" i="52"/>
  <c r="D56" i="52"/>
  <c r="D55" i="52"/>
  <c r="D53" i="52"/>
  <c r="D52" i="52"/>
  <c r="D51" i="52"/>
  <c r="D31" i="52" s="1"/>
  <c r="D50" i="52"/>
  <c r="D49" i="52"/>
  <c r="D48" i="52"/>
  <c r="D46" i="52"/>
  <c r="D45" i="52"/>
  <c r="D44" i="52"/>
  <c r="D43" i="52"/>
  <c r="D42" i="52"/>
  <c r="D41" i="52"/>
  <c r="D47" i="52"/>
  <c r="D40" i="52"/>
  <c r="D39" i="52"/>
  <c r="D38" i="52"/>
  <c r="D37" i="52"/>
  <c r="D36" i="52"/>
  <c r="D35" i="52"/>
  <c r="D34" i="52"/>
  <c r="D33" i="52"/>
  <c r="D32" i="52"/>
  <c r="D29" i="52"/>
  <c r="D12" i="52"/>
  <c r="D7" i="52"/>
  <c r="D59" i="55"/>
  <c r="D58" i="55"/>
  <c r="D57" i="55"/>
  <c r="D56" i="55"/>
  <c r="D55" i="55"/>
  <c r="D53" i="55"/>
  <c r="D52" i="55"/>
  <c r="D51" i="55"/>
  <c r="D31" i="55" s="1"/>
  <c r="D50" i="55"/>
  <c r="D49" i="55"/>
  <c r="D48" i="55"/>
  <c r="D47" i="55"/>
  <c r="D46" i="55"/>
  <c r="D45" i="55"/>
  <c r="D44" i="55"/>
  <c r="D43" i="55"/>
  <c r="D42" i="55"/>
  <c r="D41" i="55"/>
  <c r="D40" i="55"/>
  <c r="D39" i="55"/>
  <c r="D38" i="55"/>
  <c r="D37" i="55"/>
  <c r="D36" i="55"/>
  <c r="D35" i="55"/>
  <c r="D34" i="55"/>
  <c r="D33" i="55"/>
  <c r="D32" i="55"/>
  <c r="D29" i="55"/>
  <c r="D12" i="55"/>
  <c r="D7" i="55"/>
  <c r="D12" i="54"/>
  <c r="D29" i="54"/>
  <c r="D32" i="54"/>
  <c r="D33" i="54"/>
  <c r="D34" i="54"/>
  <c r="D35" i="54"/>
  <c r="D36" i="54"/>
  <c r="D37" i="54"/>
  <c r="D38" i="54"/>
  <c r="D39" i="54"/>
  <c r="D40" i="54"/>
  <c r="D41" i="54"/>
  <c r="D42" i="54"/>
  <c r="D43" i="54"/>
  <c r="D44" i="54"/>
  <c r="D45" i="54"/>
  <c r="D46" i="54"/>
  <c r="D47" i="54"/>
  <c r="D48" i="54"/>
  <c r="D49" i="54"/>
  <c r="D50" i="54"/>
  <c r="D51" i="54"/>
  <c r="D31" i="54" s="1"/>
  <c r="D52" i="54"/>
  <c r="D53" i="54"/>
  <c r="D55" i="54"/>
  <c r="D56" i="54"/>
  <c r="D57" i="54"/>
  <c r="D58" i="54"/>
  <c r="D59" i="54"/>
  <c r="D7" i="54"/>
  <c r="C27" i="51"/>
  <c r="C12" i="66" l="1"/>
  <c r="C28" i="66"/>
  <c r="C28" i="65"/>
  <c r="C28" i="62"/>
  <c r="C12" i="65"/>
  <c r="C12" i="62"/>
  <c r="C21" i="66"/>
  <c r="C21" i="65"/>
  <c r="C21" i="62"/>
  <c r="C26" i="65"/>
  <c r="C26" i="62"/>
  <c r="C26" i="66"/>
  <c r="C30" i="66"/>
  <c r="C30" i="65"/>
  <c r="C30" i="62"/>
  <c r="C36" i="65"/>
  <c r="C36" i="62"/>
  <c r="C36" i="66"/>
  <c r="C40" i="65"/>
  <c r="C40" i="62"/>
  <c r="C40" i="66"/>
  <c r="C44" i="65"/>
  <c r="C44" i="62"/>
  <c r="C44" i="66"/>
  <c r="C48" i="65"/>
  <c r="C48" i="62"/>
  <c r="C48" i="66"/>
  <c r="C52" i="65"/>
  <c r="C52" i="62"/>
  <c r="C52" i="66"/>
  <c r="C22" i="65"/>
  <c r="C22" i="62"/>
  <c r="C22" i="66"/>
  <c r="C32" i="66"/>
  <c r="C32" i="65"/>
  <c r="C32" i="62"/>
  <c r="C37" i="65"/>
  <c r="C37" i="62"/>
  <c r="C37" i="66"/>
  <c r="C41" i="65"/>
  <c r="C41" i="62"/>
  <c r="C41" i="66"/>
  <c r="C45" i="65"/>
  <c r="C45" i="62"/>
  <c r="C45" i="66"/>
  <c r="C49" i="65"/>
  <c r="C49" i="62"/>
  <c r="C49" i="66"/>
  <c r="C53" i="65"/>
  <c r="C53" i="62"/>
  <c r="C53" i="66"/>
  <c r="C19" i="66"/>
  <c r="C19" i="65"/>
  <c r="C19" i="62"/>
  <c r="C23" i="66"/>
  <c r="C23" i="62"/>
  <c r="C23" i="65"/>
  <c r="C34" i="65"/>
  <c r="C34" i="62"/>
  <c r="C34" i="66"/>
  <c r="C38" i="65"/>
  <c r="C38" i="62"/>
  <c r="C38" i="66"/>
  <c r="C42" i="65"/>
  <c r="C42" i="62"/>
  <c r="C42" i="66"/>
  <c r="C46" i="65"/>
  <c r="C46" i="62"/>
  <c r="C46" i="66"/>
  <c r="C50" i="65"/>
  <c r="C50" i="62"/>
  <c r="C50" i="66"/>
  <c r="C55" i="65"/>
  <c r="C55" i="62"/>
  <c r="C55" i="66"/>
  <c r="C7" i="65"/>
  <c r="C7" i="62"/>
  <c r="C7" i="66"/>
  <c r="C20" i="66"/>
  <c r="C20" i="65"/>
  <c r="C20" i="62"/>
  <c r="C25" i="66"/>
  <c r="C25" i="65"/>
  <c r="C25" i="62"/>
  <c r="C29" i="66"/>
  <c r="C29" i="65"/>
  <c r="C29" i="62"/>
  <c r="C35" i="66"/>
  <c r="C35" i="65"/>
  <c r="C35" i="62"/>
  <c r="C39" i="66"/>
  <c r="C39" i="65"/>
  <c r="C39" i="62"/>
  <c r="C43" i="66"/>
  <c r="C43" i="62"/>
  <c r="C43" i="65"/>
  <c r="C47" i="66"/>
  <c r="C47" i="62"/>
  <c r="C47" i="65"/>
  <c r="C51" i="66"/>
  <c r="C31" i="66" s="1"/>
  <c r="C51" i="65"/>
  <c r="C31" i="65" s="1"/>
  <c r="C51" i="62"/>
  <c r="C31" i="62" s="1"/>
  <c r="C22" i="54"/>
  <c r="C22" i="61"/>
  <c r="C22" i="52"/>
  <c r="C22" i="55"/>
  <c r="C22" i="56"/>
  <c r="C37" i="55"/>
  <c r="C37" i="54"/>
  <c r="C37" i="61"/>
  <c r="C37" i="56"/>
  <c r="C37" i="52"/>
  <c r="C45" i="55"/>
  <c r="C45" i="54"/>
  <c r="C45" i="61"/>
  <c r="C45" i="56"/>
  <c r="C45" i="52"/>
  <c r="C53" i="61"/>
  <c r="C53" i="56"/>
  <c r="C53" i="54"/>
  <c r="C53" i="52"/>
  <c r="C53" i="55"/>
  <c r="C19" i="56"/>
  <c r="C19" i="52"/>
  <c r="C19" i="61"/>
  <c r="C19" i="54"/>
  <c r="C19" i="55"/>
  <c r="C23" i="61"/>
  <c r="C23" i="52"/>
  <c r="C23" i="55"/>
  <c r="C23" i="56"/>
  <c r="C23" i="54"/>
  <c r="C38" i="52"/>
  <c r="C38" i="55"/>
  <c r="C38" i="56"/>
  <c r="C38" i="61"/>
  <c r="C38" i="54"/>
  <c r="C46" i="52"/>
  <c r="C46" i="56"/>
  <c r="C46" i="54"/>
  <c r="C46" i="55"/>
  <c r="C46" i="61"/>
  <c r="C55" i="55"/>
  <c r="C55" i="54"/>
  <c r="C55" i="52"/>
  <c r="C55" i="61"/>
  <c r="C55" i="56"/>
  <c r="C12" i="61"/>
  <c r="C12" i="55"/>
  <c r="C12" i="56"/>
  <c r="C28" i="61"/>
  <c r="C12" i="54"/>
  <c r="C28" i="56"/>
  <c r="C12" i="52"/>
  <c r="C28" i="54"/>
  <c r="C28" i="52"/>
  <c r="C28" i="55"/>
  <c r="C21" i="55"/>
  <c r="C21" i="54"/>
  <c r="C21" i="61"/>
  <c r="C21" i="56"/>
  <c r="C21" i="52"/>
  <c r="C26" i="55"/>
  <c r="C26" i="54"/>
  <c r="C26" i="61"/>
  <c r="C26" i="56"/>
  <c r="C26" i="52"/>
  <c r="C30" i="61"/>
  <c r="C30" i="56"/>
  <c r="C30" i="52"/>
  <c r="C30" i="55"/>
  <c r="C30" i="54"/>
  <c r="C36" i="61"/>
  <c r="C36" i="56"/>
  <c r="C36" i="52"/>
  <c r="C36" i="54"/>
  <c r="C36" i="55"/>
  <c r="C40" i="61"/>
  <c r="C40" i="56"/>
  <c r="C40" i="52"/>
  <c r="C40" i="54"/>
  <c r="C40" i="55"/>
  <c r="C44" i="61"/>
  <c r="C44" i="56"/>
  <c r="C44" i="52"/>
  <c r="C44" i="54"/>
  <c r="C44" i="55"/>
  <c r="C48" i="61"/>
  <c r="C48" i="56"/>
  <c r="C48" i="52"/>
  <c r="C48" i="54"/>
  <c r="C48" i="55"/>
  <c r="C52" i="61"/>
  <c r="C52" i="56"/>
  <c r="C52" i="52"/>
  <c r="C52" i="55"/>
  <c r="C52" i="54"/>
  <c r="C32" i="55"/>
  <c r="C32" i="54"/>
  <c r="C32" i="61"/>
  <c r="C32" i="56"/>
  <c r="C32" i="52"/>
  <c r="C41" i="55"/>
  <c r="C41" i="54"/>
  <c r="C41" i="61"/>
  <c r="C41" i="56"/>
  <c r="C41" i="52"/>
  <c r="C49" i="61"/>
  <c r="C49" i="56"/>
  <c r="C49" i="52"/>
  <c r="C49" i="55"/>
  <c r="C49" i="54"/>
  <c r="C34" i="56"/>
  <c r="C34" i="61"/>
  <c r="C34" i="54"/>
  <c r="C34" i="52"/>
  <c r="C34" i="55"/>
  <c r="C42" i="54"/>
  <c r="C42" i="56"/>
  <c r="C42" i="61"/>
  <c r="C42" i="52"/>
  <c r="C42" i="55"/>
  <c r="C50" i="55"/>
  <c r="C50" i="54"/>
  <c r="C50" i="52"/>
  <c r="C50" i="61"/>
  <c r="C50" i="56"/>
  <c r="C7" i="61"/>
  <c r="C7" i="56"/>
  <c r="C7" i="52"/>
  <c r="C7" i="55"/>
  <c r="C7" i="54"/>
  <c r="C20" i="61"/>
  <c r="C20" i="56"/>
  <c r="C20" i="52"/>
  <c r="C20" i="55"/>
  <c r="C20" i="54"/>
  <c r="C25" i="61"/>
  <c r="C25" i="56"/>
  <c r="C25" i="52"/>
  <c r="C25" i="54"/>
  <c r="C25" i="55"/>
  <c r="C29" i="56"/>
  <c r="C29" i="54"/>
  <c r="C29" i="61"/>
  <c r="C29" i="52"/>
  <c r="C29" i="55"/>
  <c r="C35" i="61"/>
  <c r="C35" i="56"/>
  <c r="C35" i="52"/>
  <c r="C35" i="55"/>
  <c r="C35" i="54"/>
  <c r="C39" i="56"/>
  <c r="C39" i="54"/>
  <c r="C39" i="55"/>
  <c r="C39" i="61"/>
  <c r="C39" i="52"/>
  <c r="C43" i="61"/>
  <c r="C43" i="52"/>
  <c r="C43" i="55"/>
  <c r="C43" i="54"/>
  <c r="C43" i="56"/>
  <c r="C47" i="56"/>
  <c r="C47" i="61"/>
  <c r="C47" i="52"/>
  <c r="C47" i="55"/>
  <c r="C51" i="61"/>
  <c r="C31" i="61" s="1"/>
  <c r="C51" i="56"/>
  <c r="C31" i="56" s="1"/>
  <c r="C51" i="55"/>
  <c r="C31" i="55" s="1"/>
  <c r="C51" i="52"/>
  <c r="C31" i="52" s="1"/>
  <c r="C51" i="54"/>
  <c r="C31" i="54" s="1"/>
  <c r="C57" i="56"/>
  <c r="C57" i="55"/>
  <c r="C57" i="54"/>
  <c r="C57" i="61"/>
  <c r="C57" i="52"/>
  <c r="C33" i="53"/>
  <c r="C47" i="54"/>
  <c r="C33" i="56" l="1"/>
  <c r="C33" i="55"/>
  <c r="C33" i="54"/>
  <c r="C33" i="52"/>
  <c r="C33" i="65"/>
  <c r="C33" i="66"/>
  <c r="C33" i="62"/>
  <c r="C33" i="61"/>
  <c r="D52" i="23"/>
  <c r="C8" i="23" s="1"/>
  <c r="F34" i="44" l="1"/>
  <c r="D32" i="44" s="1"/>
  <c r="C67" i="24" l="1"/>
  <c r="D73" i="61" l="1"/>
  <c r="D73" i="52" l="1"/>
  <c r="D73" i="54"/>
  <c r="D73" i="56"/>
  <c r="D73" i="55"/>
  <c r="D73" i="53"/>
  <c r="D69" i="65" l="1"/>
  <c r="D69" i="62" l="1"/>
  <c r="D69" i="66"/>
  <c r="B41" i="44"/>
  <c r="D35" i="44" l="1"/>
  <c r="F11" i="23"/>
  <c r="F10" i="23"/>
  <c r="F7" i="23"/>
  <c r="F9" i="23"/>
  <c r="D74" i="65" l="1"/>
  <c r="D74" i="66"/>
  <c r="D74" i="62"/>
  <c r="D74" i="61"/>
  <c r="D74" i="54"/>
  <c r="D29" i="44"/>
  <c r="D73" i="65" l="1"/>
  <c r="D73" i="66"/>
  <c r="D68" i="66"/>
  <c r="D68" i="65"/>
  <c r="D68" i="62"/>
  <c r="D80" i="65"/>
  <c r="D80" i="66"/>
  <c r="D81" i="65"/>
  <c r="D81" i="66"/>
  <c r="D82" i="65"/>
  <c r="D82" i="66"/>
  <c r="D83" i="65"/>
  <c r="D83" i="66"/>
  <c r="D84" i="65"/>
  <c r="D84" i="66"/>
  <c r="F16" i="62" l="1"/>
  <c r="W14" i="94" s="1"/>
  <c r="X14" i="94"/>
  <c r="F16" i="66"/>
  <c r="AA14" i="94" s="1"/>
  <c r="AB14" i="94"/>
  <c r="F16" i="65"/>
  <c r="Y14" i="94" s="1"/>
  <c r="Z14" i="94"/>
  <c r="C8" i="66"/>
  <c r="D67" i="65"/>
  <c r="D67" i="66"/>
  <c r="AC14" i="94" l="1"/>
  <c r="AD14" i="94"/>
  <c r="G15" i="65"/>
  <c r="Z13" i="94" s="1"/>
  <c r="G14" i="65"/>
  <c r="Z12" i="94" s="1"/>
  <c r="G14" i="66"/>
  <c r="AB12" i="94" s="1"/>
  <c r="G15" i="66"/>
  <c r="AB13" i="94" s="1"/>
  <c r="F14" i="65"/>
  <c r="Y12" i="94" s="1"/>
  <c r="F15" i="65"/>
  <c r="Y13" i="94" s="1"/>
  <c r="F14" i="66"/>
  <c r="AA12" i="94" s="1"/>
  <c r="F15" i="66"/>
  <c r="AA13" i="94" s="1"/>
  <c r="C8" i="65"/>
  <c r="G8" i="65" s="1"/>
  <c r="Z7" i="94" s="1"/>
  <c r="G53" i="65"/>
  <c r="Z50" i="94" s="1"/>
  <c r="G47" i="65"/>
  <c r="Z44" i="94" s="1"/>
  <c r="F47" i="65"/>
  <c r="Y44" i="94" s="1"/>
  <c r="G44" i="66"/>
  <c r="AB41" i="94" s="1"/>
  <c r="F47" i="66"/>
  <c r="AA44" i="94" s="1"/>
  <c r="G47" i="66"/>
  <c r="AB44" i="94" s="1"/>
  <c r="F21" i="65"/>
  <c r="Y19" i="94" s="1"/>
  <c r="F8" i="66"/>
  <c r="AA7" i="94" s="1"/>
  <c r="G23" i="66"/>
  <c r="AB21" i="94" s="1"/>
  <c r="F36" i="66"/>
  <c r="AA33" i="94" s="1"/>
  <c r="G36" i="66"/>
  <c r="AB33" i="94" s="1"/>
  <c r="F42" i="66"/>
  <c r="AA39" i="94" s="1"/>
  <c r="G20" i="66"/>
  <c r="AB18" i="94" s="1"/>
  <c r="G30" i="66"/>
  <c r="AB28" i="94" s="1"/>
  <c r="F50" i="66"/>
  <c r="AA47" i="94" s="1"/>
  <c r="F29" i="66"/>
  <c r="AA27" i="94" s="1"/>
  <c r="G53" i="66"/>
  <c r="AB50" i="94" s="1"/>
  <c r="G39" i="66"/>
  <c r="AB36" i="94" s="1"/>
  <c r="G41" i="66"/>
  <c r="AB38" i="94" s="1"/>
  <c r="F7" i="66"/>
  <c r="AA6" i="94" s="1"/>
  <c r="F42" i="65"/>
  <c r="Y39" i="94" s="1"/>
  <c r="G8" i="66"/>
  <c r="AB7" i="94" s="1"/>
  <c r="G34" i="65"/>
  <c r="Z31" i="94" s="1"/>
  <c r="G32" i="65"/>
  <c r="Z29" i="94" s="1"/>
  <c r="F39" i="65"/>
  <c r="Y36" i="94" s="1"/>
  <c r="F36" i="65"/>
  <c r="Y33" i="94" s="1"/>
  <c r="G43" i="65"/>
  <c r="Z40" i="94" s="1"/>
  <c r="F37" i="65"/>
  <c r="Y34" i="94" s="1"/>
  <c r="F19" i="65"/>
  <c r="Y17" i="94" s="1"/>
  <c r="F29" i="65"/>
  <c r="Y27" i="94" s="1"/>
  <c r="G55" i="66"/>
  <c r="AB52" i="94" s="1"/>
  <c r="G19" i="66"/>
  <c r="AB17" i="94" s="1"/>
  <c r="F38" i="66"/>
  <c r="AA35" i="94" s="1"/>
  <c r="F49" i="66"/>
  <c r="AA46" i="94" s="1"/>
  <c r="G17" i="66"/>
  <c r="AB15" i="94" s="1"/>
  <c r="F52" i="66"/>
  <c r="AA49" i="94" s="1"/>
  <c r="F43" i="66"/>
  <c r="AA40" i="94" s="1"/>
  <c r="F32" i="66"/>
  <c r="AA29" i="94" s="1"/>
  <c r="G26" i="66"/>
  <c r="AB24" i="94" s="1"/>
  <c r="G50" i="65"/>
  <c r="Z47" i="94" s="1"/>
  <c r="G19" i="65"/>
  <c r="Z17" i="94" s="1"/>
  <c r="F20" i="65"/>
  <c r="Y18" i="94" s="1"/>
  <c r="F33" i="65"/>
  <c r="Y30" i="94" s="1"/>
  <c r="G49" i="65"/>
  <c r="Z46" i="94" s="1"/>
  <c r="G22" i="65"/>
  <c r="Z20" i="94" s="1"/>
  <c r="G50" i="66"/>
  <c r="AB47" i="94" s="1"/>
  <c r="G32" i="66"/>
  <c r="AB29" i="94" s="1"/>
  <c r="F51" i="66"/>
  <c r="F34" i="66"/>
  <c r="AA31" i="94" s="1"/>
  <c r="F12" i="66"/>
  <c r="F44" i="66"/>
  <c r="AA41" i="94" s="1"/>
  <c r="G49" i="66"/>
  <c r="AB46" i="94" s="1"/>
  <c r="G40" i="66"/>
  <c r="AB37" i="94" s="1"/>
  <c r="G38" i="66"/>
  <c r="AB35" i="94" s="1"/>
  <c r="G52" i="66"/>
  <c r="AB49" i="94" s="1"/>
  <c r="G33" i="65"/>
  <c r="Z30" i="94" s="1"/>
  <c r="G37" i="66"/>
  <c r="AB34" i="94" s="1"/>
  <c r="F20" i="66"/>
  <c r="AA18" i="94" s="1"/>
  <c r="G34" i="66"/>
  <c r="AB31" i="94" s="1"/>
  <c r="G7" i="66"/>
  <c r="AB6" i="94" s="1"/>
  <c r="F37" i="66"/>
  <c r="AA34" i="94" s="1"/>
  <c r="G41" i="65"/>
  <c r="Z38" i="94" s="1"/>
  <c r="F51" i="65"/>
  <c r="F49" i="65"/>
  <c r="Y46" i="94" s="1"/>
  <c r="G25" i="65"/>
  <c r="Z23" i="94" s="1"/>
  <c r="G42" i="65"/>
  <c r="Z39" i="94" s="1"/>
  <c r="G30" i="65"/>
  <c r="Z28" i="94" s="1"/>
  <c r="G45" i="66"/>
  <c r="AB42" i="94" s="1"/>
  <c r="G28" i="66"/>
  <c r="F46" i="66"/>
  <c r="AA43" i="94" s="1"/>
  <c r="F33" i="66"/>
  <c r="AA30" i="94" s="1"/>
  <c r="F40" i="66"/>
  <c r="AA37" i="94" s="1"/>
  <c r="F30" i="66"/>
  <c r="AA28" i="94" s="1"/>
  <c r="F48" i="66"/>
  <c r="AA45" i="94" s="1"/>
  <c r="F39" i="66"/>
  <c r="AA36" i="94" s="1"/>
  <c r="G33" i="66"/>
  <c r="AB30" i="94" s="1"/>
  <c r="G35" i="66"/>
  <c r="AB32" i="94" s="1"/>
  <c r="F55" i="65"/>
  <c r="Y52" i="94" s="1"/>
  <c r="G38" i="65"/>
  <c r="Z35" i="94" s="1"/>
  <c r="F53" i="65"/>
  <c r="Y50" i="94" s="1"/>
  <c r="G21" i="65"/>
  <c r="Z19" i="94" s="1"/>
  <c r="G55" i="65"/>
  <c r="Z52" i="94" s="1"/>
  <c r="G37" i="65"/>
  <c r="Z34" i="94" s="1"/>
  <c r="G23" i="65"/>
  <c r="Z21" i="94" s="1"/>
  <c r="F46" i="65"/>
  <c r="Y43" i="94" s="1"/>
  <c r="G46" i="65"/>
  <c r="Z43" i="94" s="1"/>
  <c r="G36" i="65"/>
  <c r="Z33" i="94" s="1"/>
  <c r="F23" i="65"/>
  <c r="Y21" i="94" s="1"/>
  <c r="F44" i="65"/>
  <c r="Y41" i="94" s="1"/>
  <c r="F35" i="65"/>
  <c r="Y32" i="94" s="1"/>
  <c r="G20" i="65"/>
  <c r="Z18" i="94" s="1"/>
  <c r="G29" i="65"/>
  <c r="Z27" i="94" s="1"/>
  <c r="G51" i="65"/>
  <c r="F26" i="65"/>
  <c r="Y24" i="94" s="1"/>
  <c r="F50" i="65"/>
  <c r="Y47" i="94" s="1"/>
  <c r="F30" i="65"/>
  <c r="Y28" i="94" s="1"/>
  <c r="F32" i="65"/>
  <c r="Y29" i="94" s="1"/>
  <c r="G12" i="65"/>
  <c r="F48" i="65"/>
  <c r="Y45" i="94" s="1"/>
  <c r="G48" i="65"/>
  <c r="Z45" i="94" s="1"/>
  <c r="G17" i="65"/>
  <c r="Z15" i="94" s="1"/>
  <c r="G26" i="65"/>
  <c r="Z24" i="94" s="1"/>
  <c r="F28" i="65"/>
  <c r="F43" i="65"/>
  <c r="Y40" i="94" s="1"/>
  <c r="G7" i="65"/>
  <c r="Z6" i="94" s="1"/>
  <c r="G44" i="65"/>
  <c r="Z41" i="94" s="1"/>
  <c r="G45" i="65"/>
  <c r="Z42" i="94" s="1"/>
  <c r="G28" i="65"/>
  <c r="F38" i="65"/>
  <c r="Y35" i="94" s="1"/>
  <c r="F12" i="65"/>
  <c r="F7" i="65"/>
  <c r="Y6" i="94" s="1"/>
  <c r="F41" i="65"/>
  <c r="Y38" i="94" s="1"/>
  <c r="F52" i="65"/>
  <c r="Y49" i="94" s="1"/>
  <c r="G39" i="65"/>
  <c r="Z36" i="94" s="1"/>
  <c r="G40" i="65"/>
  <c r="Z37" i="94" s="1"/>
  <c r="G35" i="65"/>
  <c r="Z32" i="94" s="1"/>
  <c r="F25" i="65"/>
  <c r="Y23" i="94" s="1"/>
  <c r="F45" i="65"/>
  <c r="Y42" i="94" s="1"/>
  <c r="G52" i="65"/>
  <c r="Z49" i="94" s="1"/>
  <c r="F40" i="65"/>
  <c r="Y37" i="94" s="1"/>
  <c r="F22" i="65"/>
  <c r="Y20" i="94" s="1"/>
  <c r="F34" i="65"/>
  <c r="Y31" i="94" s="1"/>
  <c r="F17" i="65"/>
  <c r="Y15" i="94" s="1"/>
  <c r="F45" i="66"/>
  <c r="AA42" i="94" s="1"/>
  <c r="G46" i="66"/>
  <c r="AB43" i="94" s="1"/>
  <c r="G22" i="66"/>
  <c r="AB20" i="94" s="1"/>
  <c r="F23" i="66"/>
  <c r="AA21" i="94" s="1"/>
  <c r="F41" i="66"/>
  <c r="AA38" i="94" s="1"/>
  <c r="F53" i="66"/>
  <c r="AA50" i="94" s="1"/>
  <c r="G48" i="66"/>
  <c r="AB45" i="94" s="1"/>
  <c r="F35" i="66"/>
  <c r="AA32" i="94" s="1"/>
  <c r="F25" i="66"/>
  <c r="AA23" i="94" s="1"/>
  <c r="F22" i="66"/>
  <c r="AA20" i="94" s="1"/>
  <c r="G43" i="66"/>
  <c r="AB40" i="94" s="1"/>
  <c r="G25" i="66"/>
  <c r="AB23" i="94" s="1"/>
  <c r="F21" i="66"/>
  <c r="AA19" i="94" s="1"/>
  <c r="F17" i="66"/>
  <c r="AA15" i="94" s="1"/>
  <c r="G21" i="66"/>
  <c r="AB19" i="94" s="1"/>
  <c r="F26" i="66"/>
  <c r="AA24" i="94" s="1"/>
  <c r="F19" i="66"/>
  <c r="AA17" i="94" s="1"/>
  <c r="F55" i="66"/>
  <c r="AA52" i="94" s="1"/>
  <c r="G12" i="66"/>
  <c r="G42" i="66"/>
  <c r="AB39" i="94" s="1"/>
  <c r="G29" i="66"/>
  <c r="AB27" i="94" s="1"/>
  <c r="G51" i="66"/>
  <c r="F28" i="66"/>
  <c r="AB26" i="94" l="1"/>
  <c r="AB11" i="94"/>
  <c r="Y26" i="94"/>
  <c r="Y11" i="94"/>
  <c r="Z11" i="94"/>
  <c r="Z26" i="94"/>
  <c r="AA26" i="94"/>
  <c r="AA11" i="94"/>
  <c r="Z51" i="94"/>
  <c r="AB51" i="94"/>
  <c r="F54" i="65"/>
  <c r="Y51" i="94" s="1"/>
  <c r="F54" i="66"/>
  <c r="AA51" i="94" s="1"/>
  <c r="G31" i="65"/>
  <c r="Z48" i="94" s="1"/>
  <c r="F31" i="65"/>
  <c r="Y48" i="94" s="1"/>
  <c r="G31" i="66"/>
  <c r="AB48" i="94" s="1"/>
  <c r="F31" i="66"/>
  <c r="AA48" i="94" s="1"/>
  <c r="F8" i="65"/>
  <c r="Y7" i="94" s="1"/>
  <c r="D69" i="61" l="1"/>
  <c r="D41" i="44" l="1"/>
  <c r="B43" i="44"/>
  <c r="B46" i="44"/>
  <c r="C65" i="24" s="1"/>
  <c r="C65" i="25" l="1"/>
  <c r="U17" i="57"/>
  <c r="U7" i="57" l="1"/>
  <c r="C36" i="57" s="1"/>
  <c r="U8" i="57"/>
  <c r="U9" i="57"/>
  <c r="U10" i="57"/>
  <c r="U11" i="57"/>
  <c r="U12" i="57"/>
  <c r="U13" i="57"/>
  <c r="U14" i="57"/>
  <c r="U15" i="57"/>
  <c r="U16" i="57"/>
  <c r="C59" i="57"/>
  <c r="E39" i="57" l="1"/>
  <c r="E50" i="57" s="1"/>
  <c r="E41" i="57"/>
  <c r="E52" i="57" s="1"/>
  <c r="E36" i="57"/>
  <c r="E47" i="57" s="1"/>
  <c r="I36" i="57"/>
  <c r="I47" i="57" s="1"/>
  <c r="E37" i="57"/>
  <c r="E48" i="57" s="1"/>
  <c r="I37" i="57"/>
  <c r="I48" i="57" s="1"/>
  <c r="I38" i="57"/>
  <c r="I40" i="57"/>
  <c r="I51" i="57" s="1"/>
  <c r="I42" i="57"/>
  <c r="E35" i="57"/>
  <c r="E46" i="57" s="1"/>
  <c r="I35" i="57"/>
  <c r="I46" i="57" s="1"/>
  <c r="E38" i="57"/>
  <c r="E40" i="57"/>
  <c r="E51" i="57" s="1"/>
  <c r="E42" i="57"/>
  <c r="E53" i="57" s="1"/>
  <c r="D35" i="57"/>
  <c r="H35" i="57"/>
  <c r="H46" i="57" s="1"/>
  <c r="C35" i="57"/>
  <c r="I39" i="57"/>
  <c r="I50" i="57" s="1"/>
  <c r="I41" i="57"/>
  <c r="I52" i="57" s="1"/>
  <c r="G35" i="57"/>
  <c r="G46" i="57" s="1"/>
  <c r="K35" i="57"/>
  <c r="K46" i="57" s="1"/>
  <c r="F35" i="57"/>
  <c r="F46" i="57" s="1"/>
  <c r="J35" i="57"/>
  <c r="J46" i="57" s="1"/>
  <c r="D46" i="57"/>
  <c r="I53" i="57"/>
  <c r="D68" i="56"/>
  <c r="D74" i="56"/>
  <c r="D68" i="55"/>
  <c r="D74" i="55"/>
  <c r="D68" i="54"/>
  <c r="D68" i="53"/>
  <c r="D68" i="52"/>
  <c r="D74" i="52"/>
  <c r="C65" i="51"/>
  <c r="L35" i="57" l="1"/>
  <c r="C10" i="94" s="1"/>
  <c r="G11" i="93" s="1"/>
  <c r="C46" i="57"/>
  <c r="L46" i="57" s="1"/>
  <c r="D10" i="94" s="1"/>
  <c r="H11" i="93" s="1"/>
  <c r="E49" i="57"/>
  <c r="I49" i="57"/>
  <c r="D80" i="61" l="1"/>
  <c r="D80" i="62"/>
  <c r="D81" i="61"/>
  <c r="D81" i="62"/>
  <c r="D82" i="61"/>
  <c r="D82" i="62"/>
  <c r="D83" i="61"/>
  <c r="D83" i="62"/>
  <c r="D84" i="61"/>
  <c r="D84" i="62"/>
  <c r="D72" i="54"/>
  <c r="D72" i="55"/>
  <c r="D72" i="52"/>
  <c r="D72" i="56"/>
  <c r="C8" i="56" s="1"/>
  <c r="D6" i="44"/>
  <c r="D69" i="53"/>
  <c r="D69" i="54"/>
  <c r="D69" i="55"/>
  <c r="D69" i="52"/>
  <c r="D69" i="56"/>
  <c r="C27" i="54" l="1"/>
  <c r="C8" i="54"/>
  <c r="G8" i="54" s="1"/>
  <c r="J7" i="94" s="1"/>
  <c r="C27" i="56"/>
  <c r="F27" i="56" s="1"/>
  <c r="S25" i="94" s="1"/>
  <c r="C27" i="52"/>
  <c r="C27" i="55"/>
  <c r="C8" i="52"/>
  <c r="G8" i="52" s="1"/>
  <c r="R7" i="94" s="1"/>
  <c r="C8" i="55"/>
  <c r="G8" i="55" s="1"/>
  <c r="P7" i="94" s="1"/>
  <c r="D67" i="61"/>
  <c r="C67" i="51"/>
  <c r="D68" i="61"/>
  <c r="D73" i="62"/>
  <c r="D67" i="62"/>
  <c r="C14" i="50"/>
  <c r="E14" i="50"/>
  <c r="D14" i="50"/>
  <c r="G14" i="50"/>
  <c r="F14" i="50"/>
  <c r="D83" i="52" s="1"/>
  <c r="E13" i="50"/>
  <c r="F13" i="50"/>
  <c r="D82" i="54" s="1"/>
  <c r="D13" i="50"/>
  <c r="G13" i="50"/>
  <c r="C13" i="50"/>
  <c r="C15" i="50"/>
  <c r="G15" i="50"/>
  <c r="F15" i="50"/>
  <c r="D84" i="52" s="1"/>
  <c r="D15" i="50"/>
  <c r="E15" i="50"/>
  <c r="C11" i="50"/>
  <c r="F11" i="50"/>
  <c r="D80" i="56" s="1"/>
  <c r="D11" i="50"/>
  <c r="G11" i="50"/>
  <c r="E11" i="50"/>
  <c r="D12" i="50"/>
  <c r="G12" i="50"/>
  <c r="F12" i="50"/>
  <c r="C12" i="50"/>
  <c r="E12" i="50"/>
  <c r="G15" i="61" l="1"/>
  <c r="H13" i="94" s="1"/>
  <c r="G54" i="61"/>
  <c r="H51" i="94" s="1"/>
  <c r="F54" i="61"/>
  <c r="G51" i="94" s="1"/>
  <c r="G14" i="61"/>
  <c r="H12" i="94" s="1"/>
  <c r="F16" i="61"/>
  <c r="G14" i="94" s="1"/>
  <c r="G16" i="61"/>
  <c r="H14" i="94" s="1"/>
  <c r="G15" i="62"/>
  <c r="X13" i="94" s="1"/>
  <c r="AD13" i="94" s="1"/>
  <c r="G14" i="62"/>
  <c r="X12" i="94" s="1"/>
  <c r="AD12" i="94" s="1"/>
  <c r="F14" i="62"/>
  <c r="W12" i="94" s="1"/>
  <c r="AC12" i="94" s="1"/>
  <c r="F15" i="62"/>
  <c r="W13" i="94" s="1"/>
  <c r="AC13" i="94" s="1"/>
  <c r="F14" i="61"/>
  <c r="G12" i="94" s="1"/>
  <c r="F15" i="61"/>
  <c r="G13" i="94" s="1"/>
  <c r="C8" i="62"/>
  <c r="C27" i="61"/>
  <c r="G27" i="61" s="1"/>
  <c r="H25" i="94" s="1"/>
  <c r="F47" i="62"/>
  <c r="W44" i="94" s="1"/>
  <c r="AC44" i="94" s="1"/>
  <c r="G47" i="62"/>
  <c r="X44" i="94" s="1"/>
  <c r="AD44" i="94" s="1"/>
  <c r="C8" i="61"/>
  <c r="G8" i="61" s="1"/>
  <c r="H7" i="94" s="1"/>
  <c r="L7" i="94" s="1"/>
  <c r="G47" i="61"/>
  <c r="H44" i="94" s="1"/>
  <c r="F47" i="61"/>
  <c r="G44" i="94" s="1"/>
  <c r="F8" i="55"/>
  <c r="O7" i="94" s="1"/>
  <c r="F8" i="54"/>
  <c r="I7" i="94" s="1"/>
  <c r="F27" i="55"/>
  <c r="O25" i="94" s="1"/>
  <c r="G8" i="56"/>
  <c r="T7" i="94" s="1"/>
  <c r="G27" i="52"/>
  <c r="R25" i="94" s="1"/>
  <c r="G27" i="54"/>
  <c r="J25" i="94" s="1"/>
  <c r="F32" i="62"/>
  <c r="W29" i="94" s="1"/>
  <c r="AC29" i="94" s="1"/>
  <c r="G7" i="61"/>
  <c r="H6" i="94" s="1"/>
  <c r="F50" i="61"/>
  <c r="G47" i="94" s="1"/>
  <c r="G26" i="61"/>
  <c r="H24" i="94" s="1"/>
  <c r="F49" i="61"/>
  <c r="G46" i="94" s="1"/>
  <c r="F7" i="61"/>
  <c r="G6" i="94" s="1"/>
  <c r="F28" i="61"/>
  <c r="F42" i="61"/>
  <c r="G39" i="94" s="1"/>
  <c r="F20" i="61"/>
  <c r="G18" i="94" s="1"/>
  <c r="G33" i="61"/>
  <c r="H30" i="94" s="1"/>
  <c r="G55" i="61"/>
  <c r="H52" i="94" s="1"/>
  <c r="F52" i="61"/>
  <c r="G49" i="94" s="1"/>
  <c r="G28" i="61"/>
  <c r="F30" i="61"/>
  <c r="G28" i="94" s="1"/>
  <c r="F57" i="61"/>
  <c r="G54" i="94" s="1"/>
  <c r="F23" i="61"/>
  <c r="G21" i="94" s="1"/>
  <c r="F29" i="61"/>
  <c r="G27" i="94" s="1"/>
  <c r="F40" i="61"/>
  <c r="G37" i="94" s="1"/>
  <c r="F36" i="61"/>
  <c r="G33" i="94" s="1"/>
  <c r="F35" i="61"/>
  <c r="G32" i="94" s="1"/>
  <c r="F41" i="61"/>
  <c r="G38" i="94" s="1"/>
  <c r="F51" i="61"/>
  <c r="G49" i="61"/>
  <c r="H46" i="94" s="1"/>
  <c r="F55" i="61"/>
  <c r="G52" i="94" s="1"/>
  <c r="F45" i="61"/>
  <c r="G42" i="94" s="1"/>
  <c r="F26" i="61"/>
  <c r="G24" i="94" s="1"/>
  <c r="F43" i="61"/>
  <c r="G40" i="94" s="1"/>
  <c r="G57" i="61"/>
  <c r="H54" i="94" s="1"/>
  <c r="G48" i="61"/>
  <c r="H45" i="94" s="1"/>
  <c r="G44" i="61"/>
  <c r="H41" i="94" s="1"/>
  <c r="G37" i="61"/>
  <c r="H34" i="94" s="1"/>
  <c r="G52" i="61"/>
  <c r="H49" i="94" s="1"/>
  <c r="G45" i="61"/>
  <c r="H42" i="94" s="1"/>
  <c r="G23" i="61"/>
  <c r="H21" i="94" s="1"/>
  <c r="G50" i="61"/>
  <c r="H47" i="94" s="1"/>
  <c r="G46" i="61"/>
  <c r="H43" i="94" s="1"/>
  <c r="G43" i="61"/>
  <c r="H40" i="94" s="1"/>
  <c r="G41" i="61"/>
  <c r="H38" i="94" s="1"/>
  <c r="G42" i="61"/>
  <c r="H39" i="94" s="1"/>
  <c r="G32" i="61"/>
  <c r="H29" i="94" s="1"/>
  <c r="F34" i="61"/>
  <c r="G31" i="94" s="1"/>
  <c r="G53" i="61"/>
  <c r="H50" i="94" s="1"/>
  <c r="F19" i="61"/>
  <c r="G17" i="94" s="1"/>
  <c r="G35" i="61"/>
  <c r="H32" i="94" s="1"/>
  <c r="G30" i="61"/>
  <c r="H28" i="94" s="1"/>
  <c r="G34" i="61"/>
  <c r="H31" i="94" s="1"/>
  <c r="G39" i="61"/>
  <c r="H36" i="94" s="1"/>
  <c r="F53" i="61"/>
  <c r="G50" i="94" s="1"/>
  <c r="G38" i="61"/>
  <c r="H35" i="94" s="1"/>
  <c r="F32" i="61"/>
  <c r="G29" i="94" s="1"/>
  <c r="G29" i="61"/>
  <c r="H27" i="94" s="1"/>
  <c r="F33" i="61"/>
  <c r="G30" i="94" s="1"/>
  <c r="F17" i="61"/>
  <c r="G15" i="94" s="1"/>
  <c r="F48" i="61"/>
  <c r="G45" i="94" s="1"/>
  <c r="F25" i="61"/>
  <c r="G23" i="94" s="1"/>
  <c r="F38" i="61"/>
  <c r="G35" i="94" s="1"/>
  <c r="F37" i="61"/>
  <c r="G34" i="94" s="1"/>
  <c r="G21" i="61"/>
  <c r="H19" i="94" s="1"/>
  <c r="G51" i="61"/>
  <c r="F46" i="61"/>
  <c r="G43" i="94" s="1"/>
  <c r="G19" i="61"/>
  <c r="H17" i="94" s="1"/>
  <c r="G17" i="61"/>
  <c r="H15" i="94" s="1"/>
  <c r="F44" i="61"/>
  <c r="G41" i="94" s="1"/>
  <c r="G25" i="61"/>
  <c r="H23" i="94" s="1"/>
  <c r="F12" i="61"/>
  <c r="F22" i="61"/>
  <c r="G20" i="94" s="1"/>
  <c r="G12" i="61"/>
  <c r="G36" i="61"/>
  <c r="H33" i="94" s="1"/>
  <c r="G22" i="61"/>
  <c r="H20" i="94" s="1"/>
  <c r="G20" i="61"/>
  <c r="H18" i="94" s="1"/>
  <c r="F21" i="61"/>
  <c r="G19" i="94" s="1"/>
  <c r="G40" i="61"/>
  <c r="H37" i="94" s="1"/>
  <c r="F39" i="61"/>
  <c r="G36" i="94" s="1"/>
  <c r="F55" i="62"/>
  <c r="W52" i="94" s="1"/>
  <c r="AC52" i="94" s="1"/>
  <c r="G35" i="62"/>
  <c r="X32" i="94" s="1"/>
  <c r="AD32" i="94" s="1"/>
  <c r="F25" i="62"/>
  <c r="W23" i="94" s="1"/>
  <c r="AC23" i="94" s="1"/>
  <c r="G17" i="62"/>
  <c r="X15" i="94" s="1"/>
  <c r="AD15" i="94" s="1"/>
  <c r="G32" i="62"/>
  <c r="X29" i="94" s="1"/>
  <c r="AD29" i="94" s="1"/>
  <c r="F19" i="62"/>
  <c r="W17" i="94" s="1"/>
  <c r="AC17" i="94" s="1"/>
  <c r="G53" i="62"/>
  <c r="X50" i="94" s="1"/>
  <c r="AD50" i="94" s="1"/>
  <c r="G52" i="62"/>
  <c r="X49" i="94" s="1"/>
  <c r="AD49" i="94" s="1"/>
  <c r="G21" i="62"/>
  <c r="X19" i="94" s="1"/>
  <c r="AD19" i="94" s="1"/>
  <c r="G19" i="62"/>
  <c r="X17" i="94" s="1"/>
  <c r="AD17" i="94" s="1"/>
  <c r="F29" i="62"/>
  <c r="W27" i="94" s="1"/>
  <c r="AC27" i="94" s="1"/>
  <c r="G23" i="62"/>
  <c r="X21" i="94" s="1"/>
  <c r="AD21" i="94" s="1"/>
  <c r="F39" i="62"/>
  <c r="W36" i="94" s="1"/>
  <c r="AC36" i="94" s="1"/>
  <c r="F50" i="62"/>
  <c r="W47" i="94" s="1"/>
  <c r="AC47" i="94" s="1"/>
  <c r="F45" i="62"/>
  <c r="W42" i="94" s="1"/>
  <c r="AC42" i="94" s="1"/>
  <c r="F26" i="62"/>
  <c r="W24" i="94" s="1"/>
  <c r="AC24" i="94" s="1"/>
  <c r="F53" i="62"/>
  <c r="W50" i="94" s="1"/>
  <c r="AC50" i="94" s="1"/>
  <c r="G22" i="62"/>
  <c r="X20" i="94" s="1"/>
  <c r="AD20" i="94" s="1"/>
  <c r="F33" i="62"/>
  <c r="W30" i="94" s="1"/>
  <c r="AC30" i="94" s="1"/>
  <c r="F35" i="62"/>
  <c r="W32" i="94" s="1"/>
  <c r="AC32" i="94" s="1"/>
  <c r="F7" i="62"/>
  <c r="W6" i="94" s="1"/>
  <c r="AC6" i="94" s="1"/>
  <c r="F51" i="62"/>
  <c r="F31" i="62" s="1"/>
  <c r="W48" i="94" s="1"/>
  <c r="AC48" i="94" s="1"/>
  <c r="F43" i="62"/>
  <c r="W40" i="94" s="1"/>
  <c r="AC40" i="94" s="1"/>
  <c r="G40" i="62"/>
  <c r="X37" i="94" s="1"/>
  <c r="AD37" i="94" s="1"/>
  <c r="F46" i="62"/>
  <c r="W43" i="94" s="1"/>
  <c r="AC43" i="94" s="1"/>
  <c r="G29" i="62"/>
  <c r="X27" i="94" s="1"/>
  <c r="AD27" i="94" s="1"/>
  <c r="G38" i="62"/>
  <c r="X35" i="94" s="1"/>
  <c r="AD35" i="94" s="1"/>
  <c r="F42" i="62"/>
  <c r="W39" i="94" s="1"/>
  <c r="AC39" i="94" s="1"/>
  <c r="G50" i="62"/>
  <c r="X47" i="94" s="1"/>
  <c r="AD47" i="94" s="1"/>
  <c r="F22" i="62"/>
  <c r="W20" i="94" s="1"/>
  <c r="AC20" i="94" s="1"/>
  <c r="F36" i="62"/>
  <c r="W33" i="94" s="1"/>
  <c r="AC33" i="94" s="1"/>
  <c r="G44" i="62"/>
  <c r="X41" i="94" s="1"/>
  <c r="AD41" i="94" s="1"/>
  <c r="F17" i="62"/>
  <c r="W15" i="94" s="1"/>
  <c r="AC15" i="94" s="1"/>
  <c r="G25" i="62"/>
  <c r="X23" i="94" s="1"/>
  <c r="AD23" i="94" s="1"/>
  <c r="F40" i="62"/>
  <c r="W37" i="94" s="1"/>
  <c r="AC37" i="94" s="1"/>
  <c r="F52" i="62"/>
  <c r="W49" i="94" s="1"/>
  <c r="AC49" i="94" s="1"/>
  <c r="F49" i="62"/>
  <c r="W46" i="94" s="1"/>
  <c r="AC46" i="94" s="1"/>
  <c r="G12" i="62"/>
  <c r="G39" i="62"/>
  <c r="X36" i="94" s="1"/>
  <c r="AD36" i="94" s="1"/>
  <c r="G42" i="62"/>
  <c r="X39" i="94" s="1"/>
  <c r="AD39" i="94" s="1"/>
  <c r="F12" i="62"/>
  <c r="G28" i="62"/>
  <c r="G26" i="62"/>
  <c r="X24" i="94" s="1"/>
  <c r="AD24" i="94" s="1"/>
  <c r="G46" i="62"/>
  <c r="X43" i="94" s="1"/>
  <c r="AD43" i="94" s="1"/>
  <c r="G49" i="62"/>
  <c r="X46" i="94" s="1"/>
  <c r="AD46" i="94" s="1"/>
  <c r="F41" i="62"/>
  <c r="W38" i="94" s="1"/>
  <c r="AC38" i="94" s="1"/>
  <c r="F30" i="62"/>
  <c r="W28" i="94" s="1"/>
  <c r="AC28" i="94" s="1"/>
  <c r="F34" i="62"/>
  <c r="W31" i="94" s="1"/>
  <c r="AC31" i="94" s="1"/>
  <c r="F21" i="62"/>
  <c r="W19" i="94" s="1"/>
  <c r="AC19" i="94" s="1"/>
  <c r="F23" i="62"/>
  <c r="W21" i="94" s="1"/>
  <c r="AC21" i="94" s="1"/>
  <c r="G30" i="62"/>
  <c r="X28" i="94" s="1"/>
  <c r="AD28" i="94" s="1"/>
  <c r="G7" i="62"/>
  <c r="X6" i="94" s="1"/>
  <c r="AD6" i="94" s="1"/>
  <c r="G20" i="62"/>
  <c r="X18" i="94" s="1"/>
  <c r="AD18" i="94" s="1"/>
  <c r="F20" i="62"/>
  <c r="W18" i="94" s="1"/>
  <c r="AC18" i="94" s="1"/>
  <c r="G45" i="62"/>
  <c r="X42" i="94" s="1"/>
  <c r="AD42" i="94" s="1"/>
  <c r="G37" i="62"/>
  <c r="X34" i="94" s="1"/>
  <c r="AD34" i="94" s="1"/>
  <c r="G51" i="62"/>
  <c r="G48" i="62"/>
  <c r="X45" i="94" s="1"/>
  <c r="AD45" i="94" s="1"/>
  <c r="G36" i="62"/>
  <c r="X33" i="94" s="1"/>
  <c r="AD33" i="94" s="1"/>
  <c r="G43" i="62"/>
  <c r="X40" i="94" s="1"/>
  <c r="AD40" i="94" s="1"/>
  <c r="F44" i="62"/>
  <c r="W41" i="94" s="1"/>
  <c r="AC41" i="94" s="1"/>
  <c r="G34" i="62"/>
  <c r="X31" i="94" s="1"/>
  <c r="AD31" i="94" s="1"/>
  <c r="F48" i="62"/>
  <c r="W45" i="94" s="1"/>
  <c r="AC45" i="94" s="1"/>
  <c r="G33" i="62"/>
  <c r="X30" i="94" s="1"/>
  <c r="AD30" i="94" s="1"/>
  <c r="G41" i="62"/>
  <c r="X38" i="94" s="1"/>
  <c r="AD38" i="94" s="1"/>
  <c r="G55" i="62"/>
  <c r="X52" i="94" s="1"/>
  <c r="AD52" i="94" s="1"/>
  <c r="F37" i="62"/>
  <c r="W34" i="94" s="1"/>
  <c r="AC34" i="94" s="1"/>
  <c r="F28" i="62"/>
  <c r="F38" i="62"/>
  <c r="W35" i="94" s="1"/>
  <c r="AC35" i="94" s="1"/>
  <c r="D82" i="53"/>
  <c r="D81" i="53"/>
  <c r="D81" i="56"/>
  <c r="D80" i="53"/>
  <c r="D84" i="56"/>
  <c r="D83" i="55"/>
  <c r="D80" i="54"/>
  <c r="D80" i="55"/>
  <c r="D84" i="53"/>
  <c r="D84" i="55"/>
  <c r="D83" i="54"/>
  <c r="D80" i="52"/>
  <c r="D84" i="54"/>
  <c r="D83" i="53"/>
  <c r="D83" i="56"/>
  <c r="D81" i="54"/>
  <c r="D82" i="56"/>
  <c r="C62" i="57"/>
  <c r="C63" i="57"/>
  <c r="D82" i="55"/>
  <c r="D82" i="52"/>
  <c r="D81" i="52"/>
  <c r="D81" i="55"/>
  <c r="C61" i="57"/>
  <c r="C65" i="57"/>
  <c r="C64" i="57"/>
  <c r="G27" i="56"/>
  <c r="T25" i="94" s="1"/>
  <c r="F8" i="52"/>
  <c r="Q7" i="94" s="1"/>
  <c r="L25" i="94" l="1"/>
  <c r="AF25" i="94" s="1"/>
  <c r="G26" i="94"/>
  <c r="G11" i="94"/>
  <c r="X26" i="94"/>
  <c r="AD26" i="94" s="1"/>
  <c r="X11" i="94"/>
  <c r="AD11" i="94" s="1"/>
  <c r="H26" i="94"/>
  <c r="H11" i="94"/>
  <c r="W26" i="94"/>
  <c r="AC26" i="94" s="1"/>
  <c r="W11" i="94"/>
  <c r="AC11" i="94" s="1"/>
  <c r="X51" i="94"/>
  <c r="AD51" i="94" s="1"/>
  <c r="F54" i="62"/>
  <c r="W51" i="94" s="1"/>
  <c r="AC51" i="94" s="1"/>
  <c r="G31" i="62"/>
  <c r="X48" i="94" s="1"/>
  <c r="AD48" i="94" s="1"/>
  <c r="G31" i="61"/>
  <c r="H48" i="94" s="1"/>
  <c r="F31" i="61"/>
  <c r="G48" i="94" s="1"/>
  <c r="F8" i="62"/>
  <c r="W7" i="94" s="1"/>
  <c r="AC7" i="94" s="1"/>
  <c r="F8" i="61"/>
  <c r="G7" i="94" s="1"/>
  <c r="K7" i="94" s="1"/>
  <c r="F8" i="56"/>
  <c r="S7" i="94" s="1"/>
  <c r="G27" i="55"/>
  <c r="P25" i="94" s="1"/>
  <c r="F27" i="54"/>
  <c r="I25" i="94" s="1"/>
  <c r="K25" i="94" s="1"/>
  <c r="AE25" i="94" s="1"/>
  <c r="F27" i="52"/>
  <c r="Q25" i="94" s="1"/>
  <c r="F27" i="61"/>
  <c r="G25" i="94" s="1"/>
  <c r="AI25" i="94" s="1"/>
  <c r="AE7" i="94" l="1"/>
  <c r="G8" i="62"/>
  <c r="X7" i="94" s="1"/>
  <c r="AD7" i="94" s="1"/>
  <c r="AF7" i="94" s="1"/>
  <c r="D67" i="53" l="1"/>
  <c r="D67" i="54"/>
  <c r="G54" i="54" l="1"/>
  <c r="J51" i="94" s="1"/>
  <c r="G16" i="54"/>
  <c r="J14" i="94" s="1"/>
  <c r="G15" i="54"/>
  <c r="J13" i="94" s="1"/>
  <c r="G14" i="54"/>
  <c r="J12" i="94" s="1"/>
  <c r="F16" i="54"/>
  <c r="I14" i="94" s="1"/>
  <c r="K14" i="94" s="1"/>
  <c r="AE14" i="94" s="1"/>
  <c r="F54" i="54"/>
  <c r="I51" i="94" s="1"/>
  <c r="K51" i="94" s="1"/>
  <c r="AE51" i="94" s="1"/>
  <c r="G54" i="53"/>
  <c r="N51" i="94" s="1"/>
  <c r="G15" i="53"/>
  <c r="N13" i="94" s="1"/>
  <c r="F54" i="53"/>
  <c r="M51" i="94" s="1"/>
  <c r="G14" i="53"/>
  <c r="N12" i="94" s="1"/>
  <c r="G16" i="53"/>
  <c r="N14" i="94" s="1"/>
  <c r="F16" i="53"/>
  <c r="M14" i="94" s="1"/>
  <c r="F14" i="54"/>
  <c r="I12" i="94" s="1"/>
  <c r="K12" i="94" s="1"/>
  <c r="AE12" i="94" s="1"/>
  <c r="F15" i="54"/>
  <c r="I13" i="94" s="1"/>
  <c r="K13" i="94" s="1"/>
  <c r="AE13" i="94" s="1"/>
  <c r="F14" i="53"/>
  <c r="M12" i="94" s="1"/>
  <c r="F15" i="53"/>
  <c r="M13" i="94" s="1"/>
  <c r="G30" i="53"/>
  <c r="N28" i="94" s="1"/>
  <c r="F30" i="53"/>
  <c r="M28" i="94" s="1"/>
  <c r="G17" i="53"/>
  <c r="N15" i="94" s="1"/>
  <c r="F9" i="53"/>
  <c r="M8" i="94" s="1"/>
  <c r="F47" i="54"/>
  <c r="I44" i="94" s="1"/>
  <c r="K44" i="94" s="1"/>
  <c r="AE44" i="94" s="1"/>
  <c r="G47" i="54"/>
  <c r="J44" i="94" s="1"/>
  <c r="L44" i="94" s="1"/>
  <c r="AF44" i="94" s="1"/>
  <c r="F47" i="53"/>
  <c r="M44" i="94" s="1"/>
  <c r="G47" i="53"/>
  <c r="N44" i="94" s="1"/>
  <c r="F7" i="53"/>
  <c r="M6" i="94" s="1"/>
  <c r="F38" i="54"/>
  <c r="I35" i="94" s="1"/>
  <c r="K35" i="94" s="1"/>
  <c r="AE35" i="94" s="1"/>
  <c r="F53" i="54"/>
  <c r="I50" i="94" s="1"/>
  <c r="K50" i="94" s="1"/>
  <c r="AE50" i="94" s="1"/>
  <c r="F36" i="54"/>
  <c r="I33" i="94" s="1"/>
  <c r="K33" i="94" s="1"/>
  <c r="AE33" i="94" s="1"/>
  <c r="F23" i="54"/>
  <c r="I21" i="94" s="1"/>
  <c r="K21" i="94" s="1"/>
  <c r="AE21" i="94" s="1"/>
  <c r="F57" i="54"/>
  <c r="I54" i="94" s="1"/>
  <c r="K54" i="94" s="1"/>
  <c r="F48" i="54"/>
  <c r="I45" i="94" s="1"/>
  <c r="K45" i="94" s="1"/>
  <c r="AE45" i="94" s="1"/>
  <c r="F26" i="54"/>
  <c r="I24" i="94" s="1"/>
  <c r="K24" i="94" s="1"/>
  <c r="AE24" i="94" s="1"/>
  <c r="F52" i="54"/>
  <c r="I49" i="94" s="1"/>
  <c r="K49" i="94" s="1"/>
  <c r="AE49" i="94" s="1"/>
  <c r="G53" i="54"/>
  <c r="J50" i="94" s="1"/>
  <c r="G48" i="54"/>
  <c r="J45" i="94" s="1"/>
  <c r="G36" i="54"/>
  <c r="J33" i="94" s="1"/>
  <c r="G49" i="54"/>
  <c r="J46" i="94" s="1"/>
  <c r="G19" i="54"/>
  <c r="J17" i="94" s="1"/>
  <c r="F51" i="54"/>
  <c r="F41" i="54"/>
  <c r="I38" i="94" s="1"/>
  <c r="K38" i="94" s="1"/>
  <c r="AE38" i="94" s="1"/>
  <c r="F32" i="54"/>
  <c r="I29" i="94" s="1"/>
  <c r="K29" i="94" s="1"/>
  <c r="AE29" i="94" s="1"/>
  <c r="F19" i="54"/>
  <c r="I17" i="94" s="1"/>
  <c r="K17" i="94" s="1"/>
  <c r="AE17" i="94" s="1"/>
  <c r="G52" i="54"/>
  <c r="J49" i="94" s="1"/>
  <c r="G40" i="54"/>
  <c r="J37" i="94" s="1"/>
  <c r="G34" i="54"/>
  <c r="J31" i="94" s="1"/>
  <c r="F22" i="54"/>
  <c r="I20" i="94" s="1"/>
  <c r="K20" i="94" s="1"/>
  <c r="AE20" i="94" s="1"/>
  <c r="G46" i="54"/>
  <c r="J43" i="94" s="1"/>
  <c r="G22" i="54"/>
  <c r="J20" i="94" s="1"/>
  <c r="G55" i="54"/>
  <c r="J52" i="94" s="1"/>
  <c r="G37" i="54"/>
  <c r="J34" i="94" s="1"/>
  <c r="G25" i="54"/>
  <c r="J23" i="94" s="1"/>
  <c r="G42" i="54"/>
  <c r="J39" i="94" s="1"/>
  <c r="G44" i="54"/>
  <c r="J41" i="94" s="1"/>
  <c r="G38" i="54"/>
  <c r="J35" i="94" s="1"/>
  <c r="F46" i="54"/>
  <c r="I43" i="94" s="1"/>
  <c r="K43" i="94" s="1"/>
  <c r="AE43" i="94" s="1"/>
  <c r="F28" i="54"/>
  <c r="F7" i="54"/>
  <c r="I6" i="94" s="1"/>
  <c r="K6" i="94" s="1"/>
  <c r="G45" i="54"/>
  <c r="J42" i="94" s="1"/>
  <c r="G17" i="54"/>
  <c r="J15" i="94" s="1"/>
  <c r="F40" i="54"/>
  <c r="I37" i="94" s="1"/>
  <c r="K37" i="94" s="1"/>
  <c r="AE37" i="94" s="1"/>
  <c r="F45" i="54"/>
  <c r="I42" i="94" s="1"/>
  <c r="K42" i="94" s="1"/>
  <c r="AE42" i="94" s="1"/>
  <c r="F29" i="54"/>
  <c r="I27" i="94" s="1"/>
  <c r="K27" i="94" s="1"/>
  <c r="AE27" i="94" s="1"/>
  <c r="G43" i="54"/>
  <c r="J40" i="94" s="1"/>
  <c r="G12" i="54"/>
  <c r="F49" i="54"/>
  <c r="I46" i="94" s="1"/>
  <c r="K46" i="94" s="1"/>
  <c r="AE46" i="94" s="1"/>
  <c r="G39" i="54"/>
  <c r="J36" i="94" s="1"/>
  <c r="G28" i="54"/>
  <c r="F12" i="54"/>
  <c r="G51" i="54"/>
  <c r="F39" i="54"/>
  <c r="I36" i="94" s="1"/>
  <c r="K36" i="94" s="1"/>
  <c r="AE36" i="94" s="1"/>
  <c r="F30" i="54"/>
  <c r="I28" i="94" s="1"/>
  <c r="K28" i="94" s="1"/>
  <c r="AE28" i="94" s="1"/>
  <c r="F20" i="54"/>
  <c r="I18" i="94" s="1"/>
  <c r="K18" i="94" s="1"/>
  <c r="AE18" i="94" s="1"/>
  <c r="F42" i="54"/>
  <c r="I39" i="94" s="1"/>
  <c r="K39" i="94" s="1"/>
  <c r="AE39" i="94" s="1"/>
  <c r="F17" i="54"/>
  <c r="I15" i="94" s="1"/>
  <c r="K15" i="94" s="1"/>
  <c r="AE15" i="94" s="1"/>
  <c r="G50" i="54"/>
  <c r="J47" i="94" s="1"/>
  <c r="G33" i="54"/>
  <c r="J30" i="94" s="1"/>
  <c r="G21" i="54"/>
  <c r="J19" i="94" s="1"/>
  <c r="G57" i="54"/>
  <c r="J54" i="94" s="1"/>
  <c r="L54" i="94" s="1"/>
  <c r="G23" i="54"/>
  <c r="J21" i="94" s="1"/>
  <c r="F35" i="54"/>
  <c r="I32" i="94" s="1"/>
  <c r="K32" i="94" s="1"/>
  <c r="AE32" i="94" s="1"/>
  <c r="F21" i="54"/>
  <c r="I19" i="94" s="1"/>
  <c r="K19" i="94" s="1"/>
  <c r="AE19" i="94" s="1"/>
  <c r="G26" i="54"/>
  <c r="J24" i="94" s="1"/>
  <c r="F37" i="54"/>
  <c r="I34" i="94" s="1"/>
  <c r="K34" i="94" s="1"/>
  <c r="AE34" i="94" s="1"/>
  <c r="F33" i="54"/>
  <c r="I30" i="94" s="1"/>
  <c r="K30" i="94" s="1"/>
  <c r="AE30" i="94" s="1"/>
  <c r="G29" i="54"/>
  <c r="J27" i="94" s="1"/>
  <c r="G32" i="54"/>
  <c r="J29" i="94" s="1"/>
  <c r="F43" i="54"/>
  <c r="I40" i="94" s="1"/>
  <c r="K40" i="94" s="1"/>
  <c r="AE40" i="94" s="1"/>
  <c r="F44" i="54"/>
  <c r="I41" i="94" s="1"/>
  <c r="K41" i="94" s="1"/>
  <c r="AE41" i="94" s="1"/>
  <c r="G30" i="54"/>
  <c r="J28" i="94" s="1"/>
  <c r="F55" i="54"/>
  <c r="I52" i="94" s="1"/>
  <c r="K52" i="94" s="1"/>
  <c r="AE52" i="94" s="1"/>
  <c r="F34" i="54"/>
  <c r="I31" i="94" s="1"/>
  <c r="K31" i="94" s="1"/>
  <c r="AE31" i="94" s="1"/>
  <c r="G35" i="54"/>
  <c r="J32" i="94" s="1"/>
  <c r="G41" i="54"/>
  <c r="J38" i="94" s="1"/>
  <c r="G20" i="54"/>
  <c r="J18" i="94" s="1"/>
  <c r="F25" i="54"/>
  <c r="I23" i="94" s="1"/>
  <c r="K23" i="94" s="1"/>
  <c r="AE23" i="94" s="1"/>
  <c r="G7" i="54"/>
  <c r="J6" i="94" s="1"/>
  <c r="F50" i="54"/>
  <c r="I47" i="94" s="1"/>
  <c r="K47" i="94" s="1"/>
  <c r="AE47" i="94" s="1"/>
  <c r="F40" i="53"/>
  <c r="M37" i="94" s="1"/>
  <c r="F22" i="53"/>
  <c r="M20" i="94" s="1"/>
  <c r="F26" i="53"/>
  <c r="M24" i="94" s="1"/>
  <c r="F36" i="53"/>
  <c r="M33" i="94" s="1"/>
  <c r="F53" i="53"/>
  <c r="M50" i="94" s="1"/>
  <c r="F44" i="53"/>
  <c r="M41" i="94" s="1"/>
  <c r="G49" i="53"/>
  <c r="N46" i="94" s="1"/>
  <c r="F35" i="53"/>
  <c r="M32" i="94" s="1"/>
  <c r="F51" i="53"/>
  <c r="F31" i="53" s="1"/>
  <c r="M48" i="94" s="1"/>
  <c r="F48" i="53"/>
  <c r="M45" i="94" s="1"/>
  <c r="F20" i="53"/>
  <c r="M18" i="94" s="1"/>
  <c r="F49" i="53"/>
  <c r="M46" i="94" s="1"/>
  <c r="F29" i="53"/>
  <c r="M27" i="94" s="1"/>
  <c r="G37" i="53"/>
  <c r="N34" i="94" s="1"/>
  <c r="F45" i="53"/>
  <c r="M42" i="94" s="1"/>
  <c r="G7" i="53"/>
  <c r="N6" i="94" s="1"/>
  <c r="G48" i="53"/>
  <c r="N45" i="94" s="1"/>
  <c r="G23" i="53"/>
  <c r="N21" i="94" s="1"/>
  <c r="G38" i="53"/>
  <c r="N35" i="94" s="1"/>
  <c r="F23" i="53"/>
  <c r="M21" i="94" s="1"/>
  <c r="F12" i="53"/>
  <c r="F34" i="53"/>
  <c r="M31" i="94" s="1"/>
  <c r="G40" i="53"/>
  <c r="N37" i="94" s="1"/>
  <c r="F39" i="53"/>
  <c r="M36" i="94" s="1"/>
  <c r="G50" i="53"/>
  <c r="N47" i="94" s="1"/>
  <c r="F55" i="53"/>
  <c r="M52" i="94" s="1"/>
  <c r="F32" i="53"/>
  <c r="M29" i="94" s="1"/>
  <c r="G39" i="53"/>
  <c r="N36" i="94" s="1"/>
  <c r="G34" i="53"/>
  <c r="N31" i="94" s="1"/>
  <c r="F25" i="53"/>
  <c r="M23" i="94" s="1"/>
  <c r="F21" i="53"/>
  <c r="M19" i="94" s="1"/>
  <c r="F38" i="53"/>
  <c r="M35" i="94" s="1"/>
  <c r="F46" i="53"/>
  <c r="M43" i="94" s="1"/>
  <c r="G44" i="53"/>
  <c r="N41" i="94" s="1"/>
  <c r="F42" i="53"/>
  <c r="M39" i="94" s="1"/>
  <c r="G26" i="53"/>
  <c r="N24" i="94" s="1"/>
  <c r="G33" i="53"/>
  <c r="N30" i="94" s="1"/>
  <c r="G32" i="53"/>
  <c r="N29" i="94" s="1"/>
  <c r="G42" i="53"/>
  <c r="N39" i="94" s="1"/>
  <c r="G43" i="53"/>
  <c r="N40" i="94" s="1"/>
  <c r="G19" i="53"/>
  <c r="N17" i="94" s="1"/>
  <c r="F50" i="53"/>
  <c r="M47" i="94" s="1"/>
  <c r="F37" i="53"/>
  <c r="M34" i="94" s="1"/>
  <c r="G20" i="53"/>
  <c r="N18" i="94" s="1"/>
  <c r="F17" i="53"/>
  <c r="M15" i="94" s="1"/>
  <c r="F43" i="53"/>
  <c r="M40" i="94" s="1"/>
  <c r="F57" i="53"/>
  <c r="M54" i="94" s="1"/>
  <c r="G22" i="53"/>
  <c r="N20" i="94" s="1"/>
  <c r="F33" i="53"/>
  <c r="M30" i="94" s="1"/>
  <c r="G28" i="53"/>
  <c r="G57" i="53"/>
  <c r="N54" i="94" s="1"/>
  <c r="G25" i="53"/>
  <c r="N23" i="94" s="1"/>
  <c r="G55" i="53"/>
  <c r="N52" i="94" s="1"/>
  <c r="G46" i="53"/>
  <c r="N43" i="94" s="1"/>
  <c r="F19" i="53"/>
  <c r="M17" i="94" s="1"/>
  <c r="F52" i="53"/>
  <c r="M49" i="94" s="1"/>
  <c r="G21" i="53"/>
  <c r="N19" i="94" s="1"/>
  <c r="G53" i="53"/>
  <c r="N50" i="94" s="1"/>
  <c r="G52" i="53"/>
  <c r="N49" i="94" s="1"/>
  <c r="G45" i="53"/>
  <c r="N42" i="94" s="1"/>
  <c r="F41" i="53"/>
  <c r="M38" i="94" s="1"/>
  <c r="G36" i="53"/>
  <c r="N33" i="94" s="1"/>
  <c r="G41" i="53"/>
  <c r="N38" i="94" s="1"/>
  <c r="G51" i="53"/>
  <c r="G31" i="53" s="1"/>
  <c r="N48" i="94" s="1"/>
  <c r="G35" i="53"/>
  <c r="N32" i="94" s="1"/>
  <c r="F28" i="53"/>
  <c r="G29" i="53"/>
  <c r="N27" i="94" s="1"/>
  <c r="G12" i="53"/>
  <c r="N11" i="94" l="1"/>
  <c r="N26" i="94"/>
  <c r="M26" i="94"/>
  <c r="M11" i="94"/>
  <c r="L21" i="94"/>
  <c r="AF21" i="94" s="1"/>
  <c r="L40" i="94"/>
  <c r="AF40" i="94" s="1"/>
  <c r="L15" i="94"/>
  <c r="AF15" i="94" s="1"/>
  <c r="L23" i="94"/>
  <c r="AF23" i="94" s="1"/>
  <c r="L43" i="94"/>
  <c r="AF43" i="94" s="1"/>
  <c r="L45" i="94"/>
  <c r="AF45" i="94" s="1"/>
  <c r="L13" i="94"/>
  <c r="AF13" i="94" s="1"/>
  <c r="L18" i="94"/>
  <c r="AF18" i="94" s="1"/>
  <c r="L29" i="94"/>
  <c r="AF29" i="94" s="1"/>
  <c r="L42" i="94"/>
  <c r="AF42" i="94" s="1"/>
  <c r="L34" i="94"/>
  <c r="AF34" i="94" s="1"/>
  <c r="L50" i="94"/>
  <c r="AF50" i="94" s="1"/>
  <c r="L38" i="94"/>
  <c r="AF38" i="94" s="1"/>
  <c r="L6" i="94"/>
  <c r="L32" i="94"/>
  <c r="AF32" i="94" s="1"/>
  <c r="L30" i="94"/>
  <c r="AF30" i="94" s="1"/>
  <c r="I26" i="94"/>
  <c r="K26" i="94" s="1"/>
  <c r="AE26" i="94" s="1"/>
  <c r="I11" i="94"/>
  <c r="K11" i="94" s="1"/>
  <c r="J11" i="94"/>
  <c r="J26" i="94"/>
  <c r="L39" i="94"/>
  <c r="AF39" i="94" s="1"/>
  <c r="L20" i="94"/>
  <c r="AF20" i="94" s="1"/>
  <c r="L37" i="94"/>
  <c r="AF37" i="94" s="1"/>
  <c r="L33" i="94"/>
  <c r="AF33" i="94" s="1"/>
  <c r="L12" i="94"/>
  <c r="AF12" i="94" s="1"/>
  <c r="L47" i="94"/>
  <c r="AF47" i="94" s="1"/>
  <c r="L49" i="94"/>
  <c r="AF49" i="94" s="1"/>
  <c r="L24" i="94"/>
  <c r="AF24" i="94" s="1"/>
  <c r="L36" i="94"/>
  <c r="AF36" i="94" s="1"/>
  <c r="L35" i="94"/>
  <c r="AF35" i="94" s="1"/>
  <c r="L17" i="94"/>
  <c r="AF17" i="94" s="1"/>
  <c r="L14" i="94"/>
  <c r="AF14" i="94" s="1"/>
  <c r="L28" i="94"/>
  <c r="AF28" i="94" s="1"/>
  <c r="L27" i="94"/>
  <c r="AF27" i="94" s="1"/>
  <c r="L19" i="94"/>
  <c r="AF19" i="94" s="1"/>
  <c r="AE6" i="94"/>
  <c r="L41" i="94"/>
  <c r="AF41" i="94" s="1"/>
  <c r="L52" i="94"/>
  <c r="AF52" i="94" s="1"/>
  <c r="L31" i="94"/>
  <c r="AF31" i="94" s="1"/>
  <c r="L46" i="94"/>
  <c r="AF46" i="94" s="1"/>
  <c r="L51" i="94"/>
  <c r="AF51" i="94" s="1"/>
  <c r="G31" i="54"/>
  <c r="J48" i="94" s="1"/>
  <c r="F31" i="54"/>
  <c r="I48" i="94" s="1"/>
  <c r="K48" i="94" s="1"/>
  <c r="AE48" i="94" s="1"/>
  <c r="AE11" i="94" l="1"/>
  <c r="L26" i="94"/>
  <c r="AF26" i="94" s="1"/>
  <c r="L48" i="94"/>
  <c r="AF48" i="94" s="1"/>
  <c r="L11" i="94"/>
  <c r="AF6" i="94"/>
  <c r="C47" i="57"/>
  <c r="C37" i="57"/>
  <c r="D37" i="57"/>
  <c r="D48" i="57" s="1"/>
  <c r="G36" i="57"/>
  <c r="G47" i="57" s="1"/>
  <c r="G37" i="57"/>
  <c r="G48" i="57" s="1"/>
  <c r="J36" i="57"/>
  <c r="J47" i="57" s="1"/>
  <c r="F36" i="57"/>
  <c r="F47" i="57" s="1"/>
  <c r="J37" i="57"/>
  <c r="J48" i="57" s="1"/>
  <c r="F37" i="57"/>
  <c r="F48" i="57" s="1"/>
  <c r="D36" i="57"/>
  <c r="D47" i="57" s="1"/>
  <c r="AF11" i="94" l="1"/>
  <c r="H37" i="57"/>
  <c r="H48" i="57" s="1"/>
  <c r="H36" i="57"/>
  <c r="H47" i="57" s="1"/>
  <c r="C48" i="57"/>
  <c r="C66" i="24"/>
  <c r="E24" i="24" l="1"/>
  <c r="E57" i="24"/>
  <c r="F24" i="24"/>
  <c r="F57" i="24"/>
  <c r="C58" i="54"/>
  <c r="C18" i="54"/>
  <c r="C24" i="54"/>
  <c r="C59" i="54"/>
  <c r="C56" i="54"/>
  <c r="C24" i="55"/>
  <c r="C56" i="55"/>
  <c r="C59" i="55"/>
  <c r="C58" i="55"/>
  <c r="C18" i="55"/>
  <c r="C56" i="53"/>
  <c r="C59" i="53"/>
  <c r="C18" i="53"/>
  <c r="C58" i="53"/>
  <c r="C24" i="53"/>
  <c r="C18" i="56"/>
  <c r="C24" i="56"/>
  <c r="C56" i="56"/>
  <c r="C58" i="56"/>
  <c r="C59" i="56"/>
  <c r="C24" i="61"/>
  <c r="C18" i="61"/>
  <c r="C58" i="61"/>
  <c r="C59" i="61"/>
  <c r="C56" i="61"/>
  <c r="C56" i="52"/>
  <c r="C59" i="52"/>
  <c r="C24" i="52"/>
  <c r="C58" i="52"/>
  <c r="C18" i="52"/>
  <c r="C60" i="62"/>
  <c r="C24" i="62"/>
  <c r="C57" i="62"/>
  <c r="F57" i="62" s="1"/>
  <c r="W54" i="94" s="1"/>
  <c r="C18" i="62"/>
  <c r="C59" i="62"/>
  <c r="C57" i="66"/>
  <c r="G57" i="66" s="1"/>
  <c r="AB54" i="94" s="1"/>
  <c r="C59" i="66"/>
  <c r="C18" i="66"/>
  <c r="C60" i="66"/>
  <c r="C24" i="66"/>
  <c r="C59" i="65"/>
  <c r="C60" i="65"/>
  <c r="C18" i="65"/>
  <c r="C24" i="65"/>
  <c r="C57" i="65"/>
  <c r="F57" i="65" s="1"/>
  <c r="Y54" i="94" s="1"/>
  <c r="F53" i="24"/>
  <c r="E53" i="24"/>
  <c r="E16" i="24"/>
  <c r="F16" i="24"/>
  <c r="E15" i="24"/>
  <c r="F15" i="24"/>
  <c r="E14" i="24"/>
  <c r="F14" i="24"/>
  <c r="F46" i="24"/>
  <c r="E46" i="24"/>
  <c r="E30" i="24"/>
  <c r="F30" i="24"/>
  <c r="C10" i="24"/>
  <c r="C9" i="24"/>
  <c r="E23" i="24"/>
  <c r="F23" i="24"/>
  <c r="F56" i="24"/>
  <c r="E56" i="24"/>
  <c r="C66" i="25"/>
  <c r="G57" i="62" l="1"/>
  <c r="X54" i="94" s="1"/>
  <c r="E57" i="25"/>
  <c r="E24" i="25"/>
  <c r="G57" i="65"/>
  <c r="Z54" i="94" s="1"/>
  <c r="F57" i="66"/>
  <c r="AA54" i="94" s="1"/>
  <c r="AC54" i="94" s="1"/>
  <c r="AE54" i="94" s="1"/>
  <c r="E24" i="51"/>
  <c r="E22" i="94" s="1"/>
  <c r="F24" i="51"/>
  <c r="F22" i="94" s="1"/>
  <c r="E53" i="25"/>
  <c r="F57" i="51"/>
  <c r="F55" i="94" s="1"/>
  <c r="E57" i="51"/>
  <c r="E55" i="94" s="1"/>
  <c r="E53" i="51"/>
  <c r="E51" i="94" s="1"/>
  <c r="AI51" i="94" s="1"/>
  <c r="F53" i="51"/>
  <c r="F51" i="94" s="1"/>
  <c r="E16" i="51"/>
  <c r="E14" i="94" s="1"/>
  <c r="AI14" i="94" s="1"/>
  <c r="F16" i="51"/>
  <c r="F14" i="94" s="1"/>
  <c r="E16" i="25"/>
  <c r="F15" i="51"/>
  <c r="F13" i="94" s="1"/>
  <c r="E15" i="51"/>
  <c r="E13" i="94" s="1"/>
  <c r="AI13" i="94" s="1"/>
  <c r="E15" i="25"/>
  <c r="E14" i="25"/>
  <c r="F14" i="51"/>
  <c r="F12" i="94" s="1"/>
  <c r="E14" i="51"/>
  <c r="E12" i="94" s="1"/>
  <c r="AI12" i="94" s="1"/>
  <c r="E30" i="25"/>
  <c r="E25" i="51"/>
  <c r="E23" i="94" s="1"/>
  <c r="AI23" i="94" s="1"/>
  <c r="E42" i="51"/>
  <c r="E40" i="94" s="1"/>
  <c r="AI40" i="94" s="1"/>
  <c r="E21" i="51"/>
  <c r="E19" i="94" s="1"/>
  <c r="AI19" i="94" s="1"/>
  <c r="E39" i="51"/>
  <c r="E37" i="94" s="1"/>
  <c r="AI37" i="94" s="1"/>
  <c r="E56" i="51"/>
  <c r="E54" i="94" s="1"/>
  <c r="E40" i="51"/>
  <c r="E38" i="94" s="1"/>
  <c r="AI38" i="94" s="1"/>
  <c r="E19" i="51"/>
  <c r="E17" i="94" s="1"/>
  <c r="AI17" i="94" s="1"/>
  <c r="E37" i="51"/>
  <c r="E35" i="94" s="1"/>
  <c r="AI35" i="94" s="1"/>
  <c r="E54" i="51"/>
  <c r="E52" i="94" s="1"/>
  <c r="AI52" i="94" s="1"/>
  <c r="E29" i="51"/>
  <c r="E28" i="94" s="1"/>
  <c r="AI28" i="94" s="1"/>
  <c r="E46" i="51"/>
  <c r="E44" i="94" s="1"/>
  <c r="AI44" i="94" s="1"/>
  <c r="E26" i="51"/>
  <c r="E24" i="94" s="1"/>
  <c r="AI24" i="94" s="1"/>
  <c r="E43" i="51"/>
  <c r="E41" i="94" s="1"/>
  <c r="AI41" i="94" s="1"/>
  <c r="E18" i="51"/>
  <c r="E16" i="94" s="1"/>
  <c r="E44" i="51"/>
  <c r="E42" i="94" s="1"/>
  <c r="AI42" i="94" s="1"/>
  <c r="E23" i="51"/>
  <c r="E21" i="94" s="1"/>
  <c r="AI21" i="94" s="1"/>
  <c r="E41" i="51"/>
  <c r="E39" i="94" s="1"/>
  <c r="AI39" i="94" s="1"/>
  <c r="E32" i="51"/>
  <c r="E30" i="94" s="1"/>
  <c r="AI30" i="94" s="1"/>
  <c r="E34" i="51"/>
  <c r="E32" i="94" s="1"/>
  <c r="AI32" i="94" s="1"/>
  <c r="E50" i="51"/>
  <c r="E30" i="51" s="1"/>
  <c r="E48" i="94" s="1"/>
  <c r="AI48" i="94" s="1"/>
  <c r="E31" i="51"/>
  <c r="E29" i="94" s="1"/>
  <c r="AI29" i="94" s="1"/>
  <c r="E47" i="51"/>
  <c r="E45" i="94" s="1"/>
  <c r="AI45" i="94" s="1"/>
  <c r="E22" i="51"/>
  <c r="E20" i="94" s="1"/>
  <c r="AI20" i="94" s="1"/>
  <c r="E48" i="51"/>
  <c r="E46" i="94" s="1"/>
  <c r="AI46" i="94" s="1"/>
  <c r="E28" i="51"/>
  <c r="E27" i="94" s="1"/>
  <c r="AI27" i="94" s="1"/>
  <c r="E45" i="51"/>
  <c r="E43" i="94" s="1"/>
  <c r="AI43" i="94" s="1"/>
  <c r="E27" i="51"/>
  <c r="E20" i="51"/>
  <c r="E18" i="94" s="1"/>
  <c r="AI18" i="94" s="1"/>
  <c r="E38" i="51"/>
  <c r="E36" i="94" s="1"/>
  <c r="AI36" i="94" s="1"/>
  <c r="E55" i="51"/>
  <c r="E53" i="94" s="1"/>
  <c r="E35" i="51"/>
  <c r="E33" i="94" s="1"/>
  <c r="AI33" i="94" s="1"/>
  <c r="E51" i="51"/>
  <c r="E49" i="94" s="1"/>
  <c r="AI49" i="94" s="1"/>
  <c r="E36" i="51"/>
  <c r="E34" i="94" s="1"/>
  <c r="AI34" i="94" s="1"/>
  <c r="E52" i="51"/>
  <c r="E50" i="94" s="1"/>
  <c r="AI50" i="94" s="1"/>
  <c r="E33" i="51"/>
  <c r="E31" i="94" s="1"/>
  <c r="AI31" i="94" s="1"/>
  <c r="E49" i="51"/>
  <c r="E47" i="94" s="1"/>
  <c r="AI47" i="94" s="1"/>
  <c r="C10" i="25"/>
  <c r="E10" i="25" s="1"/>
  <c r="E56" i="25"/>
  <c r="E17" i="51"/>
  <c r="E15" i="94" s="1"/>
  <c r="AI15" i="94" s="1"/>
  <c r="E46" i="25"/>
  <c r="G24" i="65"/>
  <c r="Z22" i="94" s="1"/>
  <c r="F24" i="62"/>
  <c r="W22" i="94" s="1"/>
  <c r="F24" i="54"/>
  <c r="I22" i="94" s="1"/>
  <c r="G24" i="61"/>
  <c r="H22" i="94" s="1"/>
  <c r="G24" i="66"/>
  <c r="AB22" i="94" s="1"/>
  <c r="G56" i="61"/>
  <c r="H53" i="94" s="1"/>
  <c r="C56" i="66"/>
  <c r="F56" i="66" s="1"/>
  <c r="AA53" i="94" s="1"/>
  <c r="G56" i="54"/>
  <c r="J53" i="94" s="1"/>
  <c r="C56" i="62"/>
  <c r="G56" i="62" s="1"/>
  <c r="X53" i="94" s="1"/>
  <c r="C56" i="65"/>
  <c r="G56" i="65" s="1"/>
  <c r="Z53" i="94" s="1"/>
  <c r="G59" i="66"/>
  <c r="AB56" i="94" s="1"/>
  <c r="G59" i="65"/>
  <c r="Z56" i="94" s="1"/>
  <c r="G59" i="54"/>
  <c r="J56" i="94" s="1"/>
  <c r="F59" i="61"/>
  <c r="G56" i="94" s="1"/>
  <c r="F59" i="62"/>
  <c r="W56" i="94" s="1"/>
  <c r="F18" i="61"/>
  <c r="G16" i="94" s="1"/>
  <c r="G18" i="66"/>
  <c r="AB16" i="94" s="1"/>
  <c r="F18" i="62"/>
  <c r="W16" i="94" s="1"/>
  <c r="F18" i="65"/>
  <c r="Y16" i="94" s="1"/>
  <c r="G18" i="54"/>
  <c r="J16" i="94" s="1"/>
  <c r="C58" i="65"/>
  <c r="G58" i="65" s="1"/>
  <c r="Z55" i="94" s="1"/>
  <c r="C58" i="62"/>
  <c r="G58" i="62" s="1"/>
  <c r="X55" i="94" s="1"/>
  <c r="F58" i="61"/>
  <c r="G55" i="94" s="1"/>
  <c r="C58" i="66"/>
  <c r="F58" i="66" s="1"/>
  <c r="AA55" i="94" s="1"/>
  <c r="F58" i="54"/>
  <c r="I55" i="94" s="1"/>
  <c r="C9" i="51"/>
  <c r="F9" i="51" s="1"/>
  <c r="F8" i="94" s="1"/>
  <c r="F46" i="51"/>
  <c r="F44" i="94" s="1"/>
  <c r="E23" i="25"/>
  <c r="E7" i="51"/>
  <c r="E6" i="94" s="1"/>
  <c r="F7" i="51"/>
  <c r="F6" i="94" s="1"/>
  <c r="D7" i="93" s="1"/>
  <c r="F11" i="51"/>
  <c r="F10" i="94" s="1"/>
  <c r="E11" i="51"/>
  <c r="E10" i="94" s="1"/>
  <c r="F27" i="51"/>
  <c r="F39" i="51"/>
  <c r="F37" i="94" s="1"/>
  <c r="F52" i="51"/>
  <c r="F50" i="94" s="1"/>
  <c r="F56" i="51"/>
  <c r="F54" i="94" s="1"/>
  <c r="F51" i="51"/>
  <c r="F49" i="94" s="1"/>
  <c r="F26" i="51"/>
  <c r="F24" i="94" s="1"/>
  <c r="F23" i="51"/>
  <c r="F21" i="94" s="1"/>
  <c r="F38" i="51"/>
  <c r="F36" i="94" s="1"/>
  <c r="F20" i="51"/>
  <c r="F18" i="94" s="1"/>
  <c r="F12" i="51"/>
  <c r="F37" i="51"/>
  <c r="F35" i="94" s="1"/>
  <c r="F25" i="51"/>
  <c r="F23" i="94" s="1"/>
  <c r="F21" i="51"/>
  <c r="F19" i="94" s="1"/>
  <c r="F35" i="51"/>
  <c r="F33" i="94" s="1"/>
  <c r="F31" i="51"/>
  <c r="F29" i="94" s="1"/>
  <c r="E12" i="51"/>
  <c r="F41" i="51"/>
  <c r="F39" i="94" s="1"/>
  <c r="F47" i="51"/>
  <c r="F45" i="94" s="1"/>
  <c r="F29" i="51"/>
  <c r="F28" i="94" s="1"/>
  <c r="F36" i="51"/>
  <c r="F34" i="94" s="1"/>
  <c r="F45" i="51"/>
  <c r="F43" i="94" s="1"/>
  <c r="F44" i="51"/>
  <c r="F42" i="94" s="1"/>
  <c r="F32" i="51"/>
  <c r="F30" i="94" s="1"/>
  <c r="F42" i="51"/>
  <c r="F40" i="94" s="1"/>
  <c r="F19" i="51"/>
  <c r="F17" i="94" s="1"/>
  <c r="F40" i="51"/>
  <c r="F38" i="94" s="1"/>
  <c r="F50" i="51"/>
  <c r="F30" i="51" s="1"/>
  <c r="F48" i="94" s="1"/>
  <c r="F28" i="51"/>
  <c r="F27" i="94" s="1"/>
  <c r="F22" i="51"/>
  <c r="F20" i="94" s="1"/>
  <c r="F43" i="51"/>
  <c r="F41" i="94" s="1"/>
  <c r="F55" i="51"/>
  <c r="F53" i="94" s="1"/>
  <c r="F33" i="51"/>
  <c r="F31" i="94" s="1"/>
  <c r="F34" i="51"/>
  <c r="F32" i="94" s="1"/>
  <c r="C10" i="51"/>
  <c r="F10" i="51" s="1"/>
  <c r="F9" i="94" s="1"/>
  <c r="F49" i="51"/>
  <c r="F47" i="94" s="1"/>
  <c r="F17" i="51"/>
  <c r="F15" i="94" s="1"/>
  <c r="F18" i="51"/>
  <c r="F16" i="94" s="1"/>
  <c r="F48" i="51"/>
  <c r="F46" i="94" s="1"/>
  <c r="F54" i="51"/>
  <c r="F52" i="94" s="1"/>
  <c r="C9" i="25"/>
  <c r="E9" i="25" s="1"/>
  <c r="E40" i="25"/>
  <c r="E22" i="25"/>
  <c r="E54" i="25"/>
  <c r="E36" i="25"/>
  <c r="E18" i="25"/>
  <c r="E49" i="25"/>
  <c r="E44" i="25"/>
  <c r="E28" i="25"/>
  <c r="E52" i="25"/>
  <c r="E12" i="25"/>
  <c r="E29" i="25"/>
  <c r="E45" i="25"/>
  <c r="E47" i="25"/>
  <c r="E21" i="25"/>
  <c r="E39" i="25"/>
  <c r="E33" i="25"/>
  <c r="E50" i="25"/>
  <c r="E7" i="25"/>
  <c r="E34" i="25"/>
  <c r="E51" i="25"/>
  <c r="E27" i="25"/>
  <c r="E43" i="25"/>
  <c r="E19" i="25"/>
  <c r="E37" i="25"/>
  <c r="E55" i="25"/>
  <c r="E20" i="25"/>
  <c r="E38" i="25"/>
  <c r="E31" i="25"/>
  <c r="E48" i="25"/>
  <c r="E25" i="25"/>
  <c r="E41" i="25"/>
  <c r="E11" i="25"/>
  <c r="E26" i="25"/>
  <c r="E42" i="25"/>
  <c r="E17" i="25"/>
  <c r="E35" i="25"/>
  <c r="E9" i="24"/>
  <c r="E10" i="24"/>
  <c r="E47" i="24"/>
  <c r="E26" i="24"/>
  <c r="E44" i="24"/>
  <c r="E12" i="24"/>
  <c r="E19" i="24"/>
  <c r="E29" i="24"/>
  <c r="E31" i="24"/>
  <c r="E39" i="24"/>
  <c r="E48" i="24"/>
  <c r="E55" i="24"/>
  <c r="E28" i="24"/>
  <c r="E36" i="24"/>
  <c r="E54" i="24"/>
  <c r="E21" i="24"/>
  <c r="E34" i="24"/>
  <c r="E33" i="24"/>
  <c r="E41" i="24"/>
  <c r="E50" i="24"/>
  <c r="E18" i="24"/>
  <c r="E22" i="24"/>
  <c r="E40" i="24"/>
  <c r="E7" i="24"/>
  <c r="E25" i="24"/>
  <c r="E42" i="24"/>
  <c r="E35" i="24"/>
  <c r="E43" i="24"/>
  <c r="E52" i="24"/>
  <c r="E20" i="24"/>
  <c r="E38" i="24"/>
  <c r="E11" i="24"/>
  <c r="E49" i="24"/>
  <c r="E17" i="24"/>
  <c r="E27" i="24"/>
  <c r="E51" i="24"/>
  <c r="E37" i="24"/>
  <c r="E45" i="24"/>
  <c r="F59" i="53"/>
  <c r="M56" i="94" s="1"/>
  <c r="G59" i="53"/>
  <c r="N56" i="94" s="1"/>
  <c r="G56" i="53"/>
  <c r="N53" i="94" s="1"/>
  <c r="F56" i="53"/>
  <c r="M53" i="94" s="1"/>
  <c r="G24" i="53"/>
  <c r="N22" i="94" s="1"/>
  <c r="F24" i="53"/>
  <c r="M22" i="94" s="1"/>
  <c r="F18" i="53"/>
  <c r="M16" i="94" s="1"/>
  <c r="G18" i="53"/>
  <c r="N16" i="94" s="1"/>
  <c r="F58" i="53"/>
  <c r="M55" i="94" s="1"/>
  <c r="G58" i="53"/>
  <c r="N55" i="94" s="1"/>
  <c r="L53" i="94" l="1"/>
  <c r="K55" i="94"/>
  <c r="AD54" i="94"/>
  <c r="AF54" i="94" s="1"/>
  <c r="AI54" i="94"/>
  <c r="D10" i="93"/>
  <c r="F26" i="94"/>
  <c r="F11" i="94"/>
  <c r="D12" i="93" s="1"/>
  <c r="D9" i="93"/>
  <c r="C7" i="93"/>
  <c r="AI6" i="94"/>
  <c r="K7" i="93" s="1"/>
  <c r="E26" i="94"/>
  <c r="AI26" i="94" s="1"/>
  <c r="E11" i="94"/>
  <c r="C11" i="93"/>
  <c r="D11" i="93"/>
  <c r="E57" i="94"/>
  <c r="C13" i="93" s="1"/>
  <c r="F57" i="94"/>
  <c r="G18" i="65"/>
  <c r="G24" i="62"/>
  <c r="X22" i="94" s="1"/>
  <c r="AD22" i="94" s="1"/>
  <c r="G59" i="62"/>
  <c r="X56" i="94" s="1"/>
  <c r="AD56" i="94" s="1"/>
  <c r="F59" i="65"/>
  <c r="Y56" i="94" s="1"/>
  <c r="F56" i="62"/>
  <c r="W53" i="94" s="1"/>
  <c r="G24" i="54"/>
  <c r="J22" i="94" s="1"/>
  <c r="L22" i="94" s="1"/>
  <c r="G18" i="61"/>
  <c r="H16" i="94" s="1"/>
  <c r="L16" i="94" s="1"/>
  <c r="F56" i="54"/>
  <c r="I53" i="94" s="1"/>
  <c r="F59" i="66"/>
  <c r="AA56" i="94" s="1"/>
  <c r="F24" i="65"/>
  <c r="Y22" i="94" s="1"/>
  <c r="G59" i="61"/>
  <c r="H56" i="94" s="1"/>
  <c r="L56" i="94" s="1"/>
  <c r="F58" i="65"/>
  <c r="Y55" i="94" s="1"/>
  <c r="G58" i="66"/>
  <c r="AB55" i="94" s="1"/>
  <c r="AD55" i="94" s="1"/>
  <c r="F24" i="61"/>
  <c r="G22" i="94" s="1"/>
  <c r="K22" i="94" s="1"/>
  <c r="F58" i="62"/>
  <c r="W55" i="94" s="1"/>
  <c r="G58" i="54"/>
  <c r="J55" i="94" s="1"/>
  <c r="G18" i="62"/>
  <c r="X16" i="94" s="1"/>
  <c r="F59" i="54"/>
  <c r="I56" i="94" s="1"/>
  <c r="K56" i="94" s="1"/>
  <c r="G56" i="66"/>
  <c r="AB53" i="94" s="1"/>
  <c r="AD53" i="94" s="1"/>
  <c r="F18" i="54"/>
  <c r="I16" i="94" s="1"/>
  <c r="K16" i="94" s="1"/>
  <c r="F56" i="61"/>
  <c r="G53" i="94" s="1"/>
  <c r="G58" i="61"/>
  <c r="H55" i="94" s="1"/>
  <c r="F24" i="66"/>
  <c r="AA22" i="94" s="1"/>
  <c r="F18" i="66"/>
  <c r="AA16" i="94" s="1"/>
  <c r="AC16" i="94" s="1"/>
  <c r="F56" i="65"/>
  <c r="Y53" i="94" s="1"/>
  <c r="AC53" i="94" s="1"/>
  <c r="E9" i="51"/>
  <c r="E8" i="94" s="1"/>
  <c r="E10" i="51"/>
  <c r="E9" i="94" s="1"/>
  <c r="AC56" i="94" l="1"/>
  <c r="AI56" i="94" s="1"/>
  <c r="AC22" i="94"/>
  <c r="AE22" i="94" s="1"/>
  <c r="AC55" i="94"/>
  <c r="AI55" i="94" s="1"/>
  <c r="AF53" i="94"/>
  <c r="AF56" i="94"/>
  <c r="AF22" i="94"/>
  <c r="L55" i="94"/>
  <c r="AF55" i="94" s="1"/>
  <c r="K53" i="94"/>
  <c r="AE53" i="94" s="1"/>
  <c r="C10" i="93"/>
  <c r="C9" i="93"/>
  <c r="C12" i="93"/>
  <c r="AI11" i="94"/>
  <c r="K12" i="93" s="1"/>
  <c r="AI53" i="94"/>
  <c r="Z57" i="94"/>
  <c r="Z16" i="94"/>
  <c r="AD16" i="94" s="1"/>
  <c r="AI16" i="94"/>
  <c r="AE16" i="94"/>
  <c r="J57" i="94"/>
  <c r="G57" i="94"/>
  <c r="H57" i="94"/>
  <c r="AB57" i="94"/>
  <c r="I57" i="94"/>
  <c r="Y57" i="94"/>
  <c r="W57" i="94"/>
  <c r="K57" i="94" l="1"/>
  <c r="AI22" i="94"/>
  <c r="AE56" i="94"/>
  <c r="AE55" i="94"/>
  <c r="AF16" i="94"/>
  <c r="L57" i="94"/>
  <c r="AA57" i="94"/>
  <c r="AC57" i="94" s="1"/>
  <c r="X57" i="94"/>
  <c r="AD57" i="94" s="1"/>
  <c r="D67" i="55"/>
  <c r="D67" i="56"/>
  <c r="D67" i="52"/>
  <c r="AE57" i="94" l="1"/>
  <c r="AI57" i="94"/>
  <c r="K13" i="93" s="1"/>
  <c r="AF57" i="94"/>
  <c r="F54" i="56"/>
  <c r="S51" i="94" s="1"/>
  <c r="G14" i="56"/>
  <c r="T12" i="94" s="1"/>
  <c r="G16" i="56"/>
  <c r="T14" i="94" s="1"/>
  <c r="G54" i="56"/>
  <c r="T51" i="94" s="1"/>
  <c r="G15" i="56"/>
  <c r="T13" i="94" s="1"/>
  <c r="F16" i="56"/>
  <c r="S14" i="94" s="1"/>
  <c r="G54" i="55"/>
  <c r="P51" i="94" s="1"/>
  <c r="F54" i="55"/>
  <c r="O51" i="94" s="1"/>
  <c r="G14" i="55"/>
  <c r="P12" i="94" s="1"/>
  <c r="F16" i="55"/>
  <c r="O14" i="94" s="1"/>
  <c r="G16" i="55"/>
  <c r="P14" i="94" s="1"/>
  <c r="G15" i="55"/>
  <c r="P13" i="94" s="1"/>
  <c r="F54" i="52"/>
  <c r="Q51" i="94" s="1"/>
  <c r="F16" i="52"/>
  <c r="Q14" i="94" s="1"/>
  <c r="G16" i="52"/>
  <c r="R14" i="94" s="1"/>
  <c r="G14" i="52"/>
  <c r="R12" i="94" s="1"/>
  <c r="G15" i="52"/>
  <c r="R13" i="94" s="1"/>
  <c r="G54" i="52"/>
  <c r="R51" i="94" s="1"/>
  <c r="F14" i="56"/>
  <c r="S12" i="94" s="1"/>
  <c r="F15" i="56"/>
  <c r="S13" i="94" s="1"/>
  <c r="F14" i="55"/>
  <c r="O12" i="94" s="1"/>
  <c r="F15" i="55"/>
  <c r="O13" i="94" s="1"/>
  <c r="F14" i="52"/>
  <c r="Q12" i="94" s="1"/>
  <c r="F15" i="52"/>
  <c r="Q13" i="94" s="1"/>
  <c r="F47" i="52"/>
  <c r="Q44" i="94" s="1"/>
  <c r="G47" i="52"/>
  <c r="R44" i="94" s="1"/>
  <c r="F47" i="56"/>
  <c r="S44" i="94" s="1"/>
  <c r="G47" i="56"/>
  <c r="T44" i="94" s="1"/>
  <c r="G47" i="55"/>
  <c r="P44" i="94" s="1"/>
  <c r="F47" i="55"/>
  <c r="O44" i="94" s="1"/>
  <c r="G17" i="55"/>
  <c r="P15" i="94" s="1"/>
  <c r="F17" i="55"/>
  <c r="O15" i="94" s="1"/>
  <c r="G36" i="55"/>
  <c r="P33" i="94" s="1"/>
  <c r="G48" i="55"/>
  <c r="P45" i="94" s="1"/>
  <c r="G53" i="55"/>
  <c r="P50" i="94" s="1"/>
  <c r="G57" i="55"/>
  <c r="P54" i="94" s="1"/>
  <c r="F35" i="55"/>
  <c r="O32" i="94" s="1"/>
  <c r="F42" i="55"/>
  <c r="O39" i="94" s="1"/>
  <c r="F52" i="55"/>
  <c r="O49" i="94" s="1"/>
  <c r="F38" i="55"/>
  <c r="O35" i="94" s="1"/>
  <c r="F57" i="55"/>
  <c r="O54" i="94" s="1"/>
  <c r="G23" i="55"/>
  <c r="P21" i="94" s="1"/>
  <c r="F40" i="55"/>
  <c r="O37" i="94" s="1"/>
  <c r="F48" i="55"/>
  <c r="O45" i="94" s="1"/>
  <c r="U45" i="94" s="1"/>
  <c r="AG45" i="94" s="1"/>
  <c r="AK45" i="94" s="1"/>
  <c r="F36" i="55"/>
  <c r="O33" i="94" s="1"/>
  <c r="F53" i="55"/>
  <c r="O50" i="94" s="1"/>
  <c r="F23" i="55"/>
  <c r="O21" i="94" s="1"/>
  <c r="F26" i="55"/>
  <c r="O24" i="94" s="1"/>
  <c r="U24" i="94" s="1"/>
  <c r="AG24" i="94" s="1"/>
  <c r="F20" i="55"/>
  <c r="O18" i="94" s="1"/>
  <c r="F28" i="55"/>
  <c r="G40" i="55"/>
  <c r="P37" i="94" s="1"/>
  <c r="G52" i="55"/>
  <c r="P49" i="94" s="1"/>
  <c r="F29" i="55"/>
  <c r="O27" i="94" s="1"/>
  <c r="G42" i="55"/>
  <c r="P39" i="94" s="1"/>
  <c r="G44" i="55"/>
  <c r="P41" i="94" s="1"/>
  <c r="G38" i="55"/>
  <c r="P35" i="94" s="1"/>
  <c r="G26" i="55"/>
  <c r="P24" i="94" s="1"/>
  <c r="G7" i="55"/>
  <c r="P6" i="94" s="1"/>
  <c r="F55" i="55"/>
  <c r="O52" i="94" s="1"/>
  <c r="G34" i="55"/>
  <c r="P31" i="94" s="1"/>
  <c r="F58" i="55"/>
  <c r="O55" i="94" s="1"/>
  <c r="G18" i="55"/>
  <c r="P16" i="94" s="1"/>
  <c r="G59" i="55"/>
  <c r="P56" i="94" s="1"/>
  <c r="G41" i="55"/>
  <c r="P38" i="94" s="1"/>
  <c r="G49" i="55"/>
  <c r="P46" i="94" s="1"/>
  <c r="F51" i="55"/>
  <c r="F32" i="55"/>
  <c r="O29" i="94" s="1"/>
  <c r="F25" i="55"/>
  <c r="O23" i="94" s="1"/>
  <c r="G33" i="55"/>
  <c r="P30" i="94" s="1"/>
  <c r="F59" i="55"/>
  <c r="O56" i="94" s="1"/>
  <c r="F44" i="55"/>
  <c r="O41" i="94" s="1"/>
  <c r="G46" i="55"/>
  <c r="P43" i="94" s="1"/>
  <c r="G35" i="55"/>
  <c r="P32" i="94" s="1"/>
  <c r="G43" i="55"/>
  <c r="P40" i="94" s="1"/>
  <c r="F49" i="55"/>
  <c r="O46" i="94" s="1"/>
  <c r="G28" i="55"/>
  <c r="F37" i="55"/>
  <c r="O34" i="94" s="1"/>
  <c r="F56" i="55"/>
  <c r="O53" i="94" s="1"/>
  <c r="G45" i="55"/>
  <c r="P42" i="94" s="1"/>
  <c r="F21" i="55"/>
  <c r="O19" i="94" s="1"/>
  <c r="F50" i="55"/>
  <c r="O47" i="94" s="1"/>
  <c r="G30" i="55"/>
  <c r="P28" i="94" s="1"/>
  <c r="F45" i="55"/>
  <c r="O42" i="94" s="1"/>
  <c r="G22" i="55"/>
  <c r="P20" i="94" s="1"/>
  <c r="G32" i="55"/>
  <c r="P29" i="94" s="1"/>
  <c r="F43" i="55"/>
  <c r="O40" i="94" s="1"/>
  <c r="F34" i="55"/>
  <c r="O31" i="94" s="1"/>
  <c r="G20" i="55"/>
  <c r="P18" i="94" s="1"/>
  <c r="G51" i="55"/>
  <c r="F30" i="55"/>
  <c r="O28" i="94" s="1"/>
  <c r="G58" i="55"/>
  <c r="P55" i="94" s="1"/>
  <c r="G55" i="55"/>
  <c r="P52" i="94" s="1"/>
  <c r="G37" i="55"/>
  <c r="P34" i="94" s="1"/>
  <c r="G25" i="55"/>
  <c r="P23" i="94" s="1"/>
  <c r="F7" i="55"/>
  <c r="O6" i="94" s="1"/>
  <c r="F33" i="55"/>
  <c r="O30" i="94" s="1"/>
  <c r="F39" i="55"/>
  <c r="O36" i="94" s="1"/>
  <c r="G19" i="55"/>
  <c r="P17" i="94" s="1"/>
  <c r="F41" i="55"/>
  <c r="O38" i="94" s="1"/>
  <c r="F19" i="55"/>
  <c r="O17" i="94" s="1"/>
  <c r="F46" i="55"/>
  <c r="O43" i="94" s="1"/>
  <c r="F24" i="55"/>
  <c r="O22" i="94" s="1"/>
  <c r="G50" i="55"/>
  <c r="P47" i="94" s="1"/>
  <c r="G21" i="55"/>
  <c r="P19" i="94" s="1"/>
  <c r="G12" i="55"/>
  <c r="G39" i="55"/>
  <c r="P36" i="94" s="1"/>
  <c r="F12" i="55"/>
  <c r="F22" i="55"/>
  <c r="O20" i="94" s="1"/>
  <c r="G29" i="55"/>
  <c r="P27" i="94" s="1"/>
  <c r="G56" i="55"/>
  <c r="P53" i="94" s="1"/>
  <c r="G24" i="55"/>
  <c r="P22" i="94" s="1"/>
  <c r="F18" i="55"/>
  <c r="O16" i="94" s="1"/>
  <c r="U16" i="94" s="1"/>
  <c r="AG16" i="94" s="1"/>
  <c r="F36" i="52"/>
  <c r="Q33" i="94" s="1"/>
  <c r="G48" i="52"/>
  <c r="R45" i="94" s="1"/>
  <c r="G36" i="52"/>
  <c r="R33" i="94" s="1"/>
  <c r="G53" i="52"/>
  <c r="R50" i="94" s="1"/>
  <c r="F23" i="52"/>
  <c r="Q21" i="94" s="1"/>
  <c r="G23" i="52"/>
  <c r="R21" i="94" s="1"/>
  <c r="G19" i="52"/>
  <c r="R17" i="94" s="1"/>
  <c r="F51" i="52"/>
  <c r="F31" i="52" s="1"/>
  <c r="Q48" i="94" s="1"/>
  <c r="F41" i="52"/>
  <c r="Q38" i="94" s="1"/>
  <c r="G28" i="52"/>
  <c r="F44" i="52"/>
  <c r="Q41" i="94" s="1"/>
  <c r="F30" i="52"/>
  <c r="Q28" i="94" s="1"/>
  <c r="F20" i="52"/>
  <c r="Q18" i="94" s="1"/>
  <c r="F42" i="52"/>
  <c r="Q39" i="94" s="1"/>
  <c r="F17" i="52"/>
  <c r="Q15" i="94" s="1"/>
  <c r="G45" i="52"/>
  <c r="R42" i="94" s="1"/>
  <c r="G29" i="52"/>
  <c r="R27" i="94" s="1"/>
  <c r="F53" i="52"/>
  <c r="Q50" i="94" s="1"/>
  <c r="F21" i="52"/>
  <c r="Q19" i="94" s="1"/>
  <c r="G42" i="52"/>
  <c r="R39" i="94" s="1"/>
  <c r="G44" i="52"/>
  <c r="R41" i="94" s="1"/>
  <c r="F19" i="52"/>
  <c r="Q17" i="94" s="1"/>
  <c r="G35" i="52"/>
  <c r="R32" i="94" s="1"/>
  <c r="F50" i="52"/>
  <c r="Q47" i="94" s="1"/>
  <c r="F58" i="52"/>
  <c r="Q55" i="94" s="1"/>
  <c r="G37" i="52"/>
  <c r="R34" i="94" s="1"/>
  <c r="F29" i="52"/>
  <c r="Q27" i="94" s="1"/>
  <c r="F45" i="52"/>
  <c r="Q42" i="94" s="1"/>
  <c r="G57" i="52"/>
  <c r="R54" i="94" s="1"/>
  <c r="G43" i="52"/>
  <c r="R40" i="94" s="1"/>
  <c r="G12" i="52"/>
  <c r="F49" i="52"/>
  <c r="Q46" i="94" s="1"/>
  <c r="G38" i="52"/>
  <c r="R35" i="94" s="1"/>
  <c r="G26" i="52"/>
  <c r="R24" i="94" s="1"/>
  <c r="G7" i="52"/>
  <c r="R6" i="94" s="1"/>
  <c r="F55" i="52"/>
  <c r="Q52" i="94" s="1"/>
  <c r="F37" i="52"/>
  <c r="Q34" i="94" s="1"/>
  <c r="F28" i="52"/>
  <c r="F7" i="52"/>
  <c r="Q6" i="94" s="1"/>
  <c r="F33" i="52"/>
  <c r="Q30" i="94" s="1"/>
  <c r="G59" i="52"/>
  <c r="R56" i="94" s="1"/>
  <c r="G41" i="52"/>
  <c r="R38" i="94" s="1"/>
  <c r="F35" i="52"/>
  <c r="Q32" i="94" s="1"/>
  <c r="F52" i="52"/>
  <c r="Q49" i="94" s="1"/>
  <c r="F34" i="52"/>
  <c r="Q31" i="94" s="1"/>
  <c r="G51" i="52"/>
  <c r="G31" i="52" s="1"/>
  <c r="R48" i="94" s="1"/>
  <c r="F25" i="52"/>
  <c r="Q23" i="94" s="1"/>
  <c r="G30" i="52"/>
  <c r="R28" i="94" s="1"/>
  <c r="G55" i="52"/>
  <c r="R52" i="94" s="1"/>
  <c r="G21" i="52"/>
  <c r="R19" i="94" s="1"/>
  <c r="F57" i="52"/>
  <c r="Q54" i="94" s="1"/>
  <c r="G34" i="52"/>
  <c r="R31" i="94" s="1"/>
  <c r="G58" i="52"/>
  <c r="R55" i="94" s="1"/>
  <c r="G17" i="52"/>
  <c r="R15" i="94" s="1"/>
  <c r="F48" i="52"/>
  <c r="Q45" i="94" s="1"/>
  <c r="G46" i="52"/>
  <c r="R43" i="94" s="1"/>
  <c r="G32" i="52"/>
  <c r="R29" i="94" s="1"/>
  <c r="F46" i="52"/>
  <c r="Q43" i="94" s="1"/>
  <c r="G22" i="52"/>
  <c r="R20" i="94" s="1"/>
  <c r="F43" i="52"/>
  <c r="Q40" i="94" s="1"/>
  <c r="F22" i="52"/>
  <c r="Q20" i="94" s="1"/>
  <c r="F32" i="52"/>
  <c r="Q29" i="94" s="1"/>
  <c r="G50" i="52"/>
  <c r="R47" i="94" s="1"/>
  <c r="F38" i="52"/>
  <c r="Q35" i="94" s="1"/>
  <c r="F12" i="52"/>
  <c r="G33" i="52"/>
  <c r="R30" i="94" s="1"/>
  <c r="F59" i="52"/>
  <c r="Q56" i="94" s="1"/>
  <c r="G18" i="52"/>
  <c r="R16" i="94" s="1"/>
  <c r="G52" i="52"/>
  <c r="R49" i="94" s="1"/>
  <c r="G20" i="52"/>
  <c r="R18" i="94" s="1"/>
  <c r="F18" i="52"/>
  <c r="Q16" i="94" s="1"/>
  <c r="G49" i="52"/>
  <c r="R46" i="94" s="1"/>
  <c r="F56" i="52"/>
  <c r="Q53" i="94" s="1"/>
  <c r="F26" i="52"/>
  <c r="Q24" i="94" s="1"/>
  <c r="F24" i="52"/>
  <c r="Q22" i="94" s="1"/>
  <c r="G25" i="52"/>
  <c r="R23" i="94" s="1"/>
  <c r="G40" i="52"/>
  <c r="R37" i="94" s="1"/>
  <c r="G56" i="52"/>
  <c r="R53" i="94" s="1"/>
  <c r="G24" i="52"/>
  <c r="R22" i="94" s="1"/>
  <c r="G39" i="52"/>
  <c r="R36" i="94" s="1"/>
  <c r="F40" i="52"/>
  <c r="Q37" i="94" s="1"/>
  <c r="F39" i="52"/>
  <c r="Q36" i="94" s="1"/>
  <c r="F20" i="56"/>
  <c r="S18" i="94" s="1"/>
  <c r="F22" i="56"/>
  <c r="S20" i="94" s="1"/>
  <c r="F23" i="56"/>
  <c r="S21" i="94" s="1"/>
  <c r="F26" i="56"/>
  <c r="S24" i="94" s="1"/>
  <c r="F38" i="56"/>
  <c r="S35" i="94" s="1"/>
  <c r="F44" i="56"/>
  <c r="S41" i="94" s="1"/>
  <c r="G46" i="56"/>
  <c r="T43" i="94" s="1"/>
  <c r="F7" i="56"/>
  <c r="S6" i="94" s="1"/>
  <c r="F12" i="56"/>
  <c r="G22" i="56"/>
  <c r="T20" i="94" s="1"/>
  <c r="G23" i="56"/>
  <c r="T21" i="94" s="1"/>
  <c r="G26" i="56"/>
  <c r="T24" i="94" s="1"/>
  <c r="F30" i="56"/>
  <c r="S28" i="94" s="1"/>
  <c r="F36" i="56"/>
  <c r="S33" i="94" s="1"/>
  <c r="F40" i="56"/>
  <c r="S37" i="94" s="1"/>
  <c r="F42" i="56"/>
  <c r="S39" i="94" s="1"/>
  <c r="F43" i="56"/>
  <c r="S40" i="94" s="1"/>
  <c r="F19" i="56"/>
  <c r="S17" i="94" s="1"/>
  <c r="G30" i="56"/>
  <c r="T28" i="94" s="1"/>
  <c r="G34" i="56"/>
  <c r="T31" i="94" s="1"/>
  <c r="F39" i="56"/>
  <c r="S36" i="94" s="1"/>
  <c r="G43" i="56"/>
  <c r="T40" i="94" s="1"/>
  <c r="F46" i="56"/>
  <c r="S43" i="94" s="1"/>
  <c r="F53" i="56"/>
  <c r="S50" i="94" s="1"/>
  <c r="F57" i="56"/>
  <c r="S54" i="94" s="1"/>
  <c r="G7" i="56"/>
  <c r="T6" i="94" s="1"/>
  <c r="F28" i="56"/>
  <c r="G42" i="56"/>
  <c r="T39" i="94" s="1"/>
  <c r="F48" i="56"/>
  <c r="S45" i="94" s="1"/>
  <c r="F52" i="56"/>
  <c r="S49" i="94" s="1"/>
  <c r="G57" i="56"/>
  <c r="T54" i="94" s="1"/>
  <c r="G48" i="56"/>
  <c r="T45" i="94" s="1"/>
  <c r="F51" i="56"/>
  <c r="F24" i="56"/>
  <c r="S22" i="94" s="1"/>
  <c r="G51" i="56"/>
  <c r="G35" i="56"/>
  <c r="T32" i="94" s="1"/>
  <c r="G52" i="56"/>
  <c r="T49" i="94" s="1"/>
  <c r="F35" i="56"/>
  <c r="S32" i="94" s="1"/>
  <c r="G55" i="56"/>
  <c r="T52" i="94" s="1"/>
  <c r="F34" i="56"/>
  <c r="S31" i="94" s="1"/>
  <c r="F18" i="56"/>
  <c r="S16" i="94" s="1"/>
  <c r="G12" i="56"/>
  <c r="G58" i="56"/>
  <c r="T55" i="94" s="1"/>
  <c r="F37" i="56"/>
  <c r="S34" i="94" s="1"/>
  <c r="G56" i="56"/>
  <c r="T53" i="94" s="1"/>
  <c r="G33" i="56"/>
  <c r="T30" i="94" s="1"/>
  <c r="G45" i="56"/>
  <c r="T42" i="94" s="1"/>
  <c r="F29" i="56"/>
  <c r="S27" i="94" s="1"/>
  <c r="F41" i="56"/>
  <c r="S38" i="94" s="1"/>
  <c r="G36" i="56"/>
  <c r="T33" i="94" s="1"/>
  <c r="G21" i="56"/>
  <c r="T19" i="94" s="1"/>
  <c r="G44" i="56"/>
  <c r="T41" i="94" s="1"/>
  <c r="G28" i="56"/>
  <c r="F50" i="56"/>
  <c r="S47" i="94" s="1"/>
  <c r="F17" i="56"/>
  <c r="S15" i="94" s="1"/>
  <c r="G39" i="56"/>
  <c r="T36" i="94" s="1"/>
  <c r="F55" i="56"/>
  <c r="S52" i="94" s="1"/>
  <c r="G40" i="56"/>
  <c r="T37" i="94" s="1"/>
  <c r="G50" i="56"/>
  <c r="T47" i="94" s="1"/>
  <c r="G17" i="56"/>
  <c r="T15" i="94" s="1"/>
  <c r="G38" i="56"/>
  <c r="T35" i="94" s="1"/>
  <c r="G32" i="56"/>
  <c r="T29" i="94" s="1"/>
  <c r="F58" i="56"/>
  <c r="S55" i="94" s="1"/>
  <c r="G37" i="56"/>
  <c r="T34" i="94" s="1"/>
  <c r="G29" i="56"/>
  <c r="T27" i="94" s="1"/>
  <c r="G41" i="56"/>
  <c r="T38" i="94" s="1"/>
  <c r="F32" i="56"/>
  <c r="S29" i="94" s="1"/>
  <c r="G18" i="56"/>
  <c r="T16" i="94" s="1"/>
  <c r="G49" i="56"/>
  <c r="T46" i="94" s="1"/>
  <c r="G53" i="56"/>
  <c r="T50" i="94" s="1"/>
  <c r="F59" i="56"/>
  <c r="S56" i="94" s="1"/>
  <c r="F25" i="56"/>
  <c r="S23" i="94" s="1"/>
  <c r="F49" i="56"/>
  <c r="S46" i="94" s="1"/>
  <c r="G19" i="56"/>
  <c r="T17" i="94" s="1"/>
  <c r="G24" i="56"/>
  <c r="T22" i="94" s="1"/>
  <c r="G20" i="56"/>
  <c r="T18" i="94" s="1"/>
  <c r="F56" i="56"/>
  <c r="S53" i="94" s="1"/>
  <c r="G59" i="56"/>
  <c r="T56" i="94" s="1"/>
  <c r="F33" i="56"/>
  <c r="S30" i="94" s="1"/>
  <c r="F45" i="56"/>
  <c r="S42" i="94" s="1"/>
  <c r="G25" i="56"/>
  <c r="T23" i="94" s="1"/>
  <c r="F21" i="56"/>
  <c r="S19" i="94" s="1"/>
  <c r="U23" i="94" l="1"/>
  <c r="AG23" i="94" s="1"/>
  <c r="AK23" i="94" s="1"/>
  <c r="U36" i="94"/>
  <c r="AG36" i="94" s="1"/>
  <c r="AK36" i="94" s="1"/>
  <c r="U47" i="94"/>
  <c r="AG47" i="94" s="1"/>
  <c r="AK47" i="94" s="1"/>
  <c r="U55" i="94"/>
  <c r="AG55" i="94" s="1"/>
  <c r="U27" i="94"/>
  <c r="AG27" i="94" s="1"/>
  <c r="AK27" i="94" s="1"/>
  <c r="U54" i="94"/>
  <c r="AG54" i="94" s="1"/>
  <c r="AK54" i="94" s="1"/>
  <c r="U32" i="94"/>
  <c r="AG32" i="94" s="1"/>
  <c r="AK32" i="94" s="1"/>
  <c r="U12" i="94"/>
  <c r="AG12" i="94" s="1"/>
  <c r="AK12" i="94" s="1"/>
  <c r="V22" i="94"/>
  <c r="AH22" i="94" s="1"/>
  <c r="AJ22" i="94"/>
  <c r="V55" i="94"/>
  <c r="AH55" i="94" s="1"/>
  <c r="AJ55" i="94"/>
  <c r="V56" i="94"/>
  <c r="AH56" i="94" s="1"/>
  <c r="AJ56" i="94"/>
  <c r="V53" i="94"/>
  <c r="AH53" i="94" s="1"/>
  <c r="AJ53" i="94"/>
  <c r="U22" i="94"/>
  <c r="AG22" i="94" s="1"/>
  <c r="U53" i="94"/>
  <c r="AG53" i="94" s="1"/>
  <c r="U56" i="94"/>
  <c r="AG56" i="94" s="1"/>
  <c r="V16" i="94"/>
  <c r="AH16" i="94" s="1"/>
  <c r="AJ16" i="94"/>
  <c r="V19" i="94"/>
  <c r="AH19" i="94" s="1"/>
  <c r="AJ19" i="94"/>
  <c r="U30" i="94"/>
  <c r="AG30" i="94" s="1"/>
  <c r="AK30" i="94" s="1"/>
  <c r="V18" i="94"/>
  <c r="AH18" i="94" s="1"/>
  <c r="AJ18" i="94"/>
  <c r="V20" i="94"/>
  <c r="AH20" i="94" s="1"/>
  <c r="AJ20" i="94"/>
  <c r="V43" i="94"/>
  <c r="AH43" i="94" s="1"/>
  <c r="AJ43" i="94"/>
  <c r="V38" i="94"/>
  <c r="AH38" i="94" s="1"/>
  <c r="AJ38" i="94"/>
  <c r="V35" i="94"/>
  <c r="AH35" i="94" s="1"/>
  <c r="AJ35" i="94"/>
  <c r="V49" i="94"/>
  <c r="AH49" i="94" s="1"/>
  <c r="AJ49" i="94"/>
  <c r="V54" i="94"/>
  <c r="AH54" i="94" s="1"/>
  <c r="AJ54" i="94"/>
  <c r="V36" i="94"/>
  <c r="AH36" i="94" s="1"/>
  <c r="AJ36" i="94"/>
  <c r="V17" i="94"/>
  <c r="AH17" i="94" s="1"/>
  <c r="AJ17" i="94"/>
  <c r="V23" i="94"/>
  <c r="AH23" i="94" s="1"/>
  <c r="AJ23" i="94"/>
  <c r="U28" i="94"/>
  <c r="AG28" i="94" s="1"/>
  <c r="AK28" i="94" s="1"/>
  <c r="U40" i="94"/>
  <c r="AG40" i="94" s="1"/>
  <c r="AK40" i="94" s="1"/>
  <c r="V28" i="94"/>
  <c r="AH28" i="94" s="1"/>
  <c r="AJ28" i="94"/>
  <c r="V40" i="94"/>
  <c r="AH40" i="94" s="1"/>
  <c r="AJ40" i="94"/>
  <c r="V6" i="94"/>
  <c r="F7" i="93" s="1"/>
  <c r="AJ6" i="94"/>
  <c r="L7" i="93" s="1"/>
  <c r="V39" i="94"/>
  <c r="AH39" i="94" s="1"/>
  <c r="AJ39" i="94"/>
  <c r="U50" i="94"/>
  <c r="AG50" i="94" s="1"/>
  <c r="AK50" i="94" s="1"/>
  <c r="V21" i="94"/>
  <c r="AH21" i="94" s="1"/>
  <c r="AJ21" i="94"/>
  <c r="U39" i="94"/>
  <c r="AG39" i="94" s="1"/>
  <c r="AK39" i="94" s="1"/>
  <c r="V45" i="94"/>
  <c r="AH45" i="94" s="1"/>
  <c r="AJ45" i="94"/>
  <c r="U44" i="94"/>
  <c r="AG44" i="94" s="1"/>
  <c r="AK44" i="94" s="1"/>
  <c r="U13" i="94"/>
  <c r="AG13" i="94" s="1"/>
  <c r="AK13" i="94" s="1"/>
  <c r="U14" i="94"/>
  <c r="AG14" i="94" s="1"/>
  <c r="AK14" i="94" s="1"/>
  <c r="Q26" i="94"/>
  <c r="Q11" i="94"/>
  <c r="V27" i="94"/>
  <c r="AH27" i="94" s="1"/>
  <c r="AJ27" i="94"/>
  <c r="P11" i="94"/>
  <c r="P26" i="94"/>
  <c r="U43" i="94"/>
  <c r="AG43" i="94" s="1"/>
  <c r="AK43" i="94" s="1"/>
  <c r="V34" i="94"/>
  <c r="AH34" i="94" s="1"/>
  <c r="AJ34" i="94"/>
  <c r="V29" i="94"/>
  <c r="AH29" i="94" s="1"/>
  <c r="AJ29" i="94"/>
  <c r="U34" i="94"/>
  <c r="AG34" i="94" s="1"/>
  <c r="AK34" i="94" s="1"/>
  <c r="V32" i="94"/>
  <c r="AH32" i="94" s="1"/>
  <c r="AJ32" i="94"/>
  <c r="V30" i="94"/>
  <c r="AH30" i="94" s="1"/>
  <c r="AJ30" i="94"/>
  <c r="V46" i="94"/>
  <c r="AH46" i="94" s="1"/>
  <c r="AJ46" i="94"/>
  <c r="V24" i="94"/>
  <c r="AH24" i="94" s="1"/>
  <c r="AJ24" i="94"/>
  <c r="U18" i="94"/>
  <c r="AG18" i="94" s="1"/>
  <c r="AK18" i="94" s="1"/>
  <c r="U33" i="94"/>
  <c r="AG33" i="94" s="1"/>
  <c r="AK33" i="94" s="1"/>
  <c r="V33" i="94"/>
  <c r="AH33" i="94" s="1"/>
  <c r="AJ33" i="94"/>
  <c r="V44" i="94"/>
  <c r="AH44" i="94" s="1"/>
  <c r="AJ44" i="94"/>
  <c r="V12" i="94"/>
  <c r="AH12" i="94" s="1"/>
  <c r="AJ12" i="94"/>
  <c r="T26" i="94"/>
  <c r="T11" i="94"/>
  <c r="U20" i="94"/>
  <c r="AG20" i="94" s="1"/>
  <c r="AK20" i="94" s="1"/>
  <c r="U17" i="94"/>
  <c r="AG17" i="94" s="1"/>
  <c r="AK17" i="94" s="1"/>
  <c r="V52" i="94"/>
  <c r="AH52" i="94" s="1"/>
  <c r="AJ52" i="94"/>
  <c r="U19" i="94"/>
  <c r="AG19" i="94" s="1"/>
  <c r="AK19" i="94" s="1"/>
  <c r="V31" i="94"/>
  <c r="AH31" i="94" s="1"/>
  <c r="AJ31" i="94"/>
  <c r="U35" i="94"/>
  <c r="AG35" i="94" s="1"/>
  <c r="AK35" i="94" s="1"/>
  <c r="U15" i="94"/>
  <c r="AG15" i="94" s="1"/>
  <c r="AK15" i="94" s="1"/>
  <c r="V13" i="94"/>
  <c r="AH13" i="94" s="1"/>
  <c r="AJ13" i="94"/>
  <c r="U51" i="94"/>
  <c r="AG51" i="94" s="1"/>
  <c r="AK51" i="94" s="1"/>
  <c r="S26" i="94"/>
  <c r="S11" i="94"/>
  <c r="R26" i="94"/>
  <c r="R11" i="94"/>
  <c r="O26" i="94"/>
  <c r="O11" i="94"/>
  <c r="V47" i="94"/>
  <c r="AH47" i="94" s="1"/>
  <c r="AJ47" i="94"/>
  <c r="U38" i="94"/>
  <c r="AG38" i="94" s="1"/>
  <c r="AK38" i="94" s="1"/>
  <c r="U6" i="94"/>
  <c r="E7" i="93" s="1"/>
  <c r="U31" i="94"/>
  <c r="AG31" i="94" s="1"/>
  <c r="AK31" i="94" s="1"/>
  <c r="U42" i="94"/>
  <c r="AG42" i="94" s="1"/>
  <c r="AK42" i="94" s="1"/>
  <c r="V42" i="94"/>
  <c r="AH42" i="94" s="1"/>
  <c r="AJ42" i="94"/>
  <c r="U46" i="94"/>
  <c r="AG46" i="94" s="1"/>
  <c r="AK46" i="94" s="1"/>
  <c r="U41" i="94"/>
  <c r="AG41" i="94" s="1"/>
  <c r="AK41" i="94" s="1"/>
  <c r="U29" i="94"/>
  <c r="AG29" i="94" s="1"/>
  <c r="AK29" i="94" s="1"/>
  <c r="U52" i="94"/>
  <c r="AG52" i="94" s="1"/>
  <c r="AK52" i="94" s="1"/>
  <c r="V41" i="94"/>
  <c r="AH41" i="94" s="1"/>
  <c r="AJ41" i="94"/>
  <c r="V37" i="94"/>
  <c r="AH37" i="94" s="1"/>
  <c r="AJ37" i="94"/>
  <c r="U21" i="94"/>
  <c r="AG21" i="94" s="1"/>
  <c r="AK21" i="94" s="1"/>
  <c r="U37" i="94"/>
  <c r="AG37" i="94" s="1"/>
  <c r="AK37" i="94" s="1"/>
  <c r="U49" i="94"/>
  <c r="AG49" i="94" s="1"/>
  <c r="AK49" i="94" s="1"/>
  <c r="V50" i="94"/>
  <c r="AH50" i="94" s="1"/>
  <c r="AJ50" i="94"/>
  <c r="V15" i="94"/>
  <c r="AH15" i="94" s="1"/>
  <c r="AJ15" i="94"/>
  <c r="V14" i="94"/>
  <c r="AH14" i="94" s="1"/>
  <c r="AJ14" i="94"/>
  <c r="V51" i="94"/>
  <c r="AH51" i="94" s="1"/>
  <c r="AJ51" i="94"/>
  <c r="R57" i="94"/>
  <c r="Q57" i="94"/>
  <c r="F31" i="56"/>
  <c r="S48" i="94" s="1"/>
  <c r="G31" i="56"/>
  <c r="F31" i="55"/>
  <c r="O48" i="94" s="1"/>
  <c r="G31" i="55"/>
  <c r="AL51" i="94" l="1"/>
  <c r="AL15" i="94"/>
  <c r="AL29" i="94"/>
  <c r="AL39" i="94"/>
  <c r="AL40" i="94"/>
  <c r="AL17" i="94"/>
  <c r="AL54" i="94"/>
  <c r="AL35" i="94"/>
  <c r="AL43" i="94"/>
  <c r="AL18" i="94"/>
  <c r="AL37" i="94"/>
  <c r="AL42" i="94"/>
  <c r="AL12" i="94"/>
  <c r="AL33" i="94"/>
  <c r="AL30" i="94"/>
  <c r="AL27" i="94"/>
  <c r="AL19" i="94"/>
  <c r="AL47" i="94"/>
  <c r="AL52" i="94"/>
  <c r="AL44" i="94"/>
  <c r="AL46" i="94"/>
  <c r="V11" i="94"/>
  <c r="F12" i="93" s="1"/>
  <c r="AJ11" i="94"/>
  <c r="L12" i="93" s="1"/>
  <c r="AL14" i="94"/>
  <c r="AL50" i="94"/>
  <c r="AG6" i="94"/>
  <c r="U11" i="94"/>
  <c r="E12" i="93" s="1"/>
  <c r="AL13" i="94"/>
  <c r="AL31" i="94"/>
  <c r="AL34" i="94"/>
  <c r="AL45" i="94"/>
  <c r="AH6" i="94"/>
  <c r="AL28" i="94"/>
  <c r="AL23" i="94"/>
  <c r="AL36" i="94"/>
  <c r="AL49" i="94"/>
  <c r="AL38" i="94"/>
  <c r="AL20" i="94"/>
  <c r="V26" i="94"/>
  <c r="AH26" i="94" s="1"/>
  <c r="AJ26" i="94"/>
  <c r="P57" i="94"/>
  <c r="P48" i="94"/>
  <c r="AL41" i="94"/>
  <c r="AL32" i="94"/>
  <c r="AL21" i="94"/>
  <c r="U48" i="94"/>
  <c r="AG48" i="94" s="1"/>
  <c r="AK48" i="94" s="1"/>
  <c r="T57" i="94"/>
  <c r="T48" i="94"/>
  <c r="U26" i="94"/>
  <c r="AG26" i="94" s="1"/>
  <c r="AK26" i="94" s="1"/>
  <c r="S57" i="94"/>
  <c r="O57" i="94"/>
  <c r="D46" i="23"/>
  <c r="F13" i="23" s="1"/>
  <c r="E32" i="25"/>
  <c r="J7" i="93" l="1"/>
  <c r="AL6" i="94"/>
  <c r="N7" i="93" s="1"/>
  <c r="V48" i="94"/>
  <c r="AH48" i="94" s="1"/>
  <c r="AJ48" i="94"/>
  <c r="AG11" i="94"/>
  <c r="AL26" i="94"/>
  <c r="I7" i="93"/>
  <c r="AK6" i="94"/>
  <c r="M7" i="93" s="1"/>
  <c r="AH11" i="94"/>
  <c r="F36" i="23"/>
  <c r="G36" i="23" s="1"/>
  <c r="F34" i="23"/>
  <c r="E32" i="24"/>
  <c r="F14" i="23"/>
  <c r="F15" i="23"/>
  <c r="F16" i="23"/>
  <c r="F17" i="23"/>
  <c r="F18" i="23"/>
  <c r="F19" i="23"/>
  <c r="F20" i="23"/>
  <c r="F21" i="23"/>
  <c r="F22" i="23"/>
  <c r="F23" i="23"/>
  <c r="F24" i="23"/>
  <c r="F25" i="23"/>
  <c r="F26" i="23"/>
  <c r="F27" i="23"/>
  <c r="F28" i="23"/>
  <c r="F29" i="23"/>
  <c r="F30" i="23"/>
  <c r="F31" i="23"/>
  <c r="F32" i="23"/>
  <c r="F33" i="23"/>
  <c r="AL48" i="94" l="1"/>
  <c r="AL11" i="94"/>
  <c r="N12" i="93" s="1"/>
  <c r="J12" i="93"/>
  <c r="AK11" i="94"/>
  <c r="M12" i="93" s="1"/>
  <c r="I12" i="93"/>
  <c r="G34" i="23"/>
  <c r="F8" i="23"/>
  <c r="G23" i="23"/>
  <c r="G30" i="23" l="1"/>
  <c r="G21" i="23"/>
  <c r="G25" i="23"/>
  <c r="G15" i="23"/>
  <c r="G24" i="23"/>
  <c r="G14" i="23"/>
  <c r="G27" i="23"/>
  <c r="G28" i="23"/>
  <c r="G18" i="23"/>
  <c r="G31" i="23"/>
  <c r="G16" i="23"/>
  <c r="G32" i="23"/>
  <c r="G29" i="23"/>
  <c r="G22" i="23"/>
  <c r="G19" i="23"/>
  <c r="G20" i="23"/>
  <c r="G17" i="23"/>
  <c r="G33" i="23"/>
  <c r="G26" i="23"/>
  <c r="G13" i="23"/>
  <c r="F35" i="23"/>
  <c r="F37" i="23" s="1"/>
  <c r="G8" i="23"/>
  <c r="G7" i="23"/>
  <c r="G9" i="23"/>
  <c r="G11" i="23"/>
  <c r="G10" i="23"/>
  <c r="G35" i="23" l="1"/>
  <c r="G37" i="23" s="1"/>
  <c r="C67" i="25" l="1"/>
  <c r="F53" i="25" l="1"/>
  <c r="F24" i="25"/>
  <c r="F57" i="25"/>
  <c r="F15" i="25"/>
  <c r="F16" i="25"/>
  <c r="F30" i="25"/>
  <c r="F14" i="25"/>
  <c r="F46" i="25"/>
  <c r="F56" i="25"/>
  <c r="F23" i="25"/>
  <c r="F50" i="25"/>
  <c r="F39" i="25"/>
  <c r="F31" i="25"/>
  <c r="F25" i="25"/>
  <c r="F17" i="25"/>
  <c r="F12" i="25"/>
  <c r="F54" i="25"/>
  <c r="F51" i="25"/>
  <c r="F49" i="25"/>
  <c r="F47" i="25"/>
  <c r="F44" i="25"/>
  <c r="F42" i="25"/>
  <c r="F40" i="25"/>
  <c r="F38" i="25"/>
  <c r="F36" i="25"/>
  <c r="F34" i="25"/>
  <c r="F32" i="25"/>
  <c r="F28" i="25"/>
  <c r="F26" i="25"/>
  <c r="F22" i="25"/>
  <c r="F20" i="25"/>
  <c r="F18" i="25"/>
  <c r="F7" i="25"/>
  <c r="F11" i="25"/>
  <c r="F55" i="25"/>
  <c r="F52" i="25"/>
  <c r="F48" i="25"/>
  <c r="F45" i="25"/>
  <c r="F43" i="25"/>
  <c r="F41" i="25"/>
  <c r="F37" i="25"/>
  <c r="F35" i="25"/>
  <c r="F33" i="25"/>
  <c r="F29" i="25"/>
  <c r="F27" i="25"/>
  <c r="F21" i="25"/>
  <c r="F19" i="25"/>
  <c r="F10" i="25"/>
  <c r="F9" i="25"/>
  <c r="F38" i="24"/>
  <c r="F33" i="24"/>
  <c r="F26" i="24"/>
  <c r="F18" i="24"/>
  <c r="F12" i="24"/>
  <c r="F7" i="24"/>
  <c r="F52" i="24"/>
  <c r="F43" i="24"/>
  <c r="F41" i="24"/>
  <c r="F28" i="24"/>
  <c r="F22" i="24"/>
  <c r="F20" i="24"/>
  <c r="F49" i="24"/>
  <c r="F40" i="24"/>
  <c r="F35" i="24"/>
  <c r="F47" i="24"/>
  <c r="F17" i="24"/>
  <c r="F27" i="24"/>
  <c r="F37" i="24"/>
  <c r="F50" i="24"/>
  <c r="F51" i="24"/>
  <c r="F55" i="24"/>
  <c r="F48" i="24"/>
  <c r="F11" i="24"/>
  <c r="F25" i="24"/>
  <c r="F34" i="24"/>
  <c r="F45" i="24"/>
  <c r="F39" i="24"/>
  <c r="F31" i="24"/>
  <c r="F54" i="24"/>
  <c r="F9" i="24"/>
  <c r="F19" i="24"/>
  <c r="F29" i="24"/>
  <c r="F44" i="24"/>
  <c r="F10" i="24"/>
  <c r="F21" i="24"/>
  <c r="F42" i="24"/>
  <c r="F36" i="24"/>
  <c r="F32" i="24"/>
  <c r="G9" i="65" l="1"/>
  <c r="Z8" i="94" s="1"/>
  <c r="F9" i="66"/>
  <c r="AA8" i="94" s="1"/>
  <c r="F10" i="65"/>
  <c r="Y9" i="94" s="1"/>
  <c r="G9" i="62"/>
  <c r="X8" i="94" s="1"/>
  <c r="F10" i="61"/>
  <c r="G9" i="94" s="1"/>
  <c r="F9" i="56"/>
  <c r="S8" i="94" s="1"/>
  <c r="G10" i="62"/>
  <c r="X9" i="94" s="1"/>
  <c r="G10" i="56"/>
  <c r="T9" i="94" s="1"/>
  <c r="G10" i="52"/>
  <c r="R9" i="94" s="1"/>
  <c r="F9" i="54"/>
  <c r="I8" i="94" s="1"/>
  <c r="G9" i="52"/>
  <c r="R8" i="94" s="1"/>
  <c r="G10" i="55"/>
  <c r="P9" i="94" s="1"/>
  <c r="F9" i="55"/>
  <c r="O8" i="94" s="1"/>
  <c r="F10" i="54"/>
  <c r="I9" i="94" s="1"/>
  <c r="F10" i="53"/>
  <c r="M9" i="94" s="1"/>
  <c r="G9" i="53"/>
  <c r="N8" i="94" s="1"/>
  <c r="K9" i="94" l="1"/>
  <c r="G10" i="61"/>
  <c r="H9" i="94" s="1"/>
  <c r="F9" i="52"/>
  <c r="Q8" i="94" s="1"/>
  <c r="U8" i="94" s="1"/>
  <c r="G9" i="66"/>
  <c r="AB8" i="94" s="1"/>
  <c r="AD8" i="94" s="1"/>
  <c r="F10" i="56"/>
  <c r="S9" i="94" s="1"/>
  <c r="G9" i="56"/>
  <c r="T8" i="94" s="1"/>
  <c r="G10" i="54"/>
  <c r="J9" i="94" s="1"/>
  <c r="F9" i="62"/>
  <c r="W8" i="94" s="1"/>
  <c r="F9" i="65"/>
  <c r="Y8" i="94" s="1"/>
  <c r="G10" i="65"/>
  <c r="Z9" i="94" s="1"/>
  <c r="F10" i="55"/>
  <c r="O9" i="94" s="1"/>
  <c r="F10" i="52"/>
  <c r="Q9" i="94" s="1"/>
  <c r="G10" i="53"/>
  <c r="N9" i="94" s="1"/>
  <c r="V9" i="94" s="1"/>
  <c r="F10" i="62"/>
  <c r="W9" i="94" s="1"/>
  <c r="G9" i="55"/>
  <c r="P8" i="94" s="1"/>
  <c r="G9" i="54"/>
  <c r="J8" i="94" s="1"/>
  <c r="F9" i="61"/>
  <c r="G8" i="94" s="1"/>
  <c r="K8" i="94" s="1"/>
  <c r="G9" i="61"/>
  <c r="H8" i="94" s="1"/>
  <c r="G10" i="66"/>
  <c r="AB9" i="94" s="1"/>
  <c r="F10" i="66"/>
  <c r="AA9" i="94" s="1"/>
  <c r="AC8" i="94" l="1"/>
  <c r="E9" i="93"/>
  <c r="AD9" i="94"/>
  <c r="AJ9" i="94" s="1"/>
  <c r="L10" i="93" s="1"/>
  <c r="V8" i="94"/>
  <c r="AH8" i="94" s="1"/>
  <c r="U9" i="94"/>
  <c r="AG8" i="94"/>
  <c r="L9" i="94"/>
  <c r="F10" i="93" s="1"/>
  <c r="L8" i="94"/>
  <c r="F9" i="93" s="1"/>
  <c r="AC9" i="94"/>
  <c r="AI9" i="94" s="1"/>
  <c r="K10" i="93" s="1"/>
  <c r="AI8" i="94"/>
  <c r="K9" i="93" s="1"/>
  <c r="AH9" i="94"/>
  <c r="AE9" i="94"/>
  <c r="AF8" i="94"/>
  <c r="AJ8" i="94"/>
  <c r="L9" i="93" s="1"/>
  <c r="AE8" i="94"/>
  <c r="D72" i="53"/>
  <c r="AF9" i="94" l="1"/>
  <c r="E10" i="93"/>
  <c r="J10" i="93"/>
  <c r="AL9" i="94"/>
  <c r="N10" i="93" s="1"/>
  <c r="I9" i="93"/>
  <c r="AK8" i="94"/>
  <c r="M9" i="93" s="1"/>
  <c r="J9" i="93"/>
  <c r="AL8" i="94"/>
  <c r="N9" i="93" s="1"/>
  <c r="AG9" i="94"/>
  <c r="AK9" i="94" s="1"/>
  <c r="M10" i="93" s="1"/>
  <c r="C8" i="53"/>
  <c r="F8" i="53" s="1"/>
  <c r="M7" i="94" s="1"/>
  <c r="U7" i="94" s="1"/>
  <c r="E8" i="93" s="1"/>
  <c r="C27" i="53"/>
  <c r="I10" i="93" l="1"/>
  <c r="AG7" i="94"/>
  <c r="I8" i="93" s="1"/>
  <c r="G8" i="53"/>
  <c r="N7" i="94" s="1"/>
  <c r="V7" i="94" s="1"/>
  <c r="F8" i="93" s="1"/>
  <c r="F27" i="53"/>
  <c r="G27" i="53"/>
  <c r="N57" i="94" l="1"/>
  <c r="AJ57" i="94" s="1"/>
  <c r="L13" i="93" s="1"/>
  <c r="N25" i="94"/>
  <c r="M57" i="94"/>
  <c r="U57" i="94" s="1"/>
  <c r="E13" i="93" s="1"/>
  <c r="M25" i="94"/>
  <c r="U25" i="94" s="1"/>
  <c r="AG25" i="94" s="1"/>
  <c r="AH7" i="94"/>
  <c r="J8" i="93" s="1"/>
  <c r="V57" i="94"/>
  <c r="F13" i="93" s="1"/>
  <c r="K36" i="57"/>
  <c r="L36" i="57" s="1"/>
  <c r="C24" i="94" s="1"/>
  <c r="AK24" i="94" s="1"/>
  <c r="AG57" i="94" l="1"/>
  <c r="V25" i="94"/>
  <c r="AH25" i="94" s="1"/>
  <c r="AJ25" i="94"/>
  <c r="AH57" i="94"/>
  <c r="K47" i="57"/>
  <c r="C70" i="51"/>
  <c r="C70" i="25"/>
  <c r="C66" i="57"/>
  <c r="K41" i="57" s="1"/>
  <c r="K52" i="57" s="1"/>
  <c r="K37" i="57"/>
  <c r="C70" i="24"/>
  <c r="L37" i="57" l="1"/>
  <c r="C25" i="94" s="1"/>
  <c r="AK25" i="94" s="1"/>
  <c r="L47" i="57"/>
  <c r="D24" i="94" s="1"/>
  <c r="AL24" i="94" s="1"/>
  <c r="C39" i="57"/>
  <c r="C50" i="57" s="1"/>
  <c r="C42" i="57"/>
  <c r="C53" i="57" s="1"/>
  <c r="J40" i="57"/>
  <c r="J51" i="57" s="1"/>
  <c r="G40" i="57"/>
  <c r="G51" i="57" s="1"/>
  <c r="K38" i="57"/>
  <c r="K49" i="57" s="1"/>
  <c r="K39" i="57"/>
  <c r="K50" i="57" s="1"/>
  <c r="G41" i="57"/>
  <c r="G52" i="57" s="1"/>
  <c r="K40" i="57"/>
  <c r="K51" i="57" s="1"/>
  <c r="G42" i="57"/>
  <c r="G53" i="57" s="1"/>
  <c r="J39" i="57"/>
  <c r="J50" i="57" s="1"/>
  <c r="H39" i="57"/>
  <c r="H50" i="57" s="1"/>
  <c r="F42" i="57"/>
  <c r="F53" i="57" s="1"/>
  <c r="F41" i="57"/>
  <c r="F52" i="57" s="1"/>
  <c r="D39" i="57"/>
  <c r="D50" i="57" s="1"/>
  <c r="H41" i="57"/>
  <c r="H52" i="57" s="1"/>
  <c r="H42" i="57"/>
  <c r="H53" i="57" s="1"/>
  <c r="C40" i="57"/>
  <c r="C51" i="57" s="1"/>
  <c r="H40" i="57"/>
  <c r="H51" i="57" s="1"/>
  <c r="G38" i="57"/>
  <c r="G49" i="57" s="1"/>
  <c r="D38" i="57"/>
  <c r="D49" i="57" s="1"/>
  <c r="C38" i="57"/>
  <c r="H38" i="57"/>
  <c r="H49" i="57" s="1"/>
  <c r="D41" i="57"/>
  <c r="D52" i="57" s="1"/>
  <c r="K42" i="57"/>
  <c r="K53" i="57" s="1"/>
  <c r="F38" i="57"/>
  <c r="F49" i="57" s="1"/>
  <c r="D42" i="57"/>
  <c r="D53" i="57" s="1"/>
  <c r="J38" i="57"/>
  <c r="J49" i="57" s="1"/>
  <c r="J42" i="57"/>
  <c r="J53" i="57" s="1"/>
  <c r="C41" i="57"/>
  <c r="F40" i="57"/>
  <c r="F51" i="57" s="1"/>
  <c r="J41" i="57"/>
  <c r="J52" i="57" s="1"/>
  <c r="F39" i="57"/>
  <c r="F50" i="57" s="1"/>
  <c r="D40" i="57"/>
  <c r="D51" i="57" s="1"/>
  <c r="G39" i="57"/>
  <c r="G50" i="57" s="1"/>
  <c r="D77" i="65"/>
  <c r="C11" i="65" s="1"/>
  <c r="K48" i="57"/>
  <c r="D77" i="55"/>
  <c r="C11" i="55" s="1"/>
  <c r="D77" i="52"/>
  <c r="C11" i="52" s="1"/>
  <c r="D77" i="56"/>
  <c r="C11" i="56" s="1"/>
  <c r="D77" i="54"/>
  <c r="C11" i="54" s="1"/>
  <c r="D77" i="62"/>
  <c r="C11" i="62" s="1"/>
  <c r="C71" i="25"/>
  <c r="C71" i="51"/>
  <c r="C8" i="51" s="1"/>
  <c r="C71" i="24"/>
  <c r="D77" i="61"/>
  <c r="C11" i="61" s="1"/>
  <c r="D77" i="53"/>
  <c r="C11" i="53" s="1"/>
  <c r="D77" i="66"/>
  <c r="C11" i="66" s="1"/>
  <c r="L48" i="57" l="1"/>
  <c r="D25" i="94" s="1"/>
  <c r="AL25" i="94" s="1"/>
  <c r="L41" i="57"/>
  <c r="C56" i="94" s="1"/>
  <c r="AK56" i="94" s="1"/>
  <c r="L38" i="57"/>
  <c r="C16" i="94" s="1"/>
  <c r="AK16" i="94" s="1"/>
  <c r="L40" i="57"/>
  <c r="C55" i="94" s="1"/>
  <c r="AK55" i="94" s="1"/>
  <c r="C49" i="57"/>
  <c r="L49" i="57" s="1"/>
  <c r="D16" i="94" s="1"/>
  <c r="AL16" i="94" s="1"/>
  <c r="L53" i="57"/>
  <c r="D53" i="94" s="1"/>
  <c r="AL53" i="94" s="1"/>
  <c r="L42" i="57"/>
  <c r="C53" i="94" s="1"/>
  <c r="AK53" i="94" s="1"/>
  <c r="L51" i="57"/>
  <c r="D55" i="94" s="1"/>
  <c r="AL55" i="94" s="1"/>
  <c r="C52" i="57"/>
  <c r="L52" i="57" s="1"/>
  <c r="D56" i="94" s="1"/>
  <c r="AL56" i="94" s="1"/>
  <c r="L50" i="57"/>
  <c r="D22" i="94" s="1"/>
  <c r="AL22" i="94" s="1"/>
  <c r="L39" i="57"/>
  <c r="C22" i="94" s="1"/>
  <c r="AK22" i="94" s="1"/>
  <c r="C8" i="25"/>
  <c r="F8" i="25" s="1"/>
  <c r="G11" i="53"/>
  <c r="N10" i="94" s="1"/>
  <c r="F11" i="53"/>
  <c r="M10" i="94" s="1"/>
  <c r="F11" i="65"/>
  <c r="Y10" i="94" s="1"/>
  <c r="G11" i="65"/>
  <c r="Z10" i="94" s="1"/>
  <c r="G11" i="62"/>
  <c r="X10" i="94" s="1"/>
  <c r="F11" i="62"/>
  <c r="W10" i="94" s="1"/>
  <c r="F11" i="56"/>
  <c r="S10" i="94" s="1"/>
  <c r="G11" i="56"/>
  <c r="T10" i="94" s="1"/>
  <c r="F11" i="55"/>
  <c r="O10" i="94" s="1"/>
  <c r="G11" i="55"/>
  <c r="P10" i="94" s="1"/>
  <c r="F11" i="54"/>
  <c r="I10" i="94" s="1"/>
  <c r="G11" i="54"/>
  <c r="J10" i="94" s="1"/>
  <c r="F11" i="66"/>
  <c r="AA10" i="94" s="1"/>
  <c r="G11" i="66"/>
  <c r="AB10" i="94" s="1"/>
  <c r="G11" i="52"/>
  <c r="R10" i="94" s="1"/>
  <c r="F11" i="52"/>
  <c r="Q10" i="94" s="1"/>
  <c r="AC10" i="94" l="1"/>
  <c r="U10" i="94"/>
  <c r="AD10" i="94"/>
  <c r="V10" i="94"/>
  <c r="C57" i="94"/>
  <c r="F8" i="51"/>
  <c r="F7" i="94" s="1"/>
  <c r="E8" i="51"/>
  <c r="E7" i="94" s="1"/>
  <c r="C8" i="24"/>
  <c r="F8" i="24" s="1"/>
  <c r="E8" i="25"/>
  <c r="F11" i="61"/>
  <c r="G10" i="94" s="1"/>
  <c r="G11" i="61"/>
  <c r="H10" i="94" s="1"/>
  <c r="AG10" i="94" l="1"/>
  <c r="AI10" i="94"/>
  <c r="K11" i="93" s="1"/>
  <c r="AJ10" i="94"/>
  <c r="L11" i="93" s="1"/>
  <c r="AH10" i="94"/>
  <c r="G13" i="93"/>
  <c r="I13" i="93" s="1"/>
  <c r="AK57" i="94"/>
  <c r="M13" i="93" s="1"/>
  <c r="L10" i="94"/>
  <c r="F11" i="93" s="1"/>
  <c r="K10" i="94"/>
  <c r="E11" i="93" s="1"/>
  <c r="C8" i="93"/>
  <c r="AI7" i="94"/>
  <c r="AJ7" i="94"/>
  <c r="D8" i="93"/>
  <c r="D57" i="94"/>
  <c r="E8" i="24"/>
  <c r="H13" i="93" l="1"/>
  <c r="J13" i="93" s="1"/>
  <c r="AL57" i="94"/>
  <c r="N13" i="93" s="1"/>
  <c r="AE10" i="94"/>
  <c r="AF10" i="94"/>
  <c r="L8" i="93"/>
  <c r="AL7" i="94"/>
  <c r="N8" i="93" s="1"/>
  <c r="K8" i="93"/>
  <c r="AK7" i="94"/>
  <c r="M8" i="93" s="1"/>
  <c r="J11" i="93" l="1"/>
  <c r="AL10" i="94"/>
  <c r="N11" i="93" s="1"/>
  <c r="I11" i="93"/>
  <c r="AK10" i="94"/>
  <c r="M11" i="93" s="1"/>
</calcChain>
</file>

<file path=xl/comments1.xml><?xml version="1.0" encoding="utf-8"?>
<comments xmlns="http://schemas.openxmlformats.org/spreadsheetml/2006/main">
  <authors>
    <author>Christel Olsen</author>
    <author>eottersburg</author>
  </authors>
  <commentList>
    <comment ref="B9" authorId="0">
      <text>
        <r>
          <rPr>
            <b/>
            <sz val="9"/>
            <color indexed="81"/>
            <rFont val="Tahoma"/>
            <family val="2"/>
          </rPr>
          <t>Christel Olsen: See</t>
        </r>
        <r>
          <rPr>
            <sz val="9"/>
            <color indexed="81"/>
            <rFont val="Tahoma"/>
            <family val="2"/>
          </rPr>
          <t xml:space="preserve">
P:\130\015\R\PSCAA Competness Letter\Response 2017-08-11\[Attachment D Waste Gas Case Data_2017-08-09.xlsx]Feed Gas S Summary (B17)</t>
        </r>
      </text>
    </comment>
    <comment ref="A20" authorId="1">
      <text>
        <r>
          <rPr>
            <b/>
            <sz val="9"/>
            <color indexed="81"/>
            <rFont val="Tahoma"/>
            <family val="2"/>
          </rPr>
          <t>eottersburg:</t>
        </r>
        <r>
          <rPr>
            <sz val="9"/>
            <color indexed="81"/>
            <rFont val="Tahoma"/>
            <family val="2"/>
          </rPr>
          <t xml:space="preserve">
\\edmdata01\projects\130\015\R\PSCAA Competness Letter\Response 2017-08-11\Attachment D Waste Gas Case Data_2017-08-09.xlsx</t>
        </r>
      </text>
    </comment>
  </commentList>
</comments>
</file>

<file path=xl/comments2.xml><?xml version="1.0" encoding="utf-8"?>
<comments xmlns="http://schemas.openxmlformats.org/spreadsheetml/2006/main">
  <authors>
    <author>eottersburg</author>
  </authors>
  <commentList>
    <comment ref="B100" authorId="0">
      <text>
        <r>
          <rPr>
            <b/>
            <sz val="9"/>
            <color indexed="81"/>
            <rFont val="Tahoma"/>
            <family val="2"/>
          </rPr>
          <t>eottersburg:</t>
        </r>
        <r>
          <rPr>
            <sz val="9"/>
            <color indexed="81"/>
            <rFont val="Tahoma"/>
            <family val="2"/>
          </rPr>
          <t xml:space="preserve">
C = pollutant concentration, ng/dscm (lb/dscf), determined by multiplying the average concentration (ppm) for each one-hour period by 4.15 × 104 M ng/dscm per ppm (2.59 × 10−9 M lb/dscf per ppm) where M = pollutant molecular weight, g/g-mole (lb/lb-mole). M = 64.07 for SO2 and 46.01 for NOX.
F = For gaseous fossil fuels, F = 2.347 × 10−7 dscm/J (8,740 dscf/MMBtu).</t>
        </r>
      </text>
    </comment>
  </commentList>
</comments>
</file>

<file path=xl/sharedStrings.xml><?xml version="1.0" encoding="utf-8"?>
<sst xmlns="http://schemas.openxmlformats.org/spreadsheetml/2006/main" count="3250" uniqueCount="372">
  <si>
    <t>CO</t>
  </si>
  <si>
    <t>VOC</t>
  </si>
  <si>
    <t>Total</t>
  </si>
  <si>
    <t>--</t>
  </si>
  <si>
    <t>2-Methylnaphthalene</t>
  </si>
  <si>
    <t>3-Methylchloranthrene</t>
  </si>
  <si>
    <t>7,12-Dimethylbenz(a)anthracene</t>
  </si>
  <si>
    <t>Acenaphthene</t>
  </si>
  <si>
    <t>Acenaphthylene</t>
  </si>
  <si>
    <t>Acetaldehyde</t>
  </si>
  <si>
    <t>Acrolein</t>
  </si>
  <si>
    <t>Anthracene</t>
  </si>
  <si>
    <t>Benzene</t>
  </si>
  <si>
    <t>Benzo(a)pyrene</t>
  </si>
  <si>
    <t>Benzo(b)fluoranthene</t>
  </si>
  <si>
    <t>Benzo(g,h,i)perylene</t>
  </si>
  <si>
    <t>Benzo(k)fluoranthene</t>
  </si>
  <si>
    <t>Chrysene</t>
  </si>
  <si>
    <t>Dibenz(a,h)anthracene</t>
  </si>
  <si>
    <t>Ethylbenzene</t>
  </si>
  <si>
    <t>Fluoranthene</t>
  </si>
  <si>
    <t>Fluorene</t>
  </si>
  <si>
    <t>Formaldehyde</t>
  </si>
  <si>
    <t>Hexane</t>
  </si>
  <si>
    <t>Naphthalene</t>
  </si>
  <si>
    <t>Phenanthrene</t>
  </si>
  <si>
    <t>Pyrene</t>
  </si>
  <si>
    <t>Toluene</t>
  </si>
  <si>
    <t>Xylenes</t>
  </si>
  <si>
    <t>Fuel</t>
  </si>
  <si>
    <t>Pollutant</t>
  </si>
  <si>
    <t>Emission Factor</t>
  </si>
  <si>
    <t>Notes:</t>
  </si>
  <si>
    <t>Arsenic</t>
  </si>
  <si>
    <t>Beryllium</t>
  </si>
  <si>
    <t>Cadmium</t>
  </si>
  <si>
    <t>Cobalt</t>
  </si>
  <si>
    <t>Copper</t>
  </si>
  <si>
    <t>Manganese</t>
  </si>
  <si>
    <t>Mercury</t>
  </si>
  <si>
    <t>Nickel</t>
  </si>
  <si>
    <t>Selenium</t>
  </si>
  <si>
    <t>Vanadium</t>
  </si>
  <si>
    <t>Phase</t>
  </si>
  <si>
    <t>Gas/Vapor</t>
  </si>
  <si>
    <t>Light Liquid</t>
  </si>
  <si>
    <t>Heavy Liquid</t>
  </si>
  <si>
    <t>Pump Seals</t>
  </si>
  <si>
    <t>Flanges/Connectors</t>
  </si>
  <si>
    <t>Total HAPs</t>
  </si>
  <si>
    <t>Diesel</t>
  </si>
  <si>
    <t>Propylene</t>
  </si>
  <si>
    <t>Indeno(1,2,3-cd)pyrene</t>
  </si>
  <si>
    <t>MMBtu/hr</t>
  </si>
  <si>
    <t>56-49-5</t>
  </si>
  <si>
    <t>57-97-6</t>
  </si>
  <si>
    <t>75-07-0</t>
  </si>
  <si>
    <t>107-02-8</t>
  </si>
  <si>
    <t>56-55-3</t>
  </si>
  <si>
    <t>71-43-2</t>
  </si>
  <si>
    <t>50-32-8</t>
  </si>
  <si>
    <t>205-99-2</t>
  </si>
  <si>
    <t>207-08-9</t>
  </si>
  <si>
    <t>218-01-9</t>
  </si>
  <si>
    <t>53-70-3</t>
  </si>
  <si>
    <t>50-00-0</t>
  </si>
  <si>
    <t>193-39-5</t>
  </si>
  <si>
    <t>91-20-3</t>
  </si>
  <si>
    <t>115-07-1</t>
  </si>
  <si>
    <t>7440-43-9</t>
  </si>
  <si>
    <t>7440-48-4</t>
  </si>
  <si>
    <t>7439-97-6</t>
  </si>
  <si>
    <t>7440-62-2</t>
  </si>
  <si>
    <t>630-08-0</t>
  </si>
  <si>
    <t>Enclosed Ground Flare</t>
  </si>
  <si>
    <t>scf/hr</t>
  </si>
  <si>
    <t>Ethylene</t>
  </si>
  <si>
    <t>Criteria Pollutants</t>
  </si>
  <si>
    <t xml:space="preserve">   Lead</t>
  </si>
  <si>
    <t>Hazardous Air Pollutants</t>
  </si>
  <si>
    <t>Chromium(total)</t>
  </si>
  <si>
    <t>Lead</t>
  </si>
  <si>
    <t>Polycyclic Organic Matter</t>
  </si>
  <si>
    <t>Benz(a)anthracene</t>
  </si>
  <si>
    <t>Dibenzo(a,h)anthracene</t>
  </si>
  <si>
    <t>Phenanathrene</t>
  </si>
  <si>
    <t>Calculations:</t>
  </si>
  <si>
    <t>Projected Hours of Operation (hrs/yr) =</t>
  </si>
  <si>
    <t>Equipment</t>
  </si>
  <si>
    <t>Fugitives</t>
  </si>
  <si>
    <t>Vaporizer</t>
  </si>
  <si>
    <t>Waste Gas</t>
  </si>
  <si>
    <t>Emergency Generator</t>
  </si>
  <si>
    <t>kW</t>
  </si>
  <si>
    <t>scf/min</t>
  </si>
  <si>
    <t>Regen Pretreatment Heater</t>
  </si>
  <si>
    <t>WPG Pretreatment Heater</t>
  </si>
  <si>
    <t>Sulfur Content of Fuel (ppm) =</t>
  </si>
  <si>
    <t>Potential Emissions</t>
  </si>
  <si>
    <t>(lb/MMcf)</t>
  </si>
  <si>
    <t>lb/gal</t>
  </si>
  <si>
    <t>VOCs</t>
  </si>
  <si>
    <t>lb/MMBtu</t>
  </si>
  <si>
    <t>Total PAHs</t>
  </si>
  <si>
    <t>Hourly Emissions (lb/hr) = [Emission Factor (lb/gal)] x [Fuel Consumption (gal/hr)]</t>
  </si>
  <si>
    <t>Hourly Emissions (lb/hr) = [Emission Factor (lbs/MMBtu)] x [Fuel Consumption (gal/hr)] x [Higher Heating Value (Btu/gal)] / [1,000,000 Btu/MMBtu]</t>
  </si>
  <si>
    <t>Power Output (hp) =</t>
  </si>
  <si>
    <t>Fuel Consumption (gal/hr) =</t>
  </si>
  <si>
    <t>High Heating Value (Btu/gal) =</t>
  </si>
  <si>
    <t>Annual Operating Hours (hr) =</t>
  </si>
  <si>
    <t>X</t>
  </si>
  <si>
    <t>Sulfur Content (ppm) =</t>
  </si>
  <si>
    <t xml:space="preserve">Density of Diesel (lb/gal) = </t>
  </si>
  <si>
    <t>(lbs/hr)</t>
  </si>
  <si>
    <t>(tons/yr)</t>
  </si>
  <si>
    <t>g/hp-hr</t>
  </si>
  <si>
    <t>Benzo(g,h,l)perylene</t>
  </si>
  <si>
    <t>Natural Gas</t>
  </si>
  <si>
    <t>Parameters</t>
  </si>
  <si>
    <t>Flue Gas Generated (dscf/MMBtu) =</t>
  </si>
  <si>
    <t>Heat Content (Btu/scf)</t>
  </si>
  <si>
    <t>Gas Density (lb/cf) =</t>
  </si>
  <si>
    <t>Natural gas density (lb/cf) =</t>
  </si>
  <si>
    <t>Density (lb/scf)</t>
  </si>
  <si>
    <r>
      <t>Pollutant Concentration NO</t>
    </r>
    <r>
      <rPr>
        <vertAlign val="subscript"/>
        <sz val="9"/>
        <rFont val="Calibri"/>
        <family val="2"/>
        <scheme val="minor"/>
      </rPr>
      <t>X</t>
    </r>
    <r>
      <rPr>
        <sz val="9"/>
        <rFont val="Calibri"/>
        <family val="2"/>
        <scheme val="minor"/>
      </rPr>
      <t xml:space="preserve"> (ppm) =</t>
    </r>
  </si>
  <si>
    <t>Case 3</t>
  </si>
  <si>
    <t>Case 4</t>
  </si>
  <si>
    <t>Case 5</t>
  </si>
  <si>
    <t>Fuel Heating Value (Btu/scf) =</t>
  </si>
  <si>
    <t>(tpy)</t>
  </si>
  <si>
    <t>Component</t>
  </si>
  <si>
    <t>Relief Valves</t>
  </si>
  <si>
    <t>Valves</t>
  </si>
  <si>
    <t>Compressor Seals</t>
  </si>
  <si>
    <t xml:space="preserve">Acid gas </t>
  </si>
  <si>
    <t>Fuel Gas</t>
  </si>
  <si>
    <t>Hydrocarbon Liquid</t>
  </si>
  <si>
    <t>Mixed Refrigerant</t>
  </si>
  <si>
    <t xml:space="preserve">Untreated Natural Gas </t>
  </si>
  <si>
    <t>Fluid Serviced</t>
  </si>
  <si>
    <t>m,p-Xylene</t>
  </si>
  <si>
    <t>o-Xylene</t>
  </si>
  <si>
    <t>(lb/hr)</t>
  </si>
  <si>
    <t>n-Hexane</t>
  </si>
  <si>
    <t>Hours of Operation (hrs/yr) =</t>
  </si>
  <si>
    <t xml:space="preserve">       Annual Emissions (tpy) = [Emission Factor (lb/hr per component)] x [Component Count] x [Pollutant Content (%wt)] x [1 - LDAR Control Efficiency (%)] x [Hours of Operation (hrs/yr)] / [2,000 lb/ton]</t>
  </si>
  <si>
    <t>95-47-6</t>
  </si>
  <si>
    <t>106-42-3</t>
  </si>
  <si>
    <t>lb/hr</t>
  </si>
  <si>
    <t>tpy</t>
  </si>
  <si>
    <t>100-41-4</t>
  </si>
  <si>
    <t>106-46-7</t>
  </si>
  <si>
    <t>Ammonia</t>
  </si>
  <si>
    <t>7664-41-7</t>
  </si>
  <si>
    <t>110-54-3</t>
  </si>
  <si>
    <t>Hydrogen sulfide</t>
  </si>
  <si>
    <t>Destruction Efficiency (%) =</t>
  </si>
  <si>
    <t>Fluid</t>
  </si>
  <si>
    <t>Hazardous Air Pollutants/Toxic Air Pollutants</t>
  </si>
  <si>
    <t>LDAR</t>
  </si>
  <si>
    <t>POTENTIAL EMISSIONS</t>
  </si>
  <si>
    <t>Case 1</t>
  </si>
  <si>
    <t>Truck Loading</t>
  </si>
  <si>
    <t>FLUID HAP/TAP CONTENT</t>
  </si>
  <si>
    <t>Waste Gas Flow</t>
  </si>
  <si>
    <t>Waste Gas Heat Input</t>
  </si>
  <si>
    <t>Maximum Heat Input (MMBtu/hr) =</t>
  </si>
  <si>
    <t>Pollutant Concentration CO (ppm) =</t>
  </si>
  <si>
    <t>(lb/MMBtu)</t>
  </si>
  <si>
    <t>lb/MMscf</t>
  </si>
  <si>
    <t>Heat Input (MMBtu/hr) =</t>
  </si>
  <si>
    <t>Maximum Gas Flow (scf/hr) =</t>
  </si>
  <si>
    <t>VOC Content (wt%)</t>
  </si>
  <si>
    <t xml:space="preserve"> VOC Concentration (wt%) =</t>
  </si>
  <si>
    <t>Sulfur Content of Gas (ppmw) =</t>
  </si>
  <si>
    <t>Sulfur Content of Fuel (ppmw) =</t>
  </si>
  <si>
    <t>NA</t>
  </si>
  <si>
    <r>
      <t>Benzene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t>
    </r>
  </si>
  <si>
    <r>
      <t>Ethylbenzene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t>
    </r>
  </si>
  <si>
    <r>
      <t>m,p-Xylene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t>
    </r>
  </si>
  <si>
    <r>
      <t>o-Xylene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t>
    </r>
  </si>
  <si>
    <r>
      <t>Toluene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t>
    </r>
  </si>
  <si>
    <t>Natural Gas Heating Value (Btu/scf) =</t>
  </si>
  <si>
    <t>Natural Gas Density (lb/scf) =</t>
  </si>
  <si>
    <r>
      <t>SO</t>
    </r>
    <r>
      <rPr>
        <vertAlign val="subscript"/>
        <sz val="9"/>
        <rFont val="Calibri"/>
        <family val="2"/>
        <scheme val="minor"/>
      </rPr>
      <t>2</t>
    </r>
  </si>
  <si>
    <r>
      <t>PM/PM</t>
    </r>
    <r>
      <rPr>
        <vertAlign val="subscript"/>
        <sz val="9"/>
        <rFont val="Calibri"/>
        <family val="2"/>
        <scheme val="minor"/>
      </rPr>
      <t>10</t>
    </r>
    <r>
      <rPr>
        <sz val="9"/>
        <rFont val="Calibri"/>
        <family val="2"/>
        <scheme val="minor"/>
      </rPr>
      <t>/PM</t>
    </r>
    <r>
      <rPr>
        <vertAlign val="subscript"/>
        <sz val="9"/>
        <rFont val="Calibri"/>
        <family val="2"/>
        <scheme val="minor"/>
      </rPr>
      <t>2.5</t>
    </r>
  </si>
  <si>
    <r>
      <t>NO</t>
    </r>
    <r>
      <rPr>
        <vertAlign val="subscript"/>
        <sz val="9"/>
        <rFont val="Calibri"/>
        <family val="2"/>
        <scheme val="minor"/>
      </rPr>
      <t>X</t>
    </r>
  </si>
  <si>
    <t>Percent Oxygen =</t>
  </si>
  <si>
    <t>trucks/yr</t>
  </si>
  <si>
    <t>Project Emissions Summary</t>
  </si>
  <si>
    <t>Combusted Gas Characteristics</t>
  </si>
  <si>
    <t>Potential Emissions from Vaporizer</t>
  </si>
  <si>
    <t>Case 1 - Potential Emissions from Enclosed Ground Flare Burners</t>
  </si>
  <si>
    <t>Case 2 - Potential Emissions from Enclosed Ground Flare Burners</t>
  </si>
  <si>
    <t>Case 3 - Potential Emissions from Enclosed Ground Flare Burners</t>
  </si>
  <si>
    <t>Case 5 - Potential Emissions from Enclosed Ground Flare Burners</t>
  </si>
  <si>
    <t>Case 4 - Potential Emissions from Enclosed Ground Flare Burners</t>
  </si>
  <si>
    <t>Fugitive Emissions from Equipment Leaks</t>
  </si>
  <si>
    <t>Enclosed Ground Flare (Worst-case)</t>
  </si>
  <si>
    <t>Emission Unit Inventory and Rates</t>
  </si>
  <si>
    <r>
      <t>Rate</t>
    </r>
    <r>
      <rPr>
        <b/>
        <vertAlign val="superscript"/>
        <sz val="9"/>
        <rFont val="Calibri"/>
        <family val="2"/>
        <scheme val="minor"/>
      </rPr>
      <t>a</t>
    </r>
  </si>
  <si>
    <r>
      <rPr>
        <vertAlign val="superscript"/>
        <sz val="9"/>
        <color theme="1"/>
        <rFont val="Calibri"/>
        <family val="2"/>
        <scheme val="minor"/>
      </rPr>
      <t>a</t>
    </r>
    <r>
      <rPr>
        <sz val="9"/>
        <color theme="1"/>
        <rFont val="Calibri"/>
        <family val="2"/>
        <scheme val="minor"/>
      </rPr>
      <t xml:space="preserve"> Provided by CB&amp;I.</t>
    </r>
  </si>
  <si>
    <r>
      <t>Hours of Operation</t>
    </r>
    <r>
      <rPr>
        <b/>
        <vertAlign val="superscript"/>
        <sz val="9"/>
        <rFont val="Calibri"/>
        <family val="2"/>
        <scheme val="minor"/>
      </rPr>
      <t>a</t>
    </r>
  </si>
  <si>
    <r>
      <t>Flared Waste Gas</t>
    </r>
    <r>
      <rPr>
        <b/>
        <vertAlign val="superscript"/>
        <sz val="9"/>
        <color theme="1"/>
        <rFont val="Calibri"/>
        <family val="2"/>
        <scheme val="minor"/>
      </rPr>
      <t>a</t>
    </r>
  </si>
  <si>
    <r>
      <t>Natural Gas</t>
    </r>
    <r>
      <rPr>
        <b/>
        <vertAlign val="superscript"/>
        <sz val="9"/>
        <rFont val="Calibri"/>
        <family val="2"/>
        <scheme val="minor"/>
      </rPr>
      <t>a</t>
    </r>
  </si>
  <si>
    <r>
      <t>Benzene Concentration (</t>
    </r>
    <r>
      <rPr>
        <sz val="9"/>
        <color theme="1"/>
        <rFont val="Symbol"/>
        <family val="1"/>
        <charset val="2"/>
      </rPr>
      <t>m</t>
    </r>
    <r>
      <rPr>
        <sz val="9"/>
        <color theme="1"/>
        <rFont val="Calibri"/>
        <family val="2"/>
        <scheme val="minor"/>
      </rPr>
      <t>g/m</t>
    </r>
    <r>
      <rPr>
        <vertAlign val="superscript"/>
        <sz val="9"/>
        <color theme="1"/>
        <rFont val="Calibri"/>
        <family val="2"/>
        <scheme val="minor"/>
      </rPr>
      <t>3</t>
    </r>
    <r>
      <rPr>
        <sz val="9"/>
        <color theme="1"/>
        <rFont val="Calibri"/>
        <family val="2"/>
        <scheme val="minor"/>
      </rPr>
      <t>)</t>
    </r>
    <r>
      <rPr>
        <vertAlign val="superscript"/>
        <sz val="9"/>
        <color theme="1"/>
        <rFont val="Calibri"/>
        <family val="2"/>
        <scheme val="minor"/>
      </rPr>
      <t>b</t>
    </r>
  </si>
  <si>
    <r>
      <t>Ethylbenzene Concentration (</t>
    </r>
    <r>
      <rPr>
        <sz val="9"/>
        <color theme="1"/>
        <rFont val="Symbol"/>
        <family val="1"/>
        <charset val="2"/>
      </rPr>
      <t>m</t>
    </r>
    <r>
      <rPr>
        <sz val="9"/>
        <color theme="1"/>
        <rFont val="Calibri"/>
        <family val="2"/>
        <scheme val="minor"/>
      </rPr>
      <t>g/m</t>
    </r>
    <r>
      <rPr>
        <vertAlign val="superscript"/>
        <sz val="9"/>
        <color theme="1"/>
        <rFont val="Calibri"/>
        <family val="2"/>
        <scheme val="minor"/>
      </rPr>
      <t>3</t>
    </r>
    <r>
      <rPr>
        <sz val="9"/>
        <color theme="1"/>
        <rFont val="Calibri"/>
        <family val="2"/>
        <scheme val="minor"/>
      </rPr>
      <t>)</t>
    </r>
    <r>
      <rPr>
        <vertAlign val="superscript"/>
        <sz val="9"/>
        <color theme="1"/>
        <rFont val="Calibri"/>
        <family val="2"/>
        <scheme val="minor"/>
      </rPr>
      <t>b</t>
    </r>
  </si>
  <si>
    <r>
      <t>m,p-Xylene Concentration (</t>
    </r>
    <r>
      <rPr>
        <sz val="9"/>
        <color theme="1"/>
        <rFont val="Symbol"/>
        <family val="1"/>
        <charset val="2"/>
      </rPr>
      <t>m</t>
    </r>
    <r>
      <rPr>
        <sz val="9"/>
        <color theme="1"/>
        <rFont val="Calibri"/>
        <family val="2"/>
        <scheme val="minor"/>
      </rPr>
      <t>g/m</t>
    </r>
    <r>
      <rPr>
        <vertAlign val="superscript"/>
        <sz val="9"/>
        <color theme="1"/>
        <rFont val="Calibri"/>
        <family val="2"/>
        <scheme val="minor"/>
      </rPr>
      <t>3</t>
    </r>
    <r>
      <rPr>
        <sz val="9"/>
        <color theme="1"/>
        <rFont val="Calibri"/>
        <family val="2"/>
        <scheme val="minor"/>
      </rPr>
      <t>)</t>
    </r>
    <r>
      <rPr>
        <vertAlign val="superscript"/>
        <sz val="9"/>
        <color theme="1"/>
        <rFont val="Calibri"/>
        <family val="2"/>
        <scheme val="minor"/>
      </rPr>
      <t>b</t>
    </r>
  </si>
  <si>
    <r>
      <t>o-Xylene Concentration (</t>
    </r>
    <r>
      <rPr>
        <sz val="9"/>
        <color theme="1"/>
        <rFont val="Symbol"/>
        <family val="1"/>
        <charset val="2"/>
      </rPr>
      <t>m</t>
    </r>
    <r>
      <rPr>
        <sz val="9"/>
        <color theme="1"/>
        <rFont val="Calibri"/>
        <family val="2"/>
        <scheme val="minor"/>
      </rPr>
      <t>g/m</t>
    </r>
    <r>
      <rPr>
        <vertAlign val="superscript"/>
        <sz val="9"/>
        <color theme="1"/>
        <rFont val="Calibri"/>
        <family val="2"/>
        <scheme val="minor"/>
      </rPr>
      <t>3</t>
    </r>
    <r>
      <rPr>
        <sz val="9"/>
        <color theme="1"/>
        <rFont val="Calibri"/>
        <family val="2"/>
        <scheme val="minor"/>
      </rPr>
      <t>)</t>
    </r>
    <r>
      <rPr>
        <vertAlign val="superscript"/>
        <sz val="9"/>
        <color theme="1"/>
        <rFont val="Calibri"/>
        <family val="2"/>
        <scheme val="minor"/>
      </rPr>
      <t>b</t>
    </r>
  </si>
  <si>
    <r>
      <t>Toluene Concentration (</t>
    </r>
    <r>
      <rPr>
        <sz val="9"/>
        <color theme="1"/>
        <rFont val="Symbol"/>
        <family val="1"/>
        <charset val="2"/>
      </rPr>
      <t>m</t>
    </r>
    <r>
      <rPr>
        <sz val="9"/>
        <color theme="1"/>
        <rFont val="Calibri"/>
        <family val="2"/>
        <scheme val="minor"/>
      </rPr>
      <t>g/m</t>
    </r>
    <r>
      <rPr>
        <vertAlign val="superscript"/>
        <sz val="9"/>
        <color theme="1"/>
        <rFont val="Calibri"/>
        <family val="2"/>
        <scheme val="minor"/>
      </rPr>
      <t>3</t>
    </r>
    <r>
      <rPr>
        <sz val="9"/>
        <color theme="1"/>
        <rFont val="Calibri"/>
        <family val="2"/>
        <scheme val="minor"/>
      </rPr>
      <t>)</t>
    </r>
    <r>
      <rPr>
        <vertAlign val="superscript"/>
        <sz val="9"/>
        <color theme="1"/>
        <rFont val="Calibri"/>
        <family val="2"/>
        <scheme val="minor"/>
      </rPr>
      <t>b</t>
    </r>
  </si>
  <si>
    <r>
      <t>Hourly</t>
    </r>
    <r>
      <rPr>
        <b/>
        <vertAlign val="superscript"/>
        <sz val="9"/>
        <rFont val="Calibri"/>
        <family val="2"/>
        <scheme val="minor"/>
      </rPr>
      <t>a</t>
    </r>
  </si>
  <si>
    <r>
      <t>Annual</t>
    </r>
    <r>
      <rPr>
        <b/>
        <vertAlign val="superscript"/>
        <sz val="9"/>
        <rFont val="Calibri"/>
        <family val="2"/>
        <scheme val="minor"/>
      </rPr>
      <t>b</t>
    </r>
  </si>
  <si>
    <t>c</t>
  </si>
  <si>
    <r>
      <t>NO</t>
    </r>
    <r>
      <rPr>
        <vertAlign val="subscript"/>
        <sz val="9"/>
        <rFont val="Calibri"/>
        <family val="2"/>
        <scheme val="minor"/>
      </rPr>
      <t>x</t>
    </r>
  </si>
  <si>
    <r>
      <rPr>
        <vertAlign val="superscript"/>
        <sz val="9"/>
        <rFont val="Calibri"/>
        <family val="2"/>
        <scheme val="minor"/>
      </rPr>
      <t>a</t>
    </r>
    <r>
      <rPr>
        <sz val="9"/>
        <rFont val="Calibri"/>
        <family val="2"/>
        <scheme val="minor"/>
      </rPr>
      <t xml:space="preserve">  Hourly Emissions (lb/hr) = [Maximum Heat Input (MMBtu/hr)] / [Fuel Heating Value (Btu/scf)] x [Emission Factor (lb/MMcf)] </t>
    </r>
  </si>
  <si>
    <r>
      <rPr>
        <vertAlign val="superscript"/>
        <sz val="9"/>
        <rFont val="Calibri"/>
        <family val="2"/>
        <scheme val="minor"/>
      </rPr>
      <t>b</t>
    </r>
    <r>
      <rPr>
        <sz val="9"/>
        <rFont val="Calibri"/>
        <family val="2"/>
        <scheme val="minor"/>
      </rPr>
      <t xml:space="preserve">  Annual Emissions (tons/yr) = [Maximum Fuel Usage (scf/hr)] x [1 MMscf/1,000,000 scf] x [Emission Factor (lb/MMcf)] x [Operating Hours (hrs/yr)] / [2,000 lbs/ton]</t>
    </r>
  </si>
  <si>
    <r>
      <rPr>
        <vertAlign val="superscript"/>
        <sz val="9"/>
        <rFont val="Calibri"/>
        <family val="2"/>
        <scheme val="minor"/>
      </rPr>
      <t>c</t>
    </r>
    <r>
      <rPr>
        <sz val="9"/>
        <rFont val="Calibri"/>
        <family val="2"/>
        <scheme val="minor"/>
      </rPr>
      <t xml:space="preserve">  SO</t>
    </r>
    <r>
      <rPr>
        <vertAlign val="subscript"/>
        <sz val="9"/>
        <rFont val="Calibri"/>
        <family val="2"/>
        <scheme val="minor"/>
      </rPr>
      <t>2</t>
    </r>
    <r>
      <rPr>
        <sz val="9"/>
        <rFont val="Calibri"/>
        <family val="2"/>
        <scheme val="minor"/>
      </rPr>
      <t xml:space="preserve"> Emission Factor (lb/MMcf) = [Natural Gas Density (lb/cf)] x [Sulfur Content (ppm)] / 10</t>
    </r>
    <r>
      <rPr>
        <vertAlign val="superscript"/>
        <sz val="9"/>
        <rFont val="Calibri"/>
        <family val="2"/>
        <scheme val="minor"/>
      </rPr>
      <t>6</t>
    </r>
    <r>
      <rPr>
        <sz val="9"/>
        <rFont val="Calibri"/>
        <family val="2"/>
        <scheme val="minor"/>
      </rPr>
      <t xml:space="preserve"> x [2 g-SO</t>
    </r>
    <r>
      <rPr>
        <vertAlign val="subscript"/>
        <sz val="9"/>
        <rFont val="Calibri"/>
        <family val="2"/>
        <scheme val="minor"/>
      </rPr>
      <t>2</t>
    </r>
    <r>
      <rPr>
        <sz val="9"/>
        <rFont val="Calibri"/>
        <family val="2"/>
        <scheme val="minor"/>
      </rPr>
      <t>/g-S] x [10</t>
    </r>
    <r>
      <rPr>
        <vertAlign val="superscript"/>
        <sz val="9"/>
        <rFont val="Calibri"/>
        <family val="2"/>
        <scheme val="minor"/>
      </rPr>
      <t>6</t>
    </r>
    <r>
      <rPr>
        <sz val="9"/>
        <rFont val="Calibri"/>
        <family val="2"/>
        <scheme val="minor"/>
      </rPr>
      <t xml:space="preserve"> cf/MMcf]</t>
    </r>
  </si>
  <si>
    <r>
      <rPr>
        <vertAlign val="superscript"/>
        <sz val="9"/>
        <rFont val="Calibri"/>
        <family val="2"/>
        <scheme val="minor"/>
      </rPr>
      <t>d</t>
    </r>
    <r>
      <rPr>
        <sz val="9"/>
        <rFont val="Calibri"/>
        <family val="2"/>
        <scheme val="minor"/>
      </rPr>
      <t xml:space="preserve">  Pollutant Emission Rate (lb/MMscf) = [Pollutant concentration by volume, dry basis (ppm</t>
    </r>
    <r>
      <rPr>
        <vertAlign val="subscript"/>
        <sz val="9"/>
        <rFont val="Calibri"/>
        <family val="2"/>
        <scheme val="minor"/>
      </rPr>
      <t>dv</t>
    </r>
    <r>
      <rPr>
        <sz val="9"/>
        <rFont val="Calibri"/>
        <family val="2"/>
        <scheme val="minor"/>
      </rPr>
      <t>)] x ([Maximum Fuel Usage (scf/hr)] x [Fuel Heating Value (Btu/scf)] x [Combustion Gas Generated (dscf/MMBtu)] x [Pollutant Molecular Weight (lb/lb-mole)] x [2.59×10</t>
    </r>
    <r>
      <rPr>
        <vertAlign val="superscript"/>
        <sz val="9"/>
        <rFont val="Calibri"/>
        <family val="2"/>
        <scheme val="minor"/>
      </rPr>
      <t>−9</t>
    </r>
    <r>
      <rPr>
        <sz val="9"/>
        <rFont val="Calibri"/>
        <family val="2"/>
        <scheme val="minor"/>
      </rPr>
      <t xml:space="preserve"> lb-mole/dscf per ppm] + [CO</t>
    </r>
    <r>
      <rPr>
        <vertAlign val="subscript"/>
        <sz val="9"/>
        <rFont val="Calibri"/>
        <family val="2"/>
        <scheme val="minor"/>
      </rPr>
      <t>2</t>
    </r>
    <r>
      <rPr>
        <sz val="9"/>
        <rFont val="Calibri"/>
        <family val="2"/>
        <scheme val="minor"/>
      </rPr>
      <t xml:space="preserve"> Volume in Waste Gas (dscf/hr)]) x [20.9 / (20.9 - Percent Oxygen)]</t>
    </r>
  </si>
  <si>
    <t>d</t>
  </si>
  <si>
    <t>e</t>
  </si>
  <si>
    <t>f</t>
  </si>
  <si>
    <r>
      <rPr>
        <vertAlign val="superscript"/>
        <sz val="9"/>
        <rFont val="Calibri"/>
        <family val="2"/>
        <scheme val="minor"/>
      </rPr>
      <t>a</t>
    </r>
    <r>
      <rPr>
        <sz val="9"/>
        <rFont val="Calibri"/>
        <family val="2"/>
        <scheme val="minor"/>
      </rPr>
      <t xml:space="preserve">  Hourly Emissions (lb/hr) = [Maximum Fuel Usage (scf/hr)] x [1 MMscf/1,000,000 scf] x [Emission Factor (lb/MMcf)] </t>
    </r>
  </si>
  <si>
    <r>
      <rPr>
        <vertAlign val="superscript"/>
        <sz val="9"/>
        <rFont val="Calibri"/>
        <family val="2"/>
        <scheme val="minor"/>
      </rPr>
      <t>c</t>
    </r>
    <r>
      <rPr>
        <sz val="9"/>
        <rFont val="Calibri"/>
        <family val="2"/>
        <scheme val="minor"/>
      </rPr>
      <t xml:space="preserve">  SO</t>
    </r>
    <r>
      <rPr>
        <vertAlign val="subscript"/>
        <sz val="9"/>
        <rFont val="Calibri"/>
        <family val="2"/>
        <scheme val="minor"/>
      </rPr>
      <t>2</t>
    </r>
    <r>
      <rPr>
        <sz val="9"/>
        <rFont val="Calibri"/>
        <family val="2"/>
        <scheme val="minor"/>
      </rPr>
      <t xml:space="preserve"> Emission Factor (lb/MMcf) = [Gas Density (lb/cf)] x [S Content (ppmw)] / 10</t>
    </r>
    <r>
      <rPr>
        <vertAlign val="superscript"/>
        <sz val="9"/>
        <rFont val="Calibri"/>
        <family val="2"/>
        <scheme val="minor"/>
      </rPr>
      <t>6</t>
    </r>
    <r>
      <rPr>
        <sz val="9"/>
        <rFont val="Calibri"/>
        <family val="2"/>
        <scheme val="minor"/>
      </rPr>
      <t xml:space="preserve"> x [64 g-SO</t>
    </r>
    <r>
      <rPr>
        <vertAlign val="subscript"/>
        <sz val="9"/>
        <rFont val="Calibri"/>
        <family val="2"/>
        <scheme val="minor"/>
      </rPr>
      <t>2</t>
    </r>
    <r>
      <rPr>
        <sz val="9"/>
        <rFont val="Calibri"/>
        <family val="2"/>
        <scheme val="minor"/>
      </rPr>
      <t>/32 g-S] x [Destruction Efficiency (%)] x [10</t>
    </r>
    <r>
      <rPr>
        <vertAlign val="superscript"/>
        <sz val="9"/>
        <rFont val="Calibri"/>
        <family val="2"/>
        <scheme val="minor"/>
      </rPr>
      <t>6</t>
    </r>
    <r>
      <rPr>
        <sz val="9"/>
        <rFont val="Calibri"/>
        <family val="2"/>
        <scheme val="minor"/>
      </rPr>
      <t xml:space="preserve"> cf/MMcf]</t>
    </r>
  </si>
  <si>
    <r>
      <rPr>
        <vertAlign val="superscript"/>
        <sz val="9"/>
        <rFont val="Calibri"/>
        <family val="2"/>
        <scheme val="minor"/>
      </rPr>
      <t>d</t>
    </r>
    <r>
      <rPr>
        <sz val="9"/>
        <rFont val="Calibri"/>
        <family val="2"/>
        <scheme val="minor"/>
      </rPr>
      <t xml:space="preserve">  Emission Factor (lb/MMcf) = [Gas Density (lb/cf)] x [VOC Content (wt%)] x [1 - Destruction Efficiency (%)] x [10</t>
    </r>
    <r>
      <rPr>
        <vertAlign val="superscript"/>
        <sz val="9"/>
        <rFont val="Calibri"/>
        <family val="2"/>
        <scheme val="minor"/>
      </rPr>
      <t>6</t>
    </r>
    <r>
      <rPr>
        <sz val="9"/>
        <rFont val="Calibri"/>
        <family val="2"/>
        <scheme val="minor"/>
      </rPr>
      <t xml:space="preserve"> cf/MMcf]</t>
    </r>
  </si>
  <si>
    <r>
      <rPr>
        <vertAlign val="superscript"/>
        <sz val="9"/>
        <rFont val="Calibri"/>
        <family val="2"/>
        <scheme val="minor"/>
      </rPr>
      <t>f</t>
    </r>
    <r>
      <rPr>
        <sz val="9"/>
        <rFont val="Calibri"/>
        <family val="2"/>
        <scheme val="minor"/>
      </rPr>
      <t xml:space="preserve">  H</t>
    </r>
    <r>
      <rPr>
        <vertAlign val="subscript"/>
        <sz val="9"/>
        <rFont val="Calibri"/>
        <family val="2"/>
        <scheme val="minor"/>
      </rPr>
      <t>2</t>
    </r>
    <r>
      <rPr>
        <sz val="9"/>
        <rFont val="Calibri"/>
        <family val="2"/>
        <scheme val="minor"/>
      </rPr>
      <t>S Emission Factor (lb/MMcf) = [Gas Density (lb/cf)] x [S Content (ppmw)] / 10</t>
    </r>
    <r>
      <rPr>
        <vertAlign val="superscript"/>
        <sz val="9"/>
        <rFont val="Calibri"/>
        <family val="2"/>
        <scheme val="minor"/>
      </rPr>
      <t>6</t>
    </r>
    <r>
      <rPr>
        <sz val="9"/>
        <rFont val="Calibri"/>
        <family val="2"/>
        <scheme val="minor"/>
      </rPr>
      <t xml:space="preserve"> x [34 g-H</t>
    </r>
    <r>
      <rPr>
        <vertAlign val="subscript"/>
        <sz val="9"/>
        <rFont val="Calibri"/>
        <family val="2"/>
        <scheme val="minor"/>
      </rPr>
      <t>2</t>
    </r>
    <r>
      <rPr>
        <sz val="9"/>
        <rFont val="Calibri"/>
        <family val="2"/>
        <scheme val="minor"/>
      </rPr>
      <t>S/32 g-S] x [1 - Destruction Efficiency (%)] x [10</t>
    </r>
    <r>
      <rPr>
        <vertAlign val="superscript"/>
        <sz val="9"/>
        <rFont val="Calibri"/>
        <family val="2"/>
        <scheme val="minor"/>
      </rPr>
      <t>6</t>
    </r>
    <r>
      <rPr>
        <sz val="9"/>
        <rFont val="Calibri"/>
        <family val="2"/>
        <scheme val="minor"/>
      </rPr>
      <t xml:space="preserve"> cf/MMcf]</t>
    </r>
  </si>
  <si>
    <t>Liquefied Natural Gas</t>
  </si>
  <si>
    <r>
      <rPr>
        <vertAlign val="superscript"/>
        <sz val="9"/>
        <rFont val="Calibri"/>
        <family val="2"/>
        <scheme val="minor"/>
      </rPr>
      <t>a</t>
    </r>
    <r>
      <rPr>
        <sz val="9"/>
        <rFont val="Calibri"/>
        <family val="2"/>
        <scheme val="minor"/>
      </rPr>
      <t xml:space="preserve">  Hourly Emissions (lb/hr) = [Emission Factor (lb/hr per component)] x [Component Count] x [Pollutant Content (%wt)] x [1 - LDAR Control Efficiency (%)]</t>
    </r>
  </si>
  <si>
    <r>
      <rPr>
        <vertAlign val="superscript"/>
        <sz val="9"/>
        <rFont val="Calibri"/>
        <family val="2"/>
        <scheme val="minor"/>
      </rPr>
      <t>b</t>
    </r>
    <r>
      <rPr>
        <sz val="9"/>
        <rFont val="Calibri"/>
        <family val="2"/>
        <scheme val="minor"/>
      </rPr>
      <t xml:space="preserve">  Pollutant Concentration (ppmw) = [Pollutant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 [453.6 g/lb] / [10</t>
    </r>
    <r>
      <rPr>
        <vertAlign val="superscript"/>
        <sz val="9"/>
        <rFont val="Calibri"/>
        <family val="2"/>
        <scheme val="minor"/>
      </rPr>
      <t>6</t>
    </r>
    <r>
      <rPr>
        <sz val="9"/>
        <rFont val="Calibri"/>
        <family val="2"/>
        <scheme val="minor"/>
      </rPr>
      <t xml:space="preserve"> </t>
    </r>
    <r>
      <rPr>
        <sz val="9"/>
        <rFont val="Symbol"/>
        <family val="1"/>
        <charset val="2"/>
      </rPr>
      <t>m</t>
    </r>
    <r>
      <rPr>
        <sz val="9"/>
        <rFont val="Calibri"/>
        <family val="2"/>
        <scheme val="minor"/>
      </rPr>
      <t>g/g] / [35.31 ft</t>
    </r>
    <r>
      <rPr>
        <vertAlign val="superscript"/>
        <sz val="9"/>
        <rFont val="Calibri"/>
        <family val="2"/>
        <scheme val="minor"/>
      </rPr>
      <t>3</t>
    </r>
    <r>
      <rPr>
        <sz val="9"/>
        <rFont val="Calibri"/>
        <family val="2"/>
        <scheme val="minor"/>
      </rPr>
      <t>/m</t>
    </r>
    <r>
      <rPr>
        <vertAlign val="superscript"/>
        <sz val="9"/>
        <rFont val="Calibri"/>
        <family val="2"/>
        <scheme val="minor"/>
      </rPr>
      <t>3</t>
    </r>
    <r>
      <rPr>
        <sz val="9"/>
        <rFont val="Calibri"/>
        <family val="2"/>
        <scheme val="minor"/>
      </rPr>
      <t>] / [Gas Density (lb/cf)] x 10</t>
    </r>
    <r>
      <rPr>
        <vertAlign val="superscript"/>
        <sz val="9"/>
        <rFont val="Calibri"/>
        <family val="2"/>
        <scheme val="minor"/>
      </rPr>
      <t>6</t>
    </r>
  </si>
  <si>
    <t>EQUIPMENT INFORMATION (1)</t>
  </si>
  <si>
    <t>Swivel Joints</t>
  </si>
  <si>
    <t>Boil-Off Gas</t>
  </si>
  <si>
    <r>
      <t>b</t>
    </r>
    <r>
      <rPr>
        <sz val="9"/>
        <color theme="1"/>
        <rFont val="Calibri"/>
        <family val="2"/>
        <scheme val="minor"/>
      </rPr>
      <t xml:space="preserve"> From "Natural Gas Analysis"; Environmental Partners, Inc.; February 3, 2014. Most hazardous air pollutants (HAPs) will go through with the heavy hydrocarbons, but the fraction is unknown. Therefore, we conservatively assume the waste gas has the full concentration of HAP.</t>
    </r>
  </si>
  <si>
    <t>Holding</t>
  </si>
  <si>
    <t>Holding - Potential Emissions from Enclosed Ground Flare Burners</t>
  </si>
  <si>
    <t>2</t>
  </si>
  <si>
    <t>3</t>
  </si>
  <si>
    <r>
      <rPr>
        <vertAlign val="superscript"/>
        <sz val="9"/>
        <rFont val="Calibri"/>
        <family val="2"/>
        <scheme val="minor"/>
      </rPr>
      <t>1</t>
    </r>
    <r>
      <rPr>
        <sz val="9"/>
        <rFont val="Calibri"/>
        <family val="2"/>
        <scheme val="minor"/>
      </rPr>
      <t xml:space="preserve">  EPA. 1998a. Compilation of Air Pollutant Emission Factors, Volume 1: Stationary Point and Area Sources, Chapter 1.4, Table 1.4-2: Emission Factors for Criteria Pollutants and Greenhouse Gases from Natural Gas Combustion. AP-42. Office of Air Quality Planning and Standards, US Environmental Protection Agency. July.</t>
    </r>
  </si>
  <si>
    <r>
      <rPr>
        <vertAlign val="superscript"/>
        <sz val="9"/>
        <rFont val="Calibri"/>
        <family val="2"/>
        <scheme val="minor"/>
      </rPr>
      <t>2</t>
    </r>
    <r>
      <rPr>
        <sz val="9"/>
        <rFont val="Calibri"/>
        <family val="2"/>
        <scheme val="minor"/>
      </rPr>
      <t xml:space="preserve"> Vendor design specifications provided by CB&amp;I.</t>
    </r>
  </si>
  <si>
    <r>
      <rPr>
        <vertAlign val="superscript"/>
        <sz val="9"/>
        <rFont val="Calibri"/>
        <family val="2"/>
        <scheme val="minor"/>
      </rPr>
      <t>5</t>
    </r>
    <r>
      <rPr>
        <sz val="9"/>
        <rFont val="Calibri"/>
        <family val="2"/>
        <scheme val="minor"/>
      </rPr>
      <t xml:space="preserve"> See fuel characteristics in Table B-2.</t>
    </r>
  </si>
  <si>
    <t>4</t>
  </si>
  <si>
    <t>5</t>
  </si>
  <si>
    <t>6</t>
  </si>
  <si>
    <r>
      <t>VOC Content (%wt)</t>
    </r>
    <r>
      <rPr>
        <vertAlign val="superscript"/>
        <sz val="9"/>
        <rFont val="Calibri"/>
        <family val="2"/>
        <scheme val="minor"/>
      </rPr>
      <t>1</t>
    </r>
  </si>
  <si>
    <r>
      <t>n-Hexane (ppmw)</t>
    </r>
    <r>
      <rPr>
        <vertAlign val="superscript"/>
        <sz val="9"/>
        <rFont val="Calibri"/>
        <family val="2"/>
        <scheme val="minor"/>
      </rPr>
      <t>1</t>
    </r>
  </si>
  <si>
    <r>
      <t>Hydrogen sulfide (ppmw)</t>
    </r>
    <r>
      <rPr>
        <vertAlign val="superscript"/>
        <sz val="9"/>
        <rFont val="Calibri"/>
        <family val="2"/>
        <scheme val="minor"/>
      </rPr>
      <t>1</t>
    </r>
  </si>
  <si>
    <r>
      <t>VOC Emission Factors</t>
    </r>
    <r>
      <rPr>
        <b/>
        <vertAlign val="superscript"/>
        <sz val="9"/>
        <rFont val="Calibri"/>
        <family val="2"/>
        <scheme val="minor"/>
      </rPr>
      <t>3</t>
    </r>
    <r>
      <rPr>
        <b/>
        <sz val="9"/>
        <rFont val="Calibri"/>
        <family val="2"/>
        <scheme val="minor"/>
      </rPr>
      <t xml:space="preserve">
(lb/hr per component)</t>
    </r>
  </si>
  <si>
    <r>
      <t>LDAR Control Efficiency</t>
    </r>
    <r>
      <rPr>
        <b/>
        <vertAlign val="superscript"/>
        <sz val="9"/>
        <rFont val="Calibri"/>
        <family val="2"/>
        <scheme val="minor"/>
      </rPr>
      <t>4</t>
    </r>
  </si>
  <si>
    <r>
      <t>Hourly Emissions</t>
    </r>
    <r>
      <rPr>
        <b/>
        <vertAlign val="superscript"/>
        <sz val="9"/>
        <rFont val="Calibri"/>
        <family val="2"/>
        <scheme val="minor"/>
      </rPr>
      <t>a</t>
    </r>
  </si>
  <si>
    <r>
      <t>Annual Emissions</t>
    </r>
    <r>
      <rPr>
        <b/>
        <vertAlign val="superscript"/>
        <sz val="9"/>
        <rFont val="Calibri"/>
        <family val="2"/>
        <scheme val="minor"/>
      </rPr>
      <t>a</t>
    </r>
  </si>
  <si>
    <r>
      <rPr>
        <vertAlign val="superscript"/>
        <sz val="9"/>
        <rFont val="Calibri"/>
        <family val="2"/>
        <scheme val="minor"/>
      </rPr>
      <t>e</t>
    </r>
    <r>
      <rPr>
        <sz val="9"/>
        <rFont val="Calibri"/>
        <family val="2"/>
        <scheme val="minor"/>
      </rPr>
      <t xml:space="preserve">  Emission Factor (lb/MMBtu) =  [Pollutant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 [453.6 g/lb] / [10</t>
    </r>
    <r>
      <rPr>
        <vertAlign val="superscript"/>
        <sz val="9"/>
        <rFont val="Calibri"/>
        <family val="2"/>
        <scheme val="minor"/>
      </rPr>
      <t>6</t>
    </r>
    <r>
      <rPr>
        <sz val="9"/>
        <rFont val="Calibri"/>
        <family val="2"/>
        <scheme val="minor"/>
      </rPr>
      <t xml:space="preserve"> </t>
    </r>
    <r>
      <rPr>
        <sz val="9"/>
        <rFont val="Symbol"/>
        <family val="1"/>
        <charset val="2"/>
      </rPr>
      <t>m</t>
    </r>
    <r>
      <rPr>
        <sz val="9"/>
        <rFont val="Calibri"/>
        <family val="2"/>
        <scheme val="minor"/>
      </rPr>
      <t>g/g] / [35.31 ft</t>
    </r>
    <r>
      <rPr>
        <vertAlign val="superscript"/>
        <sz val="9"/>
        <rFont val="Calibri"/>
        <family val="2"/>
        <scheme val="minor"/>
      </rPr>
      <t>3</t>
    </r>
    <r>
      <rPr>
        <sz val="9"/>
        <rFont val="Calibri"/>
        <family val="2"/>
        <scheme val="minor"/>
      </rPr>
      <t>/m</t>
    </r>
    <r>
      <rPr>
        <vertAlign val="superscript"/>
        <sz val="9"/>
        <rFont val="Calibri"/>
        <family val="2"/>
        <scheme val="minor"/>
      </rPr>
      <t>3</t>
    </r>
    <r>
      <rPr>
        <sz val="9"/>
        <rFont val="Calibri"/>
        <family val="2"/>
        <scheme val="minor"/>
      </rPr>
      <t>] / [Natural Gas Heating Value (Btu/scf)] x [1 - Destruction Efficiency (%)] x [10</t>
    </r>
    <r>
      <rPr>
        <vertAlign val="superscript"/>
        <sz val="9"/>
        <rFont val="Calibri"/>
        <family val="2"/>
        <scheme val="minor"/>
      </rPr>
      <t>6</t>
    </r>
    <r>
      <rPr>
        <sz val="9"/>
        <rFont val="Calibri"/>
        <family val="2"/>
        <scheme val="minor"/>
      </rPr>
      <t xml:space="preserve"> Btu/MMBtu]</t>
    </r>
  </si>
  <si>
    <r>
      <rPr>
        <vertAlign val="superscript"/>
        <sz val="9"/>
        <rFont val="Calibri"/>
        <family val="2"/>
        <scheme val="minor"/>
      </rPr>
      <t>e</t>
    </r>
    <r>
      <rPr>
        <sz val="9"/>
        <rFont val="Calibri"/>
        <family val="2"/>
        <scheme val="minor"/>
      </rPr>
      <t xml:space="preserve">  Emission Factor (lb/MMBtu) = [Pollutant Concentration (</t>
    </r>
    <r>
      <rPr>
        <sz val="9"/>
        <rFont val="Symbol"/>
        <family val="1"/>
        <charset val="2"/>
      </rPr>
      <t>m</t>
    </r>
    <r>
      <rPr>
        <sz val="9"/>
        <rFont val="Calibri"/>
        <family val="2"/>
        <scheme val="minor"/>
      </rPr>
      <t>g/m</t>
    </r>
    <r>
      <rPr>
        <vertAlign val="superscript"/>
        <sz val="9"/>
        <rFont val="Calibri"/>
        <family val="2"/>
        <scheme val="minor"/>
      </rPr>
      <t>3</t>
    </r>
    <r>
      <rPr>
        <sz val="9"/>
        <rFont val="Calibri"/>
        <family val="2"/>
        <scheme val="minor"/>
      </rPr>
      <t>)] / [453.6 g/lb] / [10</t>
    </r>
    <r>
      <rPr>
        <vertAlign val="superscript"/>
        <sz val="9"/>
        <rFont val="Calibri"/>
        <family val="2"/>
        <scheme val="minor"/>
      </rPr>
      <t>6</t>
    </r>
    <r>
      <rPr>
        <sz val="9"/>
        <rFont val="Calibri"/>
        <family val="2"/>
        <scheme val="minor"/>
      </rPr>
      <t xml:space="preserve"> </t>
    </r>
    <r>
      <rPr>
        <sz val="9"/>
        <rFont val="Symbol"/>
        <family val="1"/>
        <charset val="2"/>
      </rPr>
      <t>m</t>
    </r>
    <r>
      <rPr>
        <sz val="9"/>
        <rFont val="Calibri"/>
        <family val="2"/>
        <scheme val="minor"/>
      </rPr>
      <t>g/g] / [35.31 ft</t>
    </r>
    <r>
      <rPr>
        <vertAlign val="superscript"/>
        <sz val="9"/>
        <rFont val="Calibri"/>
        <family val="2"/>
        <scheme val="minor"/>
      </rPr>
      <t>3</t>
    </r>
    <r>
      <rPr>
        <sz val="9"/>
        <rFont val="Calibri"/>
        <family val="2"/>
        <scheme val="minor"/>
      </rPr>
      <t>/m</t>
    </r>
    <r>
      <rPr>
        <vertAlign val="superscript"/>
        <sz val="9"/>
        <rFont val="Calibri"/>
        <family val="2"/>
        <scheme val="minor"/>
      </rPr>
      <t>3</t>
    </r>
    <r>
      <rPr>
        <sz val="9"/>
        <rFont val="Calibri"/>
        <family val="2"/>
        <scheme val="minor"/>
      </rPr>
      <t>] / [Natural Gas Heating Value (Btu/scf)] x [1 - Destruction Efficiency (%)] x [10</t>
    </r>
    <r>
      <rPr>
        <vertAlign val="superscript"/>
        <sz val="9"/>
        <rFont val="Calibri"/>
        <family val="2"/>
        <scheme val="minor"/>
      </rPr>
      <t>6</t>
    </r>
    <r>
      <rPr>
        <sz val="9"/>
        <rFont val="Calibri"/>
        <family val="2"/>
        <scheme val="minor"/>
      </rPr>
      <t xml:space="preserve"> Btu/MMBtu]</t>
    </r>
  </si>
  <si>
    <t>Large Warm Burner and Small Cold Burner</t>
  </si>
  <si>
    <t>Small Warm Burner and Small Cold Burner</t>
  </si>
  <si>
    <t>Liquefying Case 1</t>
  </si>
  <si>
    <t>Liquefying Case 2</t>
  </si>
  <si>
    <t>Liquefying Case 3</t>
  </si>
  <si>
    <t>Liquefying Case 4</t>
  </si>
  <si>
    <t>Liquefying Case 5</t>
  </si>
  <si>
    <t>Purge A1</t>
  </si>
  <si>
    <t>Purge A2</t>
  </si>
  <si>
    <t>Purge B</t>
  </si>
  <si>
    <t>Worst-Case Operating Scenario</t>
  </si>
  <si>
    <t>Ship and Truck Blow Down A1 - Potential Emissions from Enclosed Ground Flare Burners</t>
  </si>
  <si>
    <t>Ship or Truck Blow Down A2 - Potential Emissions from Enclosed Ground Flare Burners</t>
  </si>
  <si>
    <t>Blow Down and Purge B - Potential Emissions from Enclosed Ground Flare Burners</t>
  </si>
  <si>
    <t>Facility-Wide Total</t>
  </si>
  <si>
    <t>Worst-Case</t>
  </si>
  <si>
    <t>Vaporizing 10 Days</t>
  </si>
  <si>
    <t>LNG Transfer A1</t>
  </si>
  <si>
    <t>LNG Transfer B</t>
  </si>
  <si>
    <t>LNG Transfer A1 (Ship and Truck)</t>
  </si>
  <si>
    <t>LNG Transfer A2/A3</t>
  </si>
  <si>
    <t>LNG Transfer B (after ship)</t>
  </si>
  <si>
    <t>LNG Transfer A2/A3 (Ship or Truck)</t>
  </si>
  <si>
    <t>Case2</t>
  </si>
  <si>
    <r>
      <rPr>
        <vertAlign val="superscript"/>
        <sz val="9"/>
        <rFont val="Calibri"/>
        <family val="2"/>
        <scheme val="minor"/>
      </rPr>
      <t>a</t>
    </r>
    <r>
      <rPr>
        <sz val="9"/>
        <rFont val="Calibri"/>
        <family val="2"/>
        <scheme val="minor"/>
      </rPr>
      <t xml:space="preserve"> Hourly Emissions (lb/hr) = [Emission Factor (g/hp-hr)] x [Power Output (hp)] x [1 lb/453.6 g]</t>
    </r>
  </si>
  <si>
    <r>
      <rPr>
        <vertAlign val="superscript"/>
        <sz val="9"/>
        <rFont val="Calibri"/>
        <family val="2"/>
        <scheme val="minor"/>
      </rPr>
      <t>c</t>
    </r>
    <r>
      <rPr>
        <sz val="9"/>
        <rFont val="Calibri"/>
        <family val="2"/>
        <scheme val="minor"/>
      </rPr>
      <t xml:space="preserve">  SO</t>
    </r>
    <r>
      <rPr>
        <vertAlign val="subscript"/>
        <sz val="9"/>
        <rFont val="Calibri"/>
        <family val="2"/>
        <scheme val="minor"/>
      </rPr>
      <t>2</t>
    </r>
    <r>
      <rPr>
        <sz val="9"/>
        <rFont val="Calibri"/>
        <family val="2"/>
        <scheme val="minor"/>
      </rPr>
      <t xml:space="preserve"> Emission Factor (lb/gal) = [Fuel Density (lb/gal)] x [Sulfur Content (ppm)] / [1,000,000] x [2 gmol-SO</t>
    </r>
    <r>
      <rPr>
        <vertAlign val="subscript"/>
        <sz val="9"/>
        <rFont val="Calibri"/>
        <family val="2"/>
        <scheme val="minor"/>
      </rPr>
      <t>2</t>
    </r>
    <r>
      <rPr>
        <sz val="9"/>
        <rFont val="Calibri"/>
        <family val="2"/>
        <scheme val="minor"/>
      </rPr>
      <t>/gmol-S]</t>
    </r>
  </si>
  <si>
    <t>Potential Emissions from WPG Pretreatment Heater</t>
  </si>
  <si>
    <t>Potential Emissions from Regeneration Pretreatment Heater</t>
  </si>
  <si>
    <t>Potential Emissions for Emergency Generator</t>
  </si>
  <si>
    <t>trucks per year</t>
  </si>
  <si>
    <r>
      <t>Sulfur Content (ppmw)</t>
    </r>
    <r>
      <rPr>
        <vertAlign val="superscript"/>
        <sz val="9"/>
        <rFont val="Calibri"/>
        <family val="2"/>
        <scheme val="minor"/>
      </rPr>
      <t>c</t>
    </r>
  </si>
  <si>
    <r>
      <rPr>
        <vertAlign val="superscript"/>
        <sz val="9"/>
        <color theme="1"/>
        <rFont val="Calibri"/>
        <family val="2"/>
        <scheme val="minor"/>
      </rPr>
      <t>c</t>
    </r>
    <r>
      <rPr>
        <sz val="9"/>
        <color theme="1"/>
        <rFont val="Calibri"/>
        <family val="2"/>
        <scheme val="minor"/>
      </rPr>
      <t xml:space="preserve"> Based on the Williams Gas Pipeline tariff of 0.25 grains per 100 cubic feet for H2S, the past 12-month maximum total sulfur (reported as H2S by Williams Gas Pipeline) of 0.603 grains per 100 cubic feet, and sulfur from odorant of 0.23 grains per 100 cubic feet (odorant injection rates provided by PSE).</t>
    </r>
  </si>
  <si>
    <t>Dichlorobenzene</t>
  </si>
  <si>
    <t>7</t>
  </si>
  <si>
    <t>91-57-6</t>
  </si>
  <si>
    <t>208-96-8</t>
  </si>
  <si>
    <t>83-32-9</t>
  </si>
  <si>
    <t>120-12-7</t>
  </si>
  <si>
    <t>191-24-2</t>
  </si>
  <si>
    <t>7440-47-3</t>
  </si>
  <si>
    <t>206-44-0</t>
  </si>
  <si>
    <t>86-73-7</t>
  </si>
  <si>
    <t>7440-02-0</t>
  </si>
  <si>
    <t>85-01-8</t>
  </si>
  <si>
    <t>129-00-0</t>
  </si>
  <si>
    <t>POM</t>
  </si>
  <si>
    <t>Carbon monoxide (CO)</t>
  </si>
  <si>
    <r>
      <t>Sulfur dioxide (SO</t>
    </r>
    <r>
      <rPr>
        <vertAlign val="subscript"/>
        <sz val="9"/>
        <rFont val="Calibri"/>
        <family val="2"/>
        <scheme val="minor"/>
      </rPr>
      <t>2</t>
    </r>
    <r>
      <rPr>
        <sz val="9"/>
        <rFont val="Calibri"/>
        <family val="2"/>
        <scheme val="minor"/>
      </rPr>
      <t>)</t>
    </r>
  </si>
  <si>
    <t>Cu</t>
  </si>
  <si>
    <t>PM</t>
  </si>
  <si>
    <t>HAP</t>
  </si>
  <si>
    <t>CAS / ID</t>
  </si>
  <si>
    <t xml:space="preserve">108-88-3 </t>
  </si>
  <si>
    <t>7782-49-2</t>
  </si>
  <si>
    <t>7439-96-5</t>
  </si>
  <si>
    <t>7439-92-1</t>
  </si>
  <si>
    <t>7440-41-7</t>
  </si>
  <si>
    <t>7440-38-2</t>
  </si>
  <si>
    <t>Vaporization, only</t>
  </si>
  <si>
    <t>Notes</t>
  </si>
  <si>
    <t>Nox</t>
  </si>
  <si>
    <t>Fugative, only</t>
  </si>
  <si>
    <t>LNG transfer operations</t>
  </si>
  <si>
    <r>
      <rPr>
        <vertAlign val="superscript"/>
        <sz val="9"/>
        <rFont val="Calibri"/>
        <family val="2"/>
        <scheme val="minor"/>
      </rPr>
      <t>c</t>
    </r>
    <r>
      <rPr>
        <sz val="9"/>
        <rFont val="Calibri"/>
        <family val="2"/>
        <scheme val="minor"/>
      </rPr>
      <t xml:space="preserve">  SO</t>
    </r>
    <r>
      <rPr>
        <vertAlign val="subscript"/>
        <sz val="9"/>
        <rFont val="Calibri"/>
        <family val="2"/>
        <scheme val="minor"/>
      </rPr>
      <t>2</t>
    </r>
    <r>
      <rPr>
        <sz val="9"/>
        <rFont val="Calibri"/>
        <family val="2"/>
        <scheme val="minor"/>
      </rPr>
      <t xml:space="preserve"> Emission Factor (lb/MMcf) = [Natural Gas Density (lb/cf)] x [Sulfur Content (ppm)] / 10</t>
    </r>
    <r>
      <rPr>
        <vertAlign val="superscript"/>
        <sz val="9"/>
        <rFont val="Calibri"/>
        <family val="2"/>
        <scheme val="minor"/>
      </rPr>
      <t>6</t>
    </r>
    <r>
      <rPr>
        <sz val="9"/>
        <rFont val="Calibri"/>
        <family val="2"/>
        <scheme val="minor"/>
      </rPr>
      <t xml:space="preserve"> x [64 g-SO2/32 g-S] x [Destruction Efficiency (%)] x [10</t>
    </r>
    <r>
      <rPr>
        <vertAlign val="superscript"/>
        <sz val="9"/>
        <rFont val="Calibri"/>
        <family val="2"/>
        <scheme val="minor"/>
      </rPr>
      <t>6</t>
    </r>
    <r>
      <rPr>
        <sz val="9"/>
        <rFont val="Calibri"/>
        <family val="2"/>
        <scheme val="minor"/>
      </rPr>
      <t xml:space="preserve"> cf/MMcf]</t>
    </r>
  </si>
  <si>
    <r>
      <rPr>
        <vertAlign val="superscript"/>
        <sz val="9"/>
        <rFont val="Calibri"/>
        <family val="2"/>
        <scheme val="minor"/>
      </rPr>
      <t>6</t>
    </r>
    <r>
      <rPr>
        <sz val="9"/>
        <rFont val="Calibri"/>
        <family val="2"/>
        <scheme val="minor"/>
      </rPr>
      <t xml:space="preserve"> See fuel characteristics in Table B-2.</t>
    </r>
  </si>
  <si>
    <t>Worst-case Small Warm Burner, only</t>
  </si>
  <si>
    <t>Worst-case Large Warm Burner, only</t>
  </si>
  <si>
    <t>Vapor Tab</t>
  </si>
  <si>
    <t>Fugatives Tab</t>
  </si>
  <si>
    <t>Flare1 Tab</t>
  </si>
  <si>
    <t>Flare Hold Tab</t>
  </si>
  <si>
    <t>Flare2 Tab</t>
  </si>
  <si>
    <t>Flare3 Tab</t>
  </si>
  <si>
    <t>Flare4 Tab</t>
  </si>
  <si>
    <t>Worst-case</t>
  </si>
  <si>
    <t>Large warm burner Operations</t>
  </si>
  <si>
    <t>Small cold burner Operations</t>
  </si>
  <si>
    <t>Flare Purge A1 Tab</t>
  </si>
  <si>
    <t>Flare Purge A2 Tab</t>
  </si>
  <si>
    <t>Flare Purge B Tab</t>
  </si>
  <si>
    <t>Worst-case Transfer, only</t>
  </si>
  <si>
    <t>Flare5 Tab</t>
  </si>
  <si>
    <r>
      <t>Benzene (ppmw)</t>
    </r>
    <r>
      <rPr>
        <vertAlign val="superscript"/>
        <sz val="9"/>
        <rFont val="Calibri"/>
        <family val="2"/>
        <scheme val="minor"/>
      </rPr>
      <t>b, 2</t>
    </r>
  </si>
  <si>
    <r>
      <t>Ethylbenzene (ppmw)</t>
    </r>
    <r>
      <rPr>
        <vertAlign val="superscript"/>
        <sz val="9"/>
        <rFont val="Calibri"/>
        <family val="2"/>
        <scheme val="minor"/>
      </rPr>
      <t>b, 2</t>
    </r>
  </si>
  <si>
    <r>
      <t>m,p-Xylene (ppmw)</t>
    </r>
    <r>
      <rPr>
        <vertAlign val="superscript"/>
        <sz val="9"/>
        <rFont val="Calibri"/>
        <family val="2"/>
        <scheme val="minor"/>
      </rPr>
      <t>b, 2</t>
    </r>
  </si>
  <si>
    <r>
      <t>o-Xylene (ppmw)</t>
    </r>
    <r>
      <rPr>
        <vertAlign val="superscript"/>
        <sz val="9"/>
        <rFont val="Calibri"/>
        <family val="2"/>
        <scheme val="minor"/>
      </rPr>
      <t>b, 2</t>
    </r>
  </si>
  <si>
    <r>
      <t>Toluene (ppmw)</t>
    </r>
    <r>
      <rPr>
        <vertAlign val="superscript"/>
        <sz val="9"/>
        <rFont val="Calibri"/>
        <family val="2"/>
        <scheme val="minor"/>
      </rPr>
      <t>b, 2</t>
    </r>
  </si>
  <si>
    <r>
      <rPr>
        <vertAlign val="superscript"/>
        <sz val="9"/>
        <rFont val="Calibri"/>
        <family val="2"/>
        <scheme val="minor"/>
      </rPr>
      <t>1</t>
    </r>
    <r>
      <rPr>
        <sz val="9"/>
        <rFont val="Calibri"/>
        <family val="2"/>
        <scheme val="minor"/>
      </rPr>
      <t xml:space="preserve"> Provided by CB&amp;I.</t>
    </r>
  </si>
  <si>
    <r>
      <rPr>
        <vertAlign val="superscript"/>
        <sz val="9"/>
        <rFont val="Calibri"/>
        <family val="2"/>
        <scheme val="minor"/>
      </rPr>
      <t>2</t>
    </r>
    <r>
      <rPr>
        <sz val="9"/>
        <rFont val="Calibri"/>
        <family val="2"/>
        <scheme val="minor"/>
      </rPr>
      <t xml:space="preserve"> From "Natural Gas Analysis"; Environmental Partners, Inc.; February 3, 2014. Most HAPs will go through with the heavy hydrocarbons, but the fraction is unknown. Therefore, we assume each fluid has the full concentration of HAP to provide a conservative emissions estimate.</t>
    </r>
  </si>
  <si>
    <r>
      <rPr>
        <vertAlign val="superscript"/>
        <sz val="9"/>
        <rFont val="Calibri"/>
        <family val="2"/>
        <scheme val="minor"/>
      </rPr>
      <t>3</t>
    </r>
    <r>
      <rPr>
        <sz val="9"/>
        <rFont val="Calibri"/>
        <family val="2"/>
        <scheme val="minor"/>
      </rPr>
      <t xml:space="preserve"> Terminal/Depot factors from South Coast Air Quality Management District's "Guidelines for Fugitive Emissions Calculations" (June 2003). In this guidance, the District updated emissions factors that were identified in the EPA's "Protocol for Equipment Leak Emission Estimates (November 1995).</t>
    </r>
  </si>
  <si>
    <r>
      <rPr>
        <vertAlign val="superscript"/>
        <sz val="9"/>
        <rFont val="Calibri"/>
        <family val="2"/>
        <scheme val="minor"/>
      </rPr>
      <t>4</t>
    </r>
    <r>
      <rPr>
        <sz val="9"/>
        <rFont val="Calibri"/>
        <family val="2"/>
        <scheme val="minor"/>
      </rPr>
      <t xml:space="preserve"> Control effectiveness from Texas Commission for Environmental Quality (TCEQ) "Control Efficiencies for TCEQ Leak Detection and Repair Programs" (July 2011) for its 28M fugitive leak detection program. </t>
    </r>
  </si>
  <si>
    <t>Vaporization</t>
  </si>
  <si>
    <t>Liquefying</t>
  </si>
  <si>
    <t>Liquefying Only</t>
  </si>
  <si>
    <r>
      <t>Nitrogen oxides (NO</t>
    </r>
    <r>
      <rPr>
        <vertAlign val="subscript"/>
        <sz val="9"/>
        <rFont val="Calibri"/>
        <family val="2"/>
        <scheme val="minor"/>
      </rPr>
      <t>X</t>
    </r>
    <r>
      <rPr>
        <sz val="9"/>
        <rFont val="Calibri"/>
        <family val="2"/>
        <scheme val="minor"/>
      </rPr>
      <t>)</t>
    </r>
  </si>
  <si>
    <r>
      <rPr>
        <vertAlign val="superscript"/>
        <sz val="9"/>
        <rFont val="Calibri"/>
        <family val="2"/>
        <scheme val="minor"/>
      </rPr>
      <t>1</t>
    </r>
    <r>
      <rPr>
        <sz val="9"/>
        <rFont val="Calibri"/>
        <family val="2"/>
        <scheme val="minor"/>
      </rPr>
      <t xml:space="preserve"> Manufacturer specifications.</t>
    </r>
  </si>
  <si>
    <r>
      <rPr>
        <vertAlign val="superscript"/>
        <sz val="9"/>
        <rFont val="Calibri"/>
        <family val="2"/>
        <scheme val="minor"/>
      </rPr>
      <t>3</t>
    </r>
    <r>
      <rPr>
        <sz val="9"/>
        <rFont val="Calibri"/>
        <family val="2"/>
        <scheme val="minor"/>
      </rPr>
      <t xml:space="preserve"> AP-42, Chapter 3.4, Table 3.4-3. </t>
    </r>
    <r>
      <rPr>
        <i/>
        <sz val="9"/>
        <rFont val="Calibri"/>
        <family val="2"/>
        <scheme val="minor"/>
      </rPr>
      <t xml:space="preserve">Speciated Organic Compound Emission Factors For Large Uncontrolled Diesel Engines </t>
    </r>
    <r>
      <rPr>
        <sz val="9"/>
        <rFont val="Calibri"/>
        <family val="2"/>
        <scheme val="minor"/>
      </rPr>
      <t xml:space="preserve">(10/96) and Table 3.4-4. </t>
    </r>
    <r>
      <rPr>
        <i/>
        <sz val="9"/>
        <rFont val="Calibri"/>
        <family val="2"/>
        <scheme val="minor"/>
      </rPr>
      <t>PAH Emission Factors for Large Uncontrolled Stationary Diesel Engines.</t>
    </r>
  </si>
  <si>
    <r>
      <t>PM/PM</t>
    </r>
    <r>
      <rPr>
        <vertAlign val="subscript"/>
        <sz val="9"/>
        <rFont val="Calibri"/>
        <family val="2"/>
        <scheme val="minor"/>
      </rPr>
      <t>10</t>
    </r>
    <r>
      <rPr>
        <sz val="9"/>
        <rFont val="Calibri"/>
        <family val="2"/>
        <scheme val="minor"/>
      </rPr>
      <t>/PM</t>
    </r>
    <r>
      <rPr>
        <vertAlign val="subscript"/>
        <sz val="9"/>
        <rFont val="Calibri"/>
        <family val="2"/>
        <scheme val="minor"/>
      </rPr>
      <t>2.5</t>
    </r>
    <r>
      <rPr>
        <sz val="9"/>
        <rFont val="Calibri"/>
        <family val="2"/>
        <scheme val="minor"/>
      </rPr>
      <t xml:space="preserve"> (FH+BH)</t>
    </r>
  </si>
  <si>
    <r>
      <rPr>
        <vertAlign val="superscript"/>
        <sz val="9"/>
        <rFont val="Calibri"/>
        <family val="2"/>
        <scheme val="minor"/>
      </rPr>
      <t>2</t>
    </r>
    <r>
      <rPr>
        <sz val="9"/>
        <rFont val="Calibri"/>
        <family val="2"/>
        <scheme val="minor"/>
      </rPr>
      <t xml:space="preserve"> PM (particulate matter) attributable to front-half (FH) "filterable" emissions and back-half (BH) "condensible" emissions is assumed equal to the sum of manufacturer reported nominal emissions for PM and hydrocarbons.</t>
    </r>
  </si>
  <si>
    <t>1,2</t>
  </si>
  <si>
    <r>
      <rPr>
        <vertAlign val="superscript"/>
        <sz val="9"/>
        <rFont val="Calibri"/>
        <family val="2"/>
        <scheme val="minor"/>
      </rPr>
      <t>b</t>
    </r>
    <r>
      <rPr>
        <sz val="9"/>
        <rFont val="Calibri"/>
        <family val="2"/>
        <scheme val="minor"/>
      </rPr>
      <t xml:space="preserve">  Annual emissions (tons/yr) = [Hourly Emissions (lb/hr)] / [2,000 lb/ton] x [Hours of Operation (hr/yr)] </t>
    </r>
  </si>
  <si>
    <r>
      <rPr>
        <vertAlign val="superscript"/>
        <sz val="9"/>
        <rFont val="Calibri"/>
        <family val="2"/>
        <scheme val="minor"/>
      </rPr>
      <t>4</t>
    </r>
    <r>
      <rPr>
        <sz val="9"/>
        <rFont val="Calibri"/>
        <family val="2"/>
        <scheme val="minor"/>
      </rPr>
      <t xml:space="preserve">  40 CFR 98.</t>
    </r>
  </si>
  <si>
    <r>
      <rPr>
        <vertAlign val="superscript"/>
        <sz val="9"/>
        <rFont val="Calibri"/>
        <family val="2"/>
        <scheme val="minor"/>
      </rPr>
      <t>5</t>
    </r>
    <r>
      <rPr>
        <sz val="9"/>
        <rFont val="Calibri"/>
        <family val="2"/>
        <scheme val="minor"/>
      </rPr>
      <t xml:space="preserve">  EPA Fuel Standard for Ultra-Low Sulfur Diesel</t>
    </r>
  </si>
  <si>
    <r>
      <rPr>
        <vertAlign val="superscript"/>
        <sz val="9"/>
        <rFont val="Calibri"/>
        <family val="2"/>
        <scheme val="minor"/>
      </rPr>
      <t>4</t>
    </r>
    <r>
      <rPr>
        <sz val="9"/>
        <rFont val="Calibri"/>
        <family val="2"/>
        <scheme val="minor"/>
      </rPr>
      <t xml:space="preserve">  EPA. 1998b. Compilation of Air Pollutant Emission Factors, Volume 1: Stationary Point and Area Sources, Chapter 1.4, Table 1.4-4: Emission Factors for Speciated Organic Compounds from Natural Combustion. AP-42. Office of Air Quality Planning and Standards, US Environmental Protection Agency. July.</t>
    </r>
  </si>
  <si>
    <r>
      <t>4</t>
    </r>
    <r>
      <rPr>
        <sz val="9"/>
        <rFont val="Calibri"/>
        <family val="2"/>
        <scheme val="minor"/>
      </rPr>
      <t xml:space="preserve">  EPA. 1998b. Compilation of Air Pollutant Emission Factors, Volume 1: Stationary Point and Area Sources, Chapter 1.4, Table 1.4-4: Emission Factors for Speciated Organic Compounds from Natural Combustion. AP-42. Office of Air Quality Planning and Standards, US Environmental Protection Agency. July.</t>
    </r>
  </si>
  <si>
    <r>
      <rPr>
        <vertAlign val="superscript"/>
        <sz val="9"/>
        <rFont val="Calibri"/>
        <family val="2"/>
        <scheme val="minor"/>
      </rPr>
      <t>5</t>
    </r>
    <r>
      <rPr>
        <sz val="9"/>
        <rFont val="Calibri"/>
        <family val="2"/>
        <scheme val="minor"/>
      </rPr>
      <t xml:space="preserve">  EPA. 1998b. Compilation of Air Pollutant Emission Factors, Volume 1: Stationary Point and Area Sources, Chapter 1.4, Table 1.4-3: Emission Factors for Speciated Organic Compounds from Natural Combustion. AP-42. Office of Air Quality Planning and Standards, US Environmental Protection Agency. July.</t>
    </r>
  </si>
  <si>
    <r>
      <t>5</t>
    </r>
    <r>
      <rPr>
        <sz val="9"/>
        <rFont val="Calibri"/>
        <family val="2"/>
        <scheme val="minor"/>
      </rPr>
      <t xml:space="preserve">  EPA. 1998b. Compilation of Air Pollutant Emission Factors, Volume 1: Stationary Point and Area Sources, Chapter 1.4, Table 1.4-3: Emission Factors for Speciated Organic Compounds from Natural Combustion. AP-42. Office of Air Quality Planning and Standards, US Environmental Protection Agency. July.</t>
    </r>
  </si>
  <si>
    <r>
      <rPr>
        <vertAlign val="superscript"/>
        <sz val="9"/>
        <rFont val="Calibri"/>
        <family val="2"/>
        <scheme val="minor"/>
      </rPr>
      <t>6</t>
    </r>
    <r>
      <rPr>
        <sz val="9"/>
        <rFont val="Calibri"/>
        <family val="2"/>
        <scheme val="minor"/>
      </rPr>
      <t xml:space="preserve"> See rates in Table B-1.</t>
    </r>
  </si>
  <si>
    <r>
      <t>6</t>
    </r>
    <r>
      <rPr>
        <sz val="9"/>
        <rFont val="Calibri"/>
        <family val="2"/>
        <scheme val="minor"/>
      </rPr>
      <t xml:space="preserve"> See rates in Table B-1.</t>
    </r>
  </si>
  <si>
    <r>
      <rPr>
        <vertAlign val="superscript"/>
        <sz val="9"/>
        <rFont val="Calibri"/>
        <family val="2"/>
        <scheme val="minor"/>
      </rPr>
      <t>7</t>
    </r>
    <r>
      <rPr>
        <sz val="9"/>
        <rFont val="Calibri"/>
        <family val="2"/>
        <scheme val="minor"/>
      </rPr>
      <t xml:space="preserve"> See fuel characteristics in Table B-2.</t>
    </r>
  </si>
  <si>
    <r>
      <t>7</t>
    </r>
    <r>
      <rPr>
        <sz val="9"/>
        <rFont val="Calibri"/>
        <family val="2"/>
        <scheme val="minor"/>
      </rPr>
      <t xml:space="preserve"> See fuel characteristics in Table B-2.</t>
    </r>
  </si>
  <si>
    <r>
      <rPr>
        <vertAlign val="superscript"/>
        <sz val="9"/>
        <rFont val="Calibri"/>
        <family val="2"/>
        <scheme val="minor"/>
      </rPr>
      <t>8</t>
    </r>
    <r>
      <rPr>
        <sz val="9"/>
        <rFont val="Calibri"/>
        <family val="2"/>
        <scheme val="minor"/>
      </rPr>
      <t xml:space="preserve"> NSPS Subpart D.</t>
    </r>
  </si>
  <si>
    <r>
      <t>8</t>
    </r>
    <r>
      <rPr>
        <sz val="9"/>
        <rFont val="Calibri"/>
        <family val="2"/>
        <scheme val="minor"/>
      </rPr>
      <t xml:space="preserve"> NSPS Subpart D.</t>
    </r>
  </si>
  <si>
    <t>8</t>
  </si>
  <si>
    <r>
      <rPr>
        <vertAlign val="superscript"/>
        <sz val="9"/>
        <rFont val="Calibri"/>
        <family val="2"/>
        <scheme val="minor"/>
      </rPr>
      <t>3</t>
    </r>
    <r>
      <rPr>
        <sz val="9"/>
        <rFont val="Calibri"/>
        <family val="2"/>
        <scheme val="minor"/>
      </rPr>
      <t xml:space="preserve"> Maximum of California Air Toxics Emission Factors (median value), EPA's Web Factor Information Retrieval System (WebFIRE) database, San Diego Air Pollution Control District emission factor tables, and Ventura County Air Pollution Control District's default emission factors for AB2588 reporting.</t>
    </r>
  </si>
  <si>
    <r>
      <t>3</t>
    </r>
    <r>
      <rPr>
        <sz val="9"/>
        <rFont val="Calibri"/>
        <family val="2"/>
        <scheme val="minor"/>
      </rPr>
      <t xml:space="preserve"> Maximum of California Air Toxics Emission Factors (median value), EPA's Web Factor Information Retrieval System (WebFIRE) database, San Diego Air Pollution Control District emission factor tables, and Ventura County Air Pollution Control District's default emission factors for AB2588 reporting.</t>
    </r>
  </si>
  <si>
    <t>Holding and Small Cold Burner</t>
  </si>
  <si>
    <t>pounds/yr</t>
  </si>
  <si>
    <t>Total TAPs</t>
  </si>
  <si>
    <t>x</t>
  </si>
  <si>
    <t>TAPs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</si>
</sst>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
    <numFmt numFmtId="165" formatCode="0.0E+00"/>
    <numFmt numFmtId="166" formatCode="#,##0.0"/>
    <numFmt numFmtId="167" formatCode="#,##0.000"/>
    <numFmt numFmtId="168" formatCode="0.000"/>
    <numFmt numFmtId="169" formatCode="0.0000"/>
    <numFmt numFmtId="170" formatCode="0.00000"/>
    <numFmt numFmtId="171" formatCode="0.0E+00_)"/>
    <numFmt numFmtId="172" formatCode="0.0%"/>
  </numFmts>
  <fonts count="52">
    <font>
      <sz val="11"/>
      <color theme="1"/>
      <name val="Calibri"/>
      <family val="2"/>
      <scheme val="minor"/>
    </font>
    <font>
      <sz val="11"/>
      <color theme="1"/>
      <name val="Calibri"/>
      <family val="2"/>
      <scheme val="minor"/>
    </font>
    <font>
      <b/>
      <sz val="9"/>
      <color theme="1"/>
      <name val="Calibri"/>
      <family val="2"/>
      <scheme val="minor"/>
    </font>
    <font>
      <sz val="9"/>
      <name val="Calibri"/>
      <family val="2"/>
      <scheme val="minor"/>
    </font>
    <font>
      <sz val="9"/>
      <color theme="1"/>
      <name val="Calibri"/>
      <family val="2"/>
      <scheme val="minor"/>
    </font>
    <font>
      <b/>
      <sz val="9"/>
      <name val="Calibri"/>
      <family val="2"/>
      <scheme val="minor"/>
    </font>
    <font>
      <vertAlign val="superscript"/>
      <sz val="9"/>
      <name val="Calibri"/>
      <family val="2"/>
      <scheme val="minor"/>
    </font>
    <font>
      <vertAlign val="subscript"/>
      <sz val="9"/>
      <name val="Calibri"/>
      <family val="2"/>
      <scheme val="minor"/>
    </font>
    <font>
      <i/>
      <sz val="9"/>
      <name val="Calibri"/>
      <family val="2"/>
      <scheme val="minor"/>
    </font>
    <font>
      <b/>
      <sz val="9"/>
      <name val="Arial"/>
      <family val="2"/>
    </font>
    <font>
      <sz val="10"/>
      <name val="Century"/>
      <family val="1"/>
    </font>
    <font>
      <sz val="9"/>
      <color rgb="FF7030A0"/>
      <name val="Calibri"/>
      <family val="2"/>
      <scheme val="minor"/>
    </font>
    <font>
      <sz val="9"/>
      <color indexed="81"/>
      <name val="Tahoma"/>
      <family val="2"/>
    </font>
    <font>
      <b/>
      <sz val="9"/>
      <color indexed="81"/>
      <name val="Tahoma"/>
      <family val="2"/>
    </font>
    <font>
      <sz val="11"/>
      <color rgb="FF006100"/>
      <name val="Calibri"/>
      <family val="2"/>
      <scheme val="minor"/>
    </font>
    <font>
      <sz val="11"/>
      <name val="CG Times"/>
    </font>
    <font>
      <sz val="12"/>
      <name val="CG Times (WN)"/>
    </font>
    <font>
      <sz val="9"/>
      <color indexed="10"/>
      <name val="Calibri"/>
      <family val="2"/>
      <scheme val="minor"/>
    </font>
    <font>
      <sz val="10"/>
      <name val="Times New Roman"/>
      <family val="1"/>
    </font>
    <font>
      <sz val="10"/>
      <name val="Arial"/>
      <family val="2"/>
    </font>
    <font>
      <sz val="10"/>
      <name val="CG Times (WN)"/>
    </font>
    <font>
      <sz val="11"/>
      <name val="Calibri"/>
      <family val="2"/>
      <scheme val="minor"/>
    </font>
    <font>
      <vertAlign val="superscript"/>
      <sz val="9"/>
      <color indexed="10"/>
      <name val="Calibri"/>
      <family val="2"/>
      <scheme val="minor"/>
    </font>
    <font>
      <sz val="9"/>
      <color rgb="FF0070C0"/>
      <name val="Calibri"/>
      <family val="2"/>
      <scheme val="minor"/>
    </font>
    <font>
      <sz val="11"/>
      <color rgb="FF3F3F76"/>
      <name val="Calibri"/>
      <family val="2"/>
      <scheme val="minor"/>
    </font>
    <font>
      <vertAlign val="subscript"/>
      <sz val="9"/>
      <color rgb="FF7030A0"/>
      <name val="Calibri"/>
      <family val="2"/>
      <scheme val="minor"/>
    </font>
    <font>
      <vertAlign val="superscript"/>
      <sz val="9"/>
      <color rgb="FF7030A0"/>
      <name val="Calibri"/>
      <family val="2"/>
      <scheme val="minor"/>
    </font>
    <font>
      <sz val="8"/>
      <color theme="1"/>
      <name val="Arial"/>
      <family val="2"/>
    </font>
    <font>
      <sz val="9"/>
      <name val="Symbol"/>
      <family val="1"/>
      <charset val="2"/>
    </font>
    <font>
      <u/>
      <sz val="11"/>
      <color theme="10"/>
      <name val="Calibri"/>
      <family val="2"/>
      <scheme val="minor"/>
    </font>
    <font>
      <vertAlign val="superscript"/>
      <sz val="9"/>
      <color theme="1"/>
      <name val="Calibri"/>
      <family val="2"/>
      <scheme val="minor"/>
    </font>
    <font>
      <b/>
      <vertAlign val="superscript"/>
      <sz val="9"/>
      <color theme="1"/>
      <name val="Calibri"/>
      <family val="2"/>
      <scheme val="minor"/>
    </font>
    <font>
      <b/>
      <vertAlign val="superscript"/>
      <sz val="9"/>
      <name val="Calibri"/>
      <family val="2"/>
      <scheme val="minor"/>
    </font>
    <font>
      <sz val="9"/>
      <color theme="1"/>
      <name val="Symbol"/>
      <family val="1"/>
      <charset val="2"/>
    </font>
    <font>
      <b/>
      <sz val="9"/>
      <color rgb="FF7030A0"/>
      <name val="Calibri"/>
      <family val="2"/>
      <scheme val="minor"/>
    </font>
    <font>
      <i/>
      <sz val="9"/>
      <color theme="1"/>
      <name val="Calibri"/>
      <family val="2"/>
      <scheme val="minor"/>
    </font>
    <font>
      <sz val="9"/>
      <color rgb="FFFF0000"/>
      <name val="Calibri"/>
      <family val="2"/>
      <scheme val="minor"/>
    </font>
    <font>
      <sz val="9"/>
      <color rgb="FFFFC000"/>
      <name val="Calibri"/>
      <family val="2"/>
      <scheme val="minor"/>
    </font>
    <font>
      <sz val="3"/>
      <color theme="1"/>
      <name val="Calibri"/>
      <family val="2"/>
      <scheme val="minor"/>
    </font>
    <font>
      <sz val="3"/>
      <color rgb="FF7030A0"/>
      <name val="Calibri"/>
      <family val="2"/>
      <scheme val="minor"/>
    </font>
    <font>
      <sz val="3"/>
      <name val="Calibri"/>
      <family val="2"/>
      <scheme val="minor"/>
    </font>
    <font>
      <vertAlign val="subscript"/>
      <sz val="3"/>
      <color rgb="FF7030A0"/>
      <name val="Calibri"/>
      <family val="2"/>
      <scheme val="minor"/>
    </font>
    <font>
      <b/>
      <sz val="3"/>
      <name val="Calibri"/>
      <family val="2"/>
      <scheme val="minor"/>
    </font>
    <font>
      <b/>
      <i/>
      <sz val="9"/>
      <name val="Calibri"/>
      <family val="2"/>
      <scheme val="minor"/>
    </font>
    <font>
      <sz val="5"/>
      <name val="Calibri"/>
      <family val="2"/>
      <scheme val="minor"/>
    </font>
    <font>
      <sz val="5"/>
      <color theme="1"/>
      <name val="Calibri"/>
      <family val="2"/>
      <scheme val="minor"/>
    </font>
    <font>
      <sz val="5"/>
      <color rgb="FFFFC000"/>
      <name val="Calibri"/>
      <family val="2"/>
      <scheme val="minor"/>
    </font>
    <font>
      <sz val="5"/>
      <color indexed="10"/>
      <name val="Calibri"/>
      <family val="2"/>
      <scheme val="minor"/>
    </font>
    <font>
      <vertAlign val="superscript"/>
      <sz val="5"/>
      <color indexed="10"/>
      <name val="Calibri"/>
      <family val="2"/>
      <scheme val="minor"/>
    </font>
    <font>
      <sz val="5"/>
      <color rgb="FFFF0000"/>
      <name val="Calibri"/>
      <family val="2"/>
      <scheme val="minor"/>
    </font>
    <font>
      <sz val="10"/>
      <name val="MS Sans Serif"/>
      <family val="2"/>
    </font>
    <font>
      <strike/>
      <sz val="9"/>
      <name val="Calibri"/>
      <family val="2"/>
      <scheme val="minor"/>
    </font>
  </fonts>
  <fills count="9">
    <fill>
      <patternFill patternType="none"/>
    </fill>
    <fill>
      <patternFill patternType="gray125"/>
    </fill>
    <fill>
      <patternFill patternType="solid">
        <fgColor rgb="FFC6EFCE"/>
      </patternFill>
    </fill>
    <fill>
      <patternFill patternType="solid">
        <fgColor rgb="FFFFCC99"/>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double">
        <color indexed="64"/>
      </bottom>
      <diagonal/>
    </border>
    <border>
      <left style="medium">
        <color indexed="64"/>
      </left>
      <right/>
      <top style="double">
        <color indexed="64"/>
      </top>
      <bottom style="thin">
        <color indexed="64"/>
      </bottom>
      <diagonal/>
    </border>
    <border>
      <left style="hair">
        <color indexed="64"/>
      </left>
      <right style="medium">
        <color indexed="64"/>
      </right>
      <top style="double">
        <color indexed="64"/>
      </top>
      <bottom style="thin">
        <color indexed="64"/>
      </bottom>
      <diagonal/>
    </border>
    <border>
      <left style="hair">
        <color indexed="64"/>
      </left>
      <right style="medium">
        <color indexed="64"/>
      </right>
      <top/>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medium">
        <color indexed="64"/>
      </left>
      <right/>
      <top/>
      <bottom style="double">
        <color indexed="64"/>
      </bottom>
      <diagonal/>
    </border>
  </borders>
  <cellStyleXfs count="50">
    <xf numFmtId="0" fontId="0" fillId="0" borderId="0"/>
    <xf numFmtId="43" fontId="1" fillId="0" borderId="0" applyFont="0" applyFill="0" applyBorder="0" applyAlignment="0" applyProtection="0"/>
    <xf numFmtId="0" fontId="9" fillId="0" borderId="3">
      <alignment horizontal="center" vertical="center"/>
    </xf>
    <xf numFmtId="9" fontId="1" fillId="0" borderId="0" applyFon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2" borderId="0" applyNumberFormat="0" applyBorder="0" applyAlignment="0" applyProtection="0"/>
    <xf numFmtId="0" fontId="15" fillId="0" borderId="0"/>
    <xf numFmtId="0" fontId="16" fillId="0" borderId="0"/>
    <xf numFmtId="0" fontId="1" fillId="0" borderId="0"/>
    <xf numFmtId="0" fontId="18" fillId="0" borderId="0"/>
    <xf numFmtId="0" fontId="16" fillId="0" borderId="0"/>
    <xf numFmtId="0" fontId="19" fillId="0" borderId="0"/>
    <xf numFmtId="0" fontId="20" fillId="0" borderId="0"/>
    <xf numFmtId="0" fontId="1" fillId="0" borderId="0"/>
    <xf numFmtId="0" fontId="19" fillId="0" borderId="0"/>
    <xf numFmtId="0" fontId="1" fillId="0" borderId="0"/>
    <xf numFmtId="0" fontId="27" fillId="0" borderId="0"/>
    <xf numFmtId="3" fontId="27" fillId="0" borderId="0"/>
    <xf numFmtId="0" fontId="19" fillId="0" borderId="0"/>
    <xf numFmtId="0" fontId="19" fillId="0" borderId="0"/>
    <xf numFmtId="0" fontId="24" fillId="3" borderId="23" applyNumberFormat="0" applyAlignment="0" applyProtection="0"/>
    <xf numFmtId="0" fontId="1" fillId="0" borderId="0"/>
    <xf numFmtId="0" fontId="29" fillId="0" borderId="0" applyNumberFormat="0" applyFill="0" applyBorder="0" applyAlignment="0" applyProtection="0"/>
    <xf numFmtId="0" fontId="50" fillId="0" borderId="0"/>
  </cellStyleXfs>
  <cellXfs count="655">
    <xf numFmtId="0" fontId="0" fillId="0" borderId="0" xfId="0"/>
    <xf numFmtId="0" fontId="4" fillId="0" borderId="0" xfId="0" applyFont="1"/>
    <xf numFmtId="0" fontId="3" fillId="0" borderId="0" xfId="0" applyFont="1" applyAlignment="1">
      <alignment vertical="top"/>
    </xf>
    <xf numFmtId="1" fontId="3" fillId="0" borderId="0" xfId="0" applyNumberFormat="1" applyFont="1" applyAlignment="1">
      <alignment vertical="top"/>
    </xf>
    <xf numFmtId="0" fontId="3" fillId="0" borderId="0" xfId="0" applyFont="1" applyFill="1" applyAlignment="1">
      <alignment vertical="top"/>
    </xf>
    <xf numFmtId="1" fontId="3" fillId="0" borderId="0" xfId="0" applyNumberFormat="1" applyFont="1" applyFill="1" applyAlignment="1">
      <alignment vertical="top"/>
    </xf>
    <xf numFmtId="0" fontId="3" fillId="0" borderId="0" xfId="0" applyFont="1" applyAlignment="1">
      <alignment horizontal="right" vertical="center"/>
    </xf>
    <xf numFmtId="0" fontId="5" fillId="0" borderId="0" xfId="32" applyFont="1" applyFill="1" applyAlignment="1">
      <alignment vertical="center"/>
    </xf>
    <xf numFmtId="0" fontId="3" fillId="0" borderId="0" xfId="32" applyFont="1" applyFill="1" applyAlignment="1">
      <alignment horizontal="left" vertical="center"/>
    </xf>
    <xf numFmtId="0" fontId="3" fillId="0" borderId="0" xfId="36" applyFont="1" applyFill="1" applyAlignment="1">
      <alignment horizontal="right"/>
    </xf>
    <xf numFmtId="3" fontId="3" fillId="0" borderId="0" xfId="36" applyNumberFormat="1" applyFont="1" applyFill="1" applyAlignment="1">
      <alignment horizontal="center"/>
    </xf>
    <xf numFmtId="49" fontId="3" fillId="0" borderId="0" xfId="36" applyNumberFormat="1" applyFont="1" applyFill="1" applyAlignment="1">
      <alignment horizontal="left"/>
    </xf>
    <xf numFmtId="0" fontId="5" fillId="0" borderId="0" xfId="32" applyFont="1" applyAlignment="1">
      <alignment vertical="center"/>
    </xf>
    <xf numFmtId="0" fontId="3" fillId="0" borderId="0" xfId="36" applyFont="1" applyFill="1" applyAlignment="1">
      <alignment horizontal="left" vertical="center"/>
    </xf>
    <xf numFmtId="0" fontId="17" fillId="0" borderId="0" xfId="32" applyFont="1" applyFill="1" applyAlignment="1">
      <alignment horizontal="right" vertical="center"/>
    </xf>
    <xf numFmtId="0" fontId="17" fillId="0" borderId="0" xfId="32" applyFont="1" applyFill="1" applyAlignment="1">
      <alignment horizontal="left" vertical="center"/>
    </xf>
    <xf numFmtId="49" fontId="3" fillId="0" borderId="10" xfId="32" applyNumberFormat="1" applyFont="1" applyFill="1" applyBorder="1" applyAlignment="1">
      <alignment horizontal="center" vertical="center"/>
    </xf>
    <xf numFmtId="0" fontId="4" fillId="0" borderId="0" xfId="0" applyFont="1" applyFill="1"/>
    <xf numFmtId="0" fontId="3" fillId="0" borderId="0" xfId="32" quotePrefix="1" applyFont="1" applyFill="1" applyAlignment="1">
      <alignment wrapText="1"/>
    </xf>
    <xf numFmtId="0" fontId="3" fillId="0" borderId="0" xfId="37" applyFont="1" applyFill="1" applyAlignment="1"/>
    <xf numFmtId="0" fontId="3" fillId="0" borderId="0" xfId="38" applyFont="1" applyFill="1" applyAlignment="1">
      <alignment horizontal="right" vertical="center"/>
    </xf>
    <xf numFmtId="3" fontId="3" fillId="0" borderId="0" xfId="38" applyNumberFormat="1" applyFont="1" applyFill="1" applyAlignment="1">
      <alignment horizontal="center" vertical="center"/>
    </xf>
    <xf numFmtId="0" fontId="17" fillId="0" borderId="0" xfId="32" applyFont="1" applyFill="1" applyAlignment="1">
      <alignment vertical="center"/>
    </xf>
    <xf numFmtId="0" fontId="11" fillId="0" borderId="0" xfId="0" applyFont="1" applyFill="1"/>
    <xf numFmtId="0" fontId="23" fillId="0" borderId="0" xfId="34" applyFont="1"/>
    <xf numFmtId="0" fontId="3" fillId="0" borderId="0" xfId="32" applyFont="1" applyFill="1" applyBorder="1" applyAlignment="1">
      <alignment vertical="center"/>
    </xf>
    <xf numFmtId="0" fontId="5" fillId="0" borderId="0" xfId="32" applyFont="1" applyFill="1" applyBorder="1" applyAlignment="1">
      <alignment vertical="center"/>
    </xf>
    <xf numFmtId="0" fontId="3" fillId="0" borderId="0" xfId="32" applyFont="1" applyFill="1" applyBorder="1" applyAlignment="1">
      <alignment horizontal="left" vertical="center" indent="2"/>
    </xf>
    <xf numFmtId="0" fontId="5" fillId="0" borderId="0" xfId="32" applyFont="1" applyFill="1" applyBorder="1" applyAlignment="1">
      <alignment horizontal="left" vertical="center" indent="2"/>
    </xf>
    <xf numFmtId="0" fontId="3" fillId="0" borderId="0" xfId="36" applyFont="1" applyFill="1" applyBorder="1" applyAlignment="1">
      <alignment horizontal="right" vertical="center"/>
    </xf>
    <xf numFmtId="3" fontId="3" fillId="0" borderId="0" xfId="36" applyNumberFormat="1" applyFont="1" applyFill="1" applyBorder="1" applyAlignment="1">
      <alignment horizontal="center" vertical="center"/>
    </xf>
    <xf numFmtId="49" fontId="3" fillId="0" borderId="0" xfId="36" quotePrefix="1" applyNumberFormat="1" applyFont="1" applyFill="1" applyBorder="1" applyAlignment="1">
      <alignment horizontal="left" vertical="center"/>
    </xf>
    <xf numFmtId="49" fontId="3" fillId="0" borderId="0" xfId="36" applyNumberFormat="1" applyFont="1" applyFill="1" applyBorder="1" applyAlignment="1">
      <alignment horizontal="left" vertical="center"/>
    </xf>
    <xf numFmtId="0" fontId="23" fillId="0" borderId="0" xfId="32" applyFont="1" applyAlignment="1">
      <alignment vertical="center"/>
    </xf>
    <xf numFmtId="0" fontId="3" fillId="0" borderId="0" xfId="36" applyFont="1" applyFill="1" applyAlignment="1">
      <alignment horizontal="right" vertical="center"/>
    </xf>
    <xf numFmtId="49" fontId="3" fillId="0" borderId="0" xfId="36" applyNumberFormat="1" applyFont="1" applyFill="1" applyAlignment="1">
      <alignment horizontal="left" vertical="center"/>
    </xf>
    <xf numFmtId="0" fontId="23" fillId="0" borderId="0" xfId="34" applyFont="1" applyAlignment="1">
      <alignment vertical="center"/>
    </xf>
    <xf numFmtId="0" fontId="3" fillId="0" borderId="0" xfId="32" applyFont="1" applyFill="1" applyBorder="1" applyAlignment="1">
      <alignment vertical="center" wrapText="1"/>
    </xf>
    <xf numFmtId="0" fontId="3" fillId="0" borderId="0" xfId="32" applyFont="1" applyFill="1" applyAlignment="1">
      <alignment vertical="center"/>
    </xf>
    <xf numFmtId="3" fontId="3" fillId="0" borderId="0" xfId="36" applyNumberFormat="1" applyFont="1" applyFill="1" applyAlignment="1">
      <alignment horizontal="right" vertical="center"/>
    </xf>
    <xf numFmtId="164" fontId="3" fillId="0" borderId="0" xfId="34" quotePrefix="1" applyNumberFormat="1" applyFont="1" applyFill="1" applyAlignment="1">
      <alignment horizontal="center" vertical="center"/>
    </xf>
    <xf numFmtId="0" fontId="4" fillId="0" borderId="0" xfId="34" quotePrefix="1" applyFont="1"/>
    <xf numFmtId="0" fontId="3" fillId="0" borderId="0" xfId="36" applyFont="1" applyFill="1" applyAlignment="1">
      <alignment horizontal="right" vertical="top"/>
    </xf>
    <xf numFmtId="3" fontId="3" fillId="0" borderId="0" xfId="36" applyNumberFormat="1" applyFont="1" applyFill="1" applyAlignment="1">
      <alignment horizontal="center" vertical="top"/>
    </xf>
    <xf numFmtId="0" fontId="3" fillId="0" borderId="0" xfId="38" applyFont="1" applyFill="1" applyAlignment="1">
      <alignment horizontal="right" vertical="top"/>
    </xf>
    <xf numFmtId="3" fontId="3" fillId="0" borderId="0" xfId="38" applyNumberFormat="1" applyFont="1" applyFill="1" applyAlignment="1">
      <alignment horizontal="center" vertical="top"/>
    </xf>
    <xf numFmtId="0" fontId="5" fillId="0" borderId="0" xfId="32" applyFont="1" applyFill="1" applyAlignment="1">
      <alignment vertical="top"/>
    </xf>
    <xf numFmtId="0" fontId="3" fillId="0" borderId="0" xfId="36" applyFont="1" applyFill="1" applyAlignment="1">
      <alignment horizontal="left" vertical="top"/>
    </xf>
    <xf numFmtId="172" fontId="3" fillId="0" borderId="0" xfId="40" applyNumberFormat="1" applyFont="1" applyFill="1" applyAlignment="1">
      <alignment horizontal="center" vertical="center"/>
    </xf>
    <xf numFmtId="0" fontId="3" fillId="0" borderId="0" xfId="0" applyFont="1" applyFill="1" applyBorder="1" applyAlignment="1">
      <alignment horizontal="right" vertical="top"/>
    </xf>
    <xf numFmtId="168" fontId="3" fillId="0" borderId="0" xfId="32" applyNumberFormat="1" applyFont="1" applyFill="1" applyAlignment="1">
      <alignment horizontal="center" vertical="top" wrapText="1"/>
    </xf>
    <xf numFmtId="1" fontId="3" fillId="0" borderId="0" xfId="0" applyNumberFormat="1" applyFont="1" applyFill="1" applyAlignment="1">
      <alignment horizontal="center" vertical="center"/>
    </xf>
    <xf numFmtId="1" fontId="3" fillId="0" borderId="0" xfId="1" applyNumberFormat="1" applyFont="1" applyFill="1" applyAlignment="1">
      <alignment horizontal="center"/>
    </xf>
    <xf numFmtId="9" fontId="3" fillId="0" borderId="0" xfId="3" applyFont="1" applyFill="1" applyAlignment="1">
      <alignment horizontal="center" vertical="top"/>
    </xf>
    <xf numFmtId="1" fontId="3" fillId="0" borderId="0" xfId="0" applyNumberFormat="1" applyFont="1" applyFill="1" applyAlignment="1">
      <alignment horizontal="center" vertical="top"/>
    </xf>
    <xf numFmtId="0" fontId="26" fillId="0" borderId="0" xfId="0" applyFont="1" applyAlignment="1">
      <alignment vertical="center"/>
    </xf>
    <xf numFmtId="172" fontId="3" fillId="0" borderId="0" xfId="3" applyNumberFormat="1" applyFont="1" applyFill="1" applyAlignment="1">
      <alignment horizontal="center"/>
    </xf>
    <xf numFmtId="166" fontId="3" fillId="0" borderId="0" xfId="36" applyNumberFormat="1" applyFont="1" applyFill="1" applyAlignment="1">
      <alignment horizontal="center" vertical="top"/>
    </xf>
    <xf numFmtId="9" fontId="3" fillId="0" borderId="0" xfId="3" applyNumberFormat="1" applyFont="1" applyFill="1" applyAlignment="1">
      <alignment horizontal="center"/>
    </xf>
    <xf numFmtId="0" fontId="3" fillId="0" borderId="0" xfId="32" applyFont="1" applyFill="1" applyAlignment="1">
      <alignment horizontal="right" vertical="top"/>
    </xf>
    <xf numFmtId="0" fontId="4" fillId="0" borderId="0" xfId="0" quotePrefix="1" applyFont="1" applyAlignment="1">
      <alignment vertical="top" wrapText="1"/>
    </xf>
    <xf numFmtId="0" fontId="3" fillId="0" borderId="0" xfId="32" applyFont="1" applyAlignment="1">
      <alignment wrapText="1"/>
    </xf>
    <xf numFmtId="0" fontId="3" fillId="0" borderId="0" xfId="32" applyFont="1" applyFill="1" applyAlignment="1">
      <alignment vertical="top" wrapText="1"/>
    </xf>
    <xf numFmtId="3" fontId="4" fillId="0" borderId="0" xfId="43" applyFont="1"/>
    <xf numFmtId="3" fontId="4" fillId="0" borderId="0" xfId="43" applyFont="1" applyFill="1"/>
    <xf numFmtId="3" fontId="3" fillId="0" borderId="15" xfId="31" applyNumberFormat="1" applyFont="1" applyFill="1" applyBorder="1" applyAlignment="1">
      <alignment horizontal="left"/>
    </xf>
    <xf numFmtId="0" fontId="3" fillId="0" borderId="7" xfId="9" applyNumberFormat="1" applyFont="1" applyFill="1" applyBorder="1" applyAlignment="1"/>
    <xf numFmtId="0" fontId="3" fillId="0" borderId="8" xfId="9" applyNumberFormat="1" applyFont="1" applyFill="1" applyBorder="1" applyAlignment="1"/>
    <xf numFmtId="3" fontId="3" fillId="0" borderId="7" xfId="9" applyNumberFormat="1" applyFont="1" applyFill="1" applyBorder="1" applyAlignment="1"/>
    <xf numFmtId="3" fontId="4" fillId="0" borderId="15" xfId="0" applyNumberFormat="1" applyFont="1" applyBorder="1" applyAlignment="1">
      <alignment horizontal="center"/>
    </xf>
    <xf numFmtId="0" fontId="3" fillId="0" borderId="15" xfId="9" applyFont="1" applyFill="1" applyBorder="1" applyAlignment="1">
      <alignment horizontal="left"/>
    </xf>
    <xf numFmtId="0" fontId="11" fillId="0" borderId="0" xfId="0" applyFont="1"/>
    <xf numFmtId="0" fontId="3" fillId="0" borderId="15" xfId="9" applyFont="1" applyFill="1" applyBorder="1" applyAlignment="1">
      <alignment horizontal="left" indent="1"/>
    </xf>
    <xf numFmtId="0" fontId="3" fillId="0" borderId="7" xfId="9" quotePrefix="1" applyNumberFormat="1" applyFont="1" applyFill="1" applyBorder="1" applyAlignment="1">
      <alignment horizontal="centerContinuous"/>
    </xf>
    <xf numFmtId="0" fontId="3" fillId="0" borderId="8" xfId="9" applyNumberFormat="1" applyFont="1" applyFill="1" applyBorder="1" applyAlignment="1">
      <alignment horizontal="centerContinuous"/>
    </xf>
    <xf numFmtId="3" fontId="4" fillId="0" borderId="15" xfId="0" quotePrefix="1" applyNumberFormat="1" applyFont="1" applyBorder="1" applyAlignment="1">
      <alignment horizontal="center"/>
    </xf>
    <xf numFmtId="3" fontId="4" fillId="0" borderId="15" xfId="0" applyNumberFormat="1" applyFont="1" applyFill="1" applyBorder="1" applyAlignment="1">
      <alignment horizontal="center"/>
    </xf>
    <xf numFmtId="0" fontId="3" fillId="0" borderId="14" xfId="9" applyFont="1" applyFill="1" applyBorder="1" applyAlignment="1">
      <alignment horizontal="left"/>
    </xf>
    <xf numFmtId="0" fontId="23" fillId="0" borderId="0" xfId="0" applyFont="1"/>
    <xf numFmtId="0" fontId="3" fillId="0" borderId="0" xfId="32" applyFont="1" applyFill="1" applyAlignment="1">
      <alignment vertical="top"/>
    </xf>
    <xf numFmtId="3" fontId="3" fillId="0" borderId="15" xfId="31" applyNumberFormat="1" applyFont="1" applyFill="1" applyBorder="1" applyAlignment="1">
      <alignment horizontal="center"/>
    </xf>
    <xf numFmtId="3" fontId="11" fillId="0" borderId="0" xfId="43" applyFont="1"/>
    <xf numFmtId="0" fontId="5" fillId="0" borderId="15" xfId="32" applyFont="1" applyFill="1" applyBorder="1" applyAlignment="1">
      <alignment horizontal="left" vertical="center"/>
    </xf>
    <xf numFmtId="0" fontId="3" fillId="0" borderId="15" xfId="32" applyFont="1" applyFill="1" applyBorder="1" applyAlignment="1">
      <alignment horizontal="left" vertical="center" indent="1"/>
    </xf>
    <xf numFmtId="2" fontId="3" fillId="0" borderId="15" xfId="32" applyNumberFormat="1" applyFont="1" applyFill="1" applyBorder="1" applyAlignment="1">
      <alignment horizontal="center" vertical="center"/>
    </xf>
    <xf numFmtId="168" fontId="3" fillId="0" borderId="15" xfId="32" applyNumberFormat="1" applyFont="1" applyFill="1" applyBorder="1" applyAlignment="1">
      <alignment horizontal="center" vertical="center"/>
    </xf>
    <xf numFmtId="164" fontId="3" fillId="0" borderId="15" xfId="32" applyNumberFormat="1" applyFont="1" applyFill="1" applyBorder="1" applyAlignment="1">
      <alignment horizontal="center" vertical="center"/>
    </xf>
    <xf numFmtId="169" fontId="3" fillId="0" borderId="15" xfId="32" applyNumberFormat="1" applyFont="1" applyFill="1" applyBorder="1" applyAlignment="1">
      <alignment horizontal="center" vertical="center"/>
    </xf>
    <xf numFmtId="1" fontId="3" fillId="0" borderId="15" xfId="32" applyNumberFormat="1" applyFont="1" applyFill="1" applyBorder="1" applyAlignment="1">
      <alignment horizontal="center" vertical="center"/>
    </xf>
    <xf numFmtId="0" fontId="3" fillId="0" borderId="14" xfId="32" applyFont="1" applyFill="1" applyBorder="1" applyAlignment="1">
      <alignment horizontal="left" vertical="center" indent="1"/>
    </xf>
    <xf numFmtId="165" fontId="3" fillId="0" borderId="15" xfId="32" applyNumberFormat="1" applyFont="1" applyFill="1" applyBorder="1" applyAlignment="1">
      <alignment horizontal="center" vertical="center"/>
    </xf>
    <xf numFmtId="0" fontId="5" fillId="0" borderId="16" xfId="34" applyFont="1" applyFill="1" applyBorder="1" applyAlignment="1">
      <alignment horizontal="center" wrapText="1"/>
    </xf>
    <xf numFmtId="0" fontId="17" fillId="0" borderId="0" xfId="34" applyFont="1" applyFill="1" applyBorder="1" applyAlignment="1" applyProtection="1">
      <alignment vertical="center"/>
      <protection locked="0"/>
    </xf>
    <xf numFmtId="49" fontId="5" fillId="0" borderId="8" xfId="32" applyNumberFormat="1" applyFont="1" applyFill="1" applyBorder="1" applyAlignment="1" applyProtection="1">
      <alignment horizontal="center" vertical="center"/>
      <protection locked="0"/>
    </xf>
    <xf numFmtId="0" fontId="17" fillId="0" borderId="15" xfId="34" applyFont="1" applyFill="1" applyBorder="1" applyAlignment="1" applyProtection="1">
      <alignment vertical="center"/>
      <protection locked="0"/>
    </xf>
    <xf numFmtId="0" fontId="3" fillId="0" borderId="0" xfId="32" applyNumberFormat="1" applyFont="1" applyFill="1" applyBorder="1" applyAlignment="1">
      <alignment vertical="center"/>
    </xf>
    <xf numFmtId="1" fontId="3" fillId="0" borderId="0" xfId="32" applyNumberFormat="1" applyFont="1" applyFill="1" applyBorder="1" applyAlignment="1">
      <alignment vertical="center"/>
    </xf>
    <xf numFmtId="164" fontId="3" fillId="0" borderId="0" xfId="32" applyNumberFormat="1" applyFont="1" applyFill="1" applyBorder="1" applyAlignment="1">
      <alignment vertical="center"/>
    </xf>
    <xf numFmtId="0" fontId="3" fillId="0" borderId="14" xfId="32" applyFont="1" applyFill="1" applyBorder="1" applyAlignment="1">
      <alignment horizontal="left" vertical="center"/>
    </xf>
    <xf numFmtId="169" fontId="3" fillId="0" borderId="6" xfId="32" applyNumberFormat="1" applyFont="1" applyFill="1" applyBorder="1" applyAlignment="1">
      <alignment vertical="center"/>
    </xf>
    <xf numFmtId="165" fontId="3" fillId="0" borderId="14" xfId="32" applyNumberFormat="1" applyFont="1" applyFill="1" applyBorder="1" applyAlignment="1">
      <alignment horizontal="center" vertical="center"/>
    </xf>
    <xf numFmtId="0" fontId="5" fillId="0" borderId="13" xfId="32" applyFont="1" applyFill="1" applyBorder="1" applyAlignment="1">
      <alignment horizontal="left" vertical="center"/>
    </xf>
    <xf numFmtId="165" fontId="3" fillId="0" borderId="10" xfId="32" applyNumberFormat="1" applyFont="1" applyFill="1" applyBorder="1" applyAlignment="1">
      <alignment vertical="center"/>
    </xf>
    <xf numFmtId="168" fontId="3" fillId="0" borderId="13" xfId="32" applyNumberFormat="1" applyFont="1" applyFill="1" applyBorder="1" applyAlignment="1">
      <alignment horizontal="center" vertical="center"/>
    </xf>
    <xf numFmtId="165" fontId="3" fillId="0" borderId="0" xfId="32" applyNumberFormat="1" applyFont="1" applyFill="1" applyBorder="1" applyAlignment="1">
      <alignment vertical="center"/>
    </xf>
    <xf numFmtId="0" fontId="8" fillId="0" borderId="15" xfId="33" applyFont="1" applyFill="1" applyBorder="1" applyAlignment="1" applyProtection="1">
      <alignment horizontal="left" vertical="center" indent="2"/>
    </xf>
    <xf numFmtId="165" fontId="8" fillId="0" borderId="0" xfId="33" applyNumberFormat="1" applyFont="1" applyFill="1" applyBorder="1" applyAlignment="1" applyProtection="1">
      <alignment vertical="center"/>
    </xf>
    <xf numFmtId="165" fontId="8" fillId="0" borderId="15" xfId="32" applyNumberFormat="1" applyFont="1" applyFill="1" applyBorder="1" applyAlignment="1">
      <alignment horizontal="center" vertical="center"/>
    </xf>
    <xf numFmtId="165" fontId="8" fillId="0" borderId="0" xfId="35" applyNumberFormat="1" applyFont="1" applyFill="1" applyBorder="1" applyAlignment="1"/>
    <xf numFmtId="0" fontId="8" fillId="0" borderId="15" xfId="32" applyFont="1" applyFill="1" applyBorder="1" applyAlignment="1">
      <alignment horizontal="left" vertical="center" indent="2"/>
    </xf>
    <xf numFmtId="165" fontId="8" fillId="0" borderId="0" xfId="32" applyNumberFormat="1" applyFont="1" applyFill="1" applyBorder="1" applyAlignment="1">
      <alignment vertical="center"/>
    </xf>
    <xf numFmtId="0" fontId="5" fillId="0" borderId="14" xfId="32" applyFont="1" applyFill="1" applyBorder="1" applyAlignment="1">
      <alignment horizontal="left" vertical="center" indent="1"/>
    </xf>
    <xf numFmtId="165" fontId="5" fillId="0" borderId="6" xfId="32" applyNumberFormat="1" applyFont="1" applyFill="1" applyBorder="1" applyAlignment="1">
      <alignment horizontal="right" vertical="center"/>
    </xf>
    <xf numFmtId="49" fontId="5" fillId="0" borderId="6" xfId="32" applyNumberFormat="1" applyFont="1" applyFill="1" applyBorder="1" applyAlignment="1">
      <alignment horizontal="center" vertical="center"/>
    </xf>
    <xf numFmtId="169" fontId="5" fillId="0" borderId="14" xfId="32" applyNumberFormat="1" applyFont="1" applyFill="1" applyBorder="1" applyAlignment="1">
      <alignment horizontal="center" vertical="center"/>
    </xf>
    <xf numFmtId="3" fontId="3" fillId="0" borderId="21" xfId="31" applyNumberFormat="1" applyFont="1" applyFill="1" applyBorder="1" applyAlignment="1">
      <alignment horizontal="left"/>
    </xf>
    <xf numFmtId="167" fontId="3" fillId="0" borderId="15" xfId="31" applyNumberFormat="1" applyFont="1" applyFill="1" applyBorder="1" applyAlignment="1">
      <alignment horizontal="center"/>
    </xf>
    <xf numFmtId="3" fontId="3" fillId="0" borderId="15" xfId="9" quotePrefix="1" applyNumberFormat="1" applyFont="1" applyFill="1" applyBorder="1" applyAlignment="1">
      <alignment horizontal="center"/>
    </xf>
    <xf numFmtId="0" fontId="3" fillId="0" borderId="14" xfId="9" applyFont="1" applyFill="1" applyBorder="1" applyAlignment="1"/>
    <xf numFmtId="168" fontId="5" fillId="0" borderId="14" xfId="32" applyNumberFormat="1" applyFont="1" applyFill="1" applyBorder="1" applyAlignment="1">
      <alignment horizontal="center" vertical="center"/>
    </xf>
    <xf numFmtId="0" fontId="5" fillId="0" borderId="0" xfId="32" applyFont="1" applyFill="1" applyBorder="1" applyAlignment="1">
      <alignment horizontal="center"/>
    </xf>
    <xf numFmtId="0" fontId="5" fillId="0" borderId="0" xfId="34" applyFont="1" applyFill="1" applyBorder="1" applyAlignment="1">
      <alignment horizontal="center" wrapText="1"/>
    </xf>
    <xf numFmtId="169" fontId="3" fillId="0" borderId="0" xfId="32" applyNumberFormat="1" applyFont="1" applyFill="1" applyBorder="1" applyAlignment="1">
      <alignment vertical="center"/>
    </xf>
    <xf numFmtId="164" fontId="3" fillId="0" borderId="0" xfId="32" applyNumberFormat="1" applyFont="1" applyFill="1" applyBorder="1" applyAlignment="1">
      <alignment horizontal="center" vertical="center"/>
    </xf>
    <xf numFmtId="2" fontId="3" fillId="0" borderId="0" xfId="32" applyNumberFormat="1" applyFont="1" applyFill="1" applyBorder="1" applyAlignment="1">
      <alignment horizontal="center" vertical="center"/>
    </xf>
    <xf numFmtId="0" fontId="3" fillId="0" borderId="6" xfId="32" applyNumberFormat="1" applyFont="1" applyFill="1" applyBorder="1" applyAlignment="1">
      <alignment vertical="center"/>
    </xf>
    <xf numFmtId="165" fontId="3" fillId="0" borderId="0" xfId="32" applyNumberFormat="1" applyFont="1" applyFill="1" applyBorder="1" applyAlignment="1">
      <alignment horizontal="center" vertical="center"/>
    </xf>
    <xf numFmtId="165" fontId="3" fillId="0" borderId="9" xfId="32" applyNumberFormat="1" applyFont="1" applyFill="1" applyBorder="1" applyAlignment="1">
      <alignment vertical="center"/>
    </xf>
    <xf numFmtId="168" fontId="3" fillId="0" borderId="0" xfId="32" applyNumberFormat="1" applyFont="1" applyFill="1" applyBorder="1" applyAlignment="1">
      <alignment horizontal="center" vertical="center"/>
    </xf>
    <xf numFmtId="165" fontId="3" fillId="0" borderId="7" xfId="32" applyNumberFormat="1" applyFont="1" applyFill="1" applyBorder="1" applyAlignment="1">
      <alignment vertical="center"/>
    </xf>
    <xf numFmtId="11" fontId="11" fillId="0" borderId="0" xfId="0" applyNumberFormat="1" applyFont="1" applyFill="1"/>
    <xf numFmtId="169" fontId="8" fillId="0" borderId="0" xfId="32" applyNumberFormat="1" applyFont="1" applyFill="1" applyBorder="1" applyAlignment="1">
      <alignment vertical="center"/>
    </xf>
    <xf numFmtId="165" fontId="8" fillId="0" borderId="0" xfId="32" applyNumberFormat="1" applyFont="1" applyFill="1" applyBorder="1" applyAlignment="1">
      <alignment horizontal="center" vertical="center"/>
    </xf>
    <xf numFmtId="165" fontId="5" fillId="0" borderId="4" xfId="32" applyNumberFormat="1" applyFont="1" applyFill="1" applyBorder="1" applyAlignment="1">
      <alignment horizontal="right" vertical="center"/>
    </xf>
    <xf numFmtId="2" fontId="5" fillId="0" borderId="14" xfId="32" applyNumberFormat="1" applyFont="1" applyFill="1" applyBorder="1" applyAlignment="1">
      <alignment horizontal="center" vertical="center"/>
    </xf>
    <xf numFmtId="2" fontId="5" fillId="0" borderId="0" xfId="32" applyNumberFormat="1" applyFont="1" applyFill="1" applyBorder="1" applyAlignment="1">
      <alignment horizontal="center" vertical="center"/>
    </xf>
    <xf numFmtId="0" fontId="35" fillId="0" borderId="0" xfId="0" applyFont="1" applyFill="1"/>
    <xf numFmtId="0" fontId="4" fillId="0" borderId="0" xfId="0" quotePrefix="1" applyFont="1" applyFill="1" applyAlignment="1">
      <alignment vertical="top" wrapText="1"/>
    </xf>
    <xf numFmtId="0" fontId="23" fillId="0" borderId="0" xfId="0" applyFont="1" applyFill="1"/>
    <xf numFmtId="0" fontId="3" fillId="0" borderId="0" xfId="9" applyNumberFormat="1" applyFont="1" applyFill="1" applyBorder="1" applyAlignment="1"/>
    <xf numFmtId="3" fontId="4" fillId="0" borderId="0" xfId="0" applyNumberFormat="1" applyFont="1" applyFill="1" applyBorder="1"/>
    <xf numFmtId="164" fontId="4" fillId="0" borderId="0" xfId="0" applyNumberFormat="1" applyFont="1" applyFill="1" applyBorder="1"/>
    <xf numFmtId="0" fontId="11" fillId="0" borderId="0" xfId="0" applyFont="1" applyFill="1" applyAlignment="1">
      <alignment wrapText="1"/>
    </xf>
    <xf numFmtId="3" fontId="3" fillId="0" borderId="8" xfId="31" applyNumberFormat="1" applyFont="1" applyFill="1" applyBorder="1" applyAlignment="1">
      <alignment horizontal="center"/>
    </xf>
    <xf numFmtId="0" fontId="4" fillId="0" borderId="15" xfId="0" applyFont="1" applyFill="1" applyBorder="1" applyAlignment="1">
      <alignment vertical="center"/>
    </xf>
    <xf numFmtId="0" fontId="36" fillId="0" borderId="0" xfId="0" applyFont="1"/>
    <xf numFmtId="0" fontId="37" fillId="0" borderId="0" xfId="0" applyFont="1"/>
    <xf numFmtId="0" fontId="3" fillId="0" borderId="7"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0" xfId="0" applyFont="1" applyFill="1" applyBorder="1" applyAlignment="1">
      <alignment horizontal="right" vertical="center"/>
    </xf>
    <xf numFmtId="3" fontId="3" fillId="0" borderId="0" xfId="3" applyNumberFormat="1" applyFont="1" applyFill="1" applyAlignment="1">
      <alignment horizontal="center"/>
    </xf>
    <xf numFmtId="0" fontId="3" fillId="0" borderId="0" xfId="0" applyFont="1" applyFill="1" applyAlignment="1">
      <alignment horizontal="right" vertical="top"/>
    </xf>
    <xf numFmtId="167" fontId="3" fillId="0" borderId="0" xfId="3" applyNumberFormat="1" applyFont="1" applyFill="1" applyAlignment="1">
      <alignment horizontal="center"/>
    </xf>
    <xf numFmtId="164" fontId="3" fillId="0" borderId="15" xfId="3" applyNumberFormat="1" applyFont="1" applyFill="1" applyBorder="1" applyAlignment="1">
      <alignment horizontal="center"/>
    </xf>
    <xf numFmtId="2" fontId="3" fillId="0" borderId="15" xfId="3" applyNumberFormat="1" applyFont="1" applyFill="1" applyBorder="1" applyAlignment="1">
      <alignment horizontal="center"/>
    </xf>
    <xf numFmtId="164" fontId="3" fillId="0" borderId="14" xfId="3" applyNumberFormat="1" applyFont="1" applyFill="1" applyBorder="1" applyAlignment="1">
      <alignment horizontal="center"/>
    </xf>
    <xf numFmtId="172" fontId="3" fillId="0" borderId="0" xfId="40" applyNumberFormat="1" applyFont="1" applyFill="1" applyAlignment="1">
      <alignment horizontal="left" vertical="center"/>
    </xf>
    <xf numFmtId="0" fontId="3" fillId="0" borderId="15" xfId="9" quotePrefix="1" applyFont="1" applyFill="1" applyBorder="1" applyAlignment="1">
      <alignment horizontal="left" indent="2"/>
    </xf>
    <xf numFmtId="0" fontId="2" fillId="0" borderId="0" xfId="0" applyFont="1" applyAlignment="1">
      <alignment horizontal="centerContinuous"/>
    </xf>
    <xf numFmtId="0" fontId="2" fillId="0" borderId="0" xfId="0" applyFont="1" applyFill="1" applyAlignment="1">
      <alignment horizontal="centerContinuous"/>
    </xf>
    <xf numFmtId="0" fontId="5" fillId="0" borderId="0" xfId="32" applyFont="1" applyFill="1" applyAlignment="1">
      <alignment horizontal="centerContinuous"/>
    </xf>
    <xf numFmtId="0" fontId="3" fillId="0" borderId="0" xfId="0" applyFont="1" applyAlignment="1">
      <alignment horizontal="centerContinuous"/>
    </xf>
    <xf numFmtId="0" fontId="5" fillId="0" borderId="0" xfId="0" applyFont="1" applyAlignment="1">
      <alignment horizontal="centerContinuous"/>
    </xf>
    <xf numFmtId="0" fontId="3" fillId="0" borderId="0" xfId="32" quotePrefix="1" applyFont="1" applyFill="1" applyAlignment="1">
      <alignment horizontal="left" vertical="center"/>
    </xf>
    <xf numFmtId="0" fontId="38" fillId="0" borderId="0" xfId="0" applyFont="1" applyFill="1"/>
    <xf numFmtId="3" fontId="38" fillId="0" borderId="0" xfId="43" applyFont="1"/>
    <xf numFmtId="0" fontId="40" fillId="0" borderId="0" xfId="32" applyFont="1" applyFill="1" applyAlignment="1">
      <alignment vertical="top" wrapText="1"/>
    </xf>
    <xf numFmtId="0" fontId="41" fillId="0" borderId="0" xfId="32" applyFont="1" applyFill="1" applyAlignment="1">
      <alignment vertical="top" wrapText="1"/>
    </xf>
    <xf numFmtId="0" fontId="40" fillId="0" borderId="0" xfId="32" applyFont="1" applyAlignment="1">
      <alignment wrapText="1"/>
    </xf>
    <xf numFmtId="0" fontId="42" fillId="0" borderId="0" xfId="32" applyFont="1" applyFill="1" applyAlignment="1">
      <alignment vertical="top"/>
    </xf>
    <xf numFmtId="0" fontId="43" fillId="0" borderId="6" xfId="0" applyFont="1" applyBorder="1" applyAlignment="1">
      <alignment horizontal="left"/>
    </xf>
    <xf numFmtId="0" fontId="5" fillId="0" borderId="6" xfId="0" applyFont="1" applyBorder="1" applyAlignment="1">
      <alignment horizontal="center" wrapText="1"/>
    </xf>
    <xf numFmtId="0" fontId="5" fillId="0" borderId="6" xfId="37" applyFont="1" applyBorder="1" applyAlignment="1">
      <alignment horizontal="center" vertical="center" wrapText="1"/>
    </xf>
    <xf numFmtId="0" fontId="11" fillId="0" borderId="0" xfId="0" applyFont="1" applyBorder="1"/>
    <xf numFmtId="0" fontId="3" fillId="0" borderId="15" xfId="0" applyFont="1" applyBorder="1" applyAlignment="1">
      <alignment vertical="top"/>
    </xf>
    <xf numFmtId="3" fontId="3" fillId="0" borderId="8" xfId="0" applyNumberFormat="1" applyFont="1" applyBorder="1" applyAlignment="1">
      <alignment horizontal="center" vertical="top"/>
    </xf>
    <xf numFmtId="3" fontId="3" fillId="0" borderId="15" xfId="0" applyNumberFormat="1" applyFont="1" applyBorder="1" applyAlignment="1">
      <alignment horizontal="center" vertical="top"/>
    </xf>
    <xf numFmtId="0" fontId="3" fillId="0" borderId="21" xfId="0" applyFont="1" applyBorder="1" applyAlignment="1">
      <alignment horizontal="center" vertical="top"/>
    </xf>
    <xf numFmtId="9" fontId="3" fillId="0" borderId="21" xfId="3" applyFont="1" applyBorder="1" applyAlignment="1">
      <alignment horizontal="center" vertical="top"/>
    </xf>
    <xf numFmtId="0" fontId="3" fillId="0" borderId="15" xfId="0" applyFont="1" applyBorder="1" applyAlignment="1">
      <alignment horizontal="center" vertical="top"/>
    </xf>
    <xf numFmtId="9" fontId="3" fillId="0" borderId="15" xfId="3" applyFont="1" applyBorder="1" applyAlignment="1">
      <alignment horizontal="center" vertical="top"/>
    </xf>
    <xf numFmtId="3" fontId="3" fillId="0" borderId="5" xfId="0" applyNumberFormat="1" applyFont="1" applyBorder="1" applyAlignment="1">
      <alignment horizontal="center" vertical="top"/>
    </xf>
    <xf numFmtId="3" fontId="3" fillId="0" borderId="14" xfId="0" applyNumberFormat="1" applyFont="1" applyBorder="1" applyAlignment="1">
      <alignment horizontal="center" vertical="top"/>
    </xf>
    <xf numFmtId="0" fontId="3" fillId="0" borderId="14" xfId="0" applyFont="1" applyBorder="1" applyAlignment="1">
      <alignment horizontal="center" vertical="top"/>
    </xf>
    <xf numFmtId="9" fontId="3" fillId="0" borderId="14" xfId="3" applyFont="1" applyBorder="1" applyAlignment="1">
      <alignment horizontal="center" vertical="top"/>
    </xf>
    <xf numFmtId="0" fontId="3" fillId="0" borderId="9" xfId="0" applyFont="1" applyBorder="1" applyAlignment="1">
      <alignment vertical="top"/>
    </xf>
    <xf numFmtId="0" fontId="3" fillId="0" borderId="13" xfId="0" applyFont="1" applyBorder="1" applyAlignment="1">
      <alignment vertical="top"/>
    </xf>
    <xf numFmtId="3" fontId="3" fillId="0" borderId="12" xfId="0" applyNumberFormat="1" applyFont="1" applyBorder="1" applyAlignment="1">
      <alignment horizontal="center" vertical="top"/>
    </xf>
    <xf numFmtId="0" fontId="3" fillId="0" borderId="13" xfId="0" applyFont="1" applyBorder="1" applyAlignment="1">
      <alignment horizontal="center" vertical="top"/>
    </xf>
    <xf numFmtId="9" fontId="3" fillId="0" borderId="13" xfId="3" applyFont="1" applyBorder="1" applyAlignment="1">
      <alignment horizontal="center" vertical="top"/>
    </xf>
    <xf numFmtId="0" fontId="3" fillId="0" borderId="1" xfId="0" applyFont="1" applyBorder="1" applyAlignment="1">
      <alignment vertical="top"/>
    </xf>
    <xf numFmtId="0" fontId="3" fillId="0" borderId="12" xfId="0" applyFont="1" applyBorder="1" applyAlignment="1">
      <alignment vertical="top"/>
    </xf>
    <xf numFmtId="3" fontId="3" fillId="0" borderId="2" xfId="0" applyNumberFormat="1" applyFont="1" applyBorder="1" applyAlignment="1">
      <alignment horizontal="center" vertical="top"/>
    </xf>
    <xf numFmtId="3" fontId="3" fillId="0" borderId="12" xfId="0" applyNumberFormat="1" applyFont="1" applyFill="1" applyBorder="1" applyAlignment="1">
      <alignment horizontal="center" vertical="top"/>
    </xf>
    <xf numFmtId="169" fontId="3" fillId="0" borderId="12" xfId="0" applyNumberFormat="1" applyFont="1" applyBorder="1" applyAlignment="1">
      <alignment horizontal="center" vertical="top"/>
    </xf>
    <xf numFmtId="9" fontId="3" fillId="0" borderId="12" xfId="3" applyFont="1" applyBorder="1" applyAlignment="1">
      <alignment horizontal="center" vertical="top"/>
    </xf>
    <xf numFmtId="3" fontId="3" fillId="0" borderId="11" xfId="0" applyNumberFormat="1" applyFont="1" applyBorder="1" applyAlignment="1">
      <alignment horizontal="center" vertical="top"/>
    </xf>
    <xf numFmtId="3" fontId="3" fillId="0" borderId="13" xfId="0" applyNumberFormat="1" applyFont="1" applyBorder="1" applyAlignment="1">
      <alignment horizontal="center" vertical="top"/>
    </xf>
    <xf numFmtId="0" fontId="5" fillId="0" borderId="10" xfId="37" applyFont="1" applyBorder="1" applyAlignment="1">
      <alignment horizontal="center" vertical="center" wrapText="1"/>
    </xf>
    <xf numFmtId="0" fontId="3" fillId="0" borderId="36" xfId="0" applyFont="1" applyBorder="1" applyAlignment="1">
      <alignment vertical="top"/>
    </xf>
    <xf numFmtId="9" fontId="3" fillId="0" borderId="34" xfId="3" applyNumberFormat="1" applyFont="1" applyBorder="1" applyAlignment="1">
      <alignment horizontal="center" vertical="top"/>
    </xf>
    <xf numFmtId="9" fontId="3" fillId="0" borderId="37" xfId="3" applyNumberFormat="1" applyFont="1" applyBorder="1" applyAlignment="1">
      <alignment horizontal="center" vertical="top"/>
    </xf>
    <xf numFmtId="3" fontId="3" fillId="0" borderId="15" xfId="3" applyNumberFormat="1" applyFont="1" applyBorder="1" applyAlignment="1">
      <alignment horizontal="center" vertical="top"/>
    </xf>
    <xf numFmtId="165" fontId="3" fillId="0" borderId="8" xfId="3" applyNumberFormat="1" applyFont="1" applyBorder="1" applyAlignment="1">
      <alignment horizontal="center" vertical="top"/>
    </xf>
    <xf numFmtId="3" fontId="3" fillId="0" borderId="8" xfId="3" applyNumberFormat="1" applyFont="1" applyBorder="1" applyAlignment="1">
      <alignment horizontal="center" vertical="top"/>
    </xf>
    <xf numFmtId="170" fontId="3" fillId="0" borderId="8" xfId="3" applyNumberFormat="1" applyFont="1" applyBorder="1" applyAlignment="1">
      <alignment horizontal="center" vertical="top"/>
    </xf>
    <xf numFmtId="167" fontId="3" fillId="0" borderId="8" xfId="3" applyNumberFormat="1" applyFont="1" applyBorder="1" applyAlignment="1">
      <alignment horizontal="center" vertical="top"/>
    </xf>
    <xf numFmtId="4" fontId="3" fillId="0" borderId="8" xfId="3" applyNumberFormat="1" applyFont="1" applyBorder="1" applyAlignment="1">
      <alignment horizontal="center" vertical="top"/>
    </xf>
    <xf numFmtId="164" fontId="3" fillId="0" borderId="8" xfId="3" applyNumberFormat="1" applyFont="1" applyFill="1" applyBorder="1" applyAlignment="1">
      <alignment horizontal="center"/>
    </xf>
    <xf numFmtId="0" fontId="36" fillId="0" borderId="0" xfId="0" applyFont="1" applyFill="1"/>
    <xf numFmtId="2" fontId="3" fillId="0" borderId="8" xfId="3" applyNumberFormat="1" applyFont="1" applyFill="1" applyBorder="1" applyAlignment="1">
      <alignment horizontal="center"/>
    </xf>
    <xf numFmtId="164" fontId="3" fillId="0" borderId="5" xfId="3" applyNumberFormat="1" applyFont="1" applyFill="1" applyBorder="1" applyAlignment="1">
      <alignment horizontal="center"/>
    </xf>
    <xf numFmtId="168" fontId="3" fillId="0" borderId="12" xfId="0" applyNumberFormat="1" applyFont="1" applyBorder="1" applyAlignment="1">
      <alignment horizontal="center" vertical="top"/>
    </xf>
    <xf numFmtId="2" fontId="3" fillId="0" borderId="12" xfId="0" applyNumberFormat="1" applyFont="1" applyBorder="1" applyAlignment="1">
      <alignment horizontal="center" vertical="top"/>
    </xf>
    <xf numFmtId="165" fontId="3" fillId="0" borderId="15" xfId="0" applyNumberFormat="1" applyFont="1" applyBorder="1" applyAlignment="1">
      <alignment horizontal="center" vertical="top"/>
    </xf>
    <xf numFmtId="0" fontId="3" fillId="0" borderId="15" xfId="0" applyNumberFormat="1" applyFont="1" applyBorder="1" applyAlignment="1">
      <alignment horizontal="center" vertical="top"/>
    </xf>
    <xf numFmtId="168" fontId="3" fillId="0" borderId="15" xfId="0" applyNumberFormat="1" applyFont="1" applyBorder="1" applyAlignment="1">
      <alignment horizontal="center" vertical="top"/>
    </xf>
    <xf numFmtId="11" fontId="3" fillId="0" borderId="14" xfId="0" applyNumberFormat="1" applyFont="1" applyBorder="1" applyAlignment="1">
      <alignment horizontal="center" vertical="top"/>
    </xf>
    <xf numFmtId="165" fontId="3" fillId="0" borderId="14" xfId="0" applyNumberFormat="1" applyFont="1" applyBorder="1" applyAlignment="1">
      <alignment horizontal="center" vertical="top"/>
    </xf>
    <xf numFmtId="0" fontId="3" fillId="0" borderId="14" xfId="0" applyNumberFormat="1" applyFont="1" applyBorder="1" applyAlignment="1">
      <alignment horizontal="center" vertical="top"/>
    </xf>
    <xf numFmtId="165" fontId="5" fillId="0" borderId="15" xfId="0" applyNumberFormat="1" applyFont="1" applyBorder="1" applyAlignment="1">
      <alignment horizontal="center"/>
    </xf>
    <xf numFmtId="165" fontId="5" fillId="0" borderId="14" xfId="0" applyNumberFormat="1" applyFont="1" applyBorder="1" applyAlignment="1">
      <alignment horizontal="center"/>
    </xf>
    <xf numFmtId="164" fontId="3" fillId="0" borderId="12" xfId="0" applyNumberFormat="1" applyFont="1" applyBorder="1" applyAlignment="1">
      <alignment horizontal="center" vertical="top"/>
    </xf>
    <xf numFmtId="164" fontId="5" fillId="0" borderId="12" xfId="0" applyNumberFormat="1" applyFont="1" applyBorder="1" applyAlignment="1">
      <alignment horizontal="center"/>
    </xf>
    <xf numFmtId="0" fontId="38" fillId="0" borderId="0" xfId="0" applyFont="1"/>
    <xf numFmtId="3" fontId="2" fillId="0" borderId="0" xfId="43" applyFont="1" applyAlignment="1">
      <alignment horizontal="centerContinuous"/>
    </xf>
    <xf numFmtId="3" fontId="2" fillId="0" borderId="0" xfId="43" applyFont="1" applyFill="1" applyAlignment="1">
      <alignment horizontal="centerContinuous"/>
    </xf>
    <xf numFmtId="0" fontId="4" fillId="6" borderId="13" xfId="0" applyFont="1" applyFill="1" applyBorder="1" applyAlignment="1">
      <alignment horizontal="left" wrapText="1"/>
    </xf>
    <xf numFmtId="0" fontId="5" fillId="6" borderId="9" xfId="9" applyFont="1" applyFill="1" applyBorder="1" applyAlignment="1">
      <alignment horizontal="center" wrapText="1"/>
    </xf>
    <xf numFmtId="0" fontId="5" fillId="6" borderId="11" xfId="9" applyFont="1" applyFill="1" applyBorder="1" applyAlignment="1">
      <alignment horizontal="center" wrapText="1"/>
    </xf>
    <xf numFmtId="0" fontId="5" fillId="6" borderId="16" xfId="9" applyFont="1" applyFill="1" applyBorder="1" applyAlignment="1">
      <alignment horizontal="center" wrapText="1"/>
    </xf>
    <xf numFmtId="0" fontId="5" fillId="6" borderId="18" xfId="9" applyFont="1" applyFill="1" applyBorder="1" applyAlignment="1">
      <alignment horizontal="centerContinuous"/>
    </xf>
    <xf numFmtId="0" fontId="5" fillId="6" borderId="20" xfId="9" applyFont="1" applyFill="1" applyBorder="1" applyAlignment="1">
      <alignment horizontal="centerContinuous"/>
    </xf>
    <xf numFmtId="0" fontId="5" fillId="6" borderId="15" xfId="9" applyFont="1" applyFill="1" applyBorder="1" applyAlignment="1">
      <alignment horizontal="center" wrapText="1"/>
    </xf>
    <xf numFmtId="0" fontId="3" fillId="0" borderId="0" xfId="32" applyFont="1" applyAlignment="1">
      <alignment wrapText="1"/>
    </xf>
    <xf numFmtId="0" fontId="5" fillId="6" borderId="13" xfId="32" applyFont="1" applyFill="1" applyBorder="1" applyAlignment="1">
      <alignment vertical="center"/>
    </xf>
    <xf numFmtId="0" fontId="5" fillId="6" borderId="13" xfId="32" applyFont="1" applyFill="1" applyBorder="1" applyAlignment="1">
      <alignment horizontal="centerContinuous"/>
    </xf>
    <xf numFmtId="0" fontId="5" fillId="6" borderId="15" xfId="32" applyFont="1" applyFill="1" applyBorder="1" applyAlignment="1">
      <alignment vertical="center"/>
    </xf>
    <xf numFmtId="0" fontId="5" fillId="6" borderId="13" xfId="34" applyFont="1" applyFill="1" applyBorder="1" applyAlignment="1">
      <alignment horizontal="center" wrapText="1"/>
    </xf>
    <xf numFmtId="0" fontId="2" fillId="6" borderId="16" xfId="34" applyFont="1" applyFill="1" applyBorder="1" applyAlignment="1">
      <alignment wrapText="1"/>
    </xf>
    <xf numFmtId="0" fontId="2" fillId="6" borderId="16" xfId="34" applyFont="1" applyFill="1" applyBorder="1" applyAlignment="1">
      <alignment horizontal="centerContinuous"/>
    </xf>
    <xf numFmtId="0" fontId="5" fillId="6" borderId="16" xfId="34" applyFont="1" applyFill="1" applyBorder="1" applyAlignment="1">
      <alignment horizontal="center" wrapText="1"/>
    </xf>
    <xf numFmtId="49" fontId="6" fillId="0" borderId="8" xfId="32" applyNumberFormat="1" applyFont="1" applyFill="1" applyBorder="1" applyAlignment="1">
      <alignment horizontal="left" vertical="center"/>
    </xf>
    <xf numFmtId="0" fontId="5" fillId="6" borderId="12" xfId="32" applyFont="1" applyFill="1" applyBorder="1" applyAlignment="1">
      <alignment horizontal="centerContinuous"/>
    </xf>
    <xf numFmtId="0" fontId="5" fillId="6" borderId="15" xfId="34" applyFont="1" applyFill="1" applyBorder="1" applyAlignment="1">
      <alignment horizontal="center" wrapText="1"/>
    </xf>
    <xf numFmtId="49" fontId="6" fillId="0" borderId="8" xfId="32" quotePrefix="1" applyNumberFormat="1" applyFont="1" applyFill="1" applyBorder="1" applyAlignment="1">
      <alignment horizontal="left" vertical="center"/>
    </xf>
    <xf numFmtId="0" fontId="5" fillId="7" borderId="19" xfId="37" applyFont="1" applyFill="1" applyBorder="1" applyAlignment="1">
      <alignment horizontal="center" wrapText="1"/>
    </xf>
    <xf numFmtId="0" fontId="5" fillId="7" borderId="17" xfId="37" applyFont="1" applyFill="1" applyBorder="1" applyAlignment="1">
      <alignment horizontal="center" wrapText="1"/>
    </xf>
    <xf numFmtId="0" fontId="5" fillId="6" borderId="13" xfId="0" applyFont="1" applyFill="1" applyBorder="1" applyAlignment="1">
      <alignment horizontal="centerContinuous"/>
    </xf>
    <xf numFmtId="0" fontId="3" fillId="6" borderId="13" xfId="0" applyFont="1" applyFill="1" applyBorder="1" applyAlignment="1">
      <alignment horizontal="centerContinuous"/>
    </xf>
    <xf numFmtId="0" fontId="5" fillId="6" borderId="14" xfId="0" applyFont="1" applyFill="1" applyBorder="1" applyAlignment="1">
      <alignment horizontal="centerContinuous"/>
    </xf>
    <xf numFmtId="0" fontId="3" fillId="6" borderId="14" xfId="0" applyFont="1" applyFill="1" applyBorder="1" applyAlignment="1">
      <alignment horizontal="centerContinuous"/>
    </xf>
    <xf numFmtId="0" fontId="26" fillId="0" borderId="0" xfId="0" applyFont="1" applyFill="1"/>
    <xf numFmtId="0" fontId="5" fillId="0" borderId="0" xfId="0" applyFont="1" applyBorder="1" applyAlignment="1">
      <alignment horizontal="center" wrapText="1"/>
    </xf>
    <xf numFmtId="0" fontId="5" fillId="0" borderId="0" xfId="37" applyFont="1" applyBorder="1" applyAlignment="1">
      <alignment horizontal="center" vertical="center" wrapText="1"/>
    </xf>
    <xf numFmtId="0" fontId="3" fillId="0" borderId="12" xfId="0" applyFont="1" applyBorder="1" applyAlignment="1">
      <alignment horizontal="center" vertical="top"/>
    </xf>
    <xf numFmtId="170" fontId="3" fillId="0" borderId="15" xfId="0" applyNumberFormat="1" applyFont="1" applyBorder="1" applyAlignment="1">
      <alignment horizontal="center" vertical="top"/>
    </xf>
    <xf numFmtId="170" fontId="3" fillId="0" borderId="14" xfId="0" applyNumberFormat="1" applyFont="1" applyBorder="1" applyAlignment="1">
      <alignment horizontal="center" vertical="top"/>
    </xf>
    <xf numFmtId="1" fontId="3" fillId="0" borderId="0" xfId="36" applyNumberFormat="1" applyFont="1" applyFill="1" applyAlignment="1">
      <alignment horizontal="center"/>
    </xf>
    <xf numFmtId="0" fontId="5" fillId="0" borderId="0" xfId="32" applyFont="1" applyFill="1" applyBorder="1" applyAlignment="1">
      <alignment horizontal="left" vertical="center"/>
    </xf>
    <xf numFmtId="0" fontId="5" fillId="0" borderId="13" xfId="32" applyFont="1" applyFill="1" applyBorder="1" applyAlignment="1">
      <alignment vertical="center"/>
    </xf>
    <xf numFmtId="0" fontId="5" fillId="0" borderId="13" xfId="32" applyFont="1" applyFill="1" applyBorder="1" applyAlignment="1">
      <alignment horizontal="centerContinuous"/>
    </xf>
    <xf numFmtId="0" fontId="5" fillId="0" borderId="15" xfId="32" applyFont="1" applyFill="1" applyBorder="1" applyAlignment="1">
      <alignment vertical="center"/>
    </xf>
    <xf numFmtId="0" fontId="5" fillId="0" borderId="13" xfId="34" applyFont="1" applyFill="1" applyBorder="1" applyAlignment="1">
      <alignment horizontal="center" wrapText="1"/>
    </xf>
    <xf numFmtId="0" fontId="2" fillId="0" borderId="16" xfId="34" applyFont="1" applyFill="1" applyBorder="1" applyAlignment="1">
      <alignment wrapText="1"/>
    </xf>
    <xf numFmtId="0" fontId="2" fillId="0" borderId="16" xfId="34" applyFont="1" applyFill="1" applyBorder="1" applyAlignment="1">
      <alignment horizontal="centerContinuous"/>
    </xf>
    <xf numFmtId="0" fontId="5" fillId="0" borderId="0" xfId="32" applyFont="1" applyBorder="1" applyAlignment="1">
      <alignment vertical="center"/>
    </xf>
    <xf numFmtId="170" fontId="3" fillId="0" borderId="0" xfId="32" applyNumberFormat="1" applyFont="1" applyFill="1" applyBorder="1" applyAlignment="1">
      <alignment horizontal="left" vertical="center"/>
    </xf>
    <xf numFmtId="0" fontId="17" fillId="0" borderId="13" xfId="34" applyFont="1" applyFill="1" applyBorder="1" applyAlignment="1" applyProtection="1">
      <alignment vertical="center"/>
      <protection locked="0"/>
    </xf>
    <xf numFmtId="2" fontId="3" fillId="0" borderId="0" xfId="32" applyNumberFormat="1" applyFont="1" applyFill="1" applyBorder="1" applyAlignment="1">
      <alignment horizontal="right" vertical="center"/>
    </xf>
    <xf numFmtId="165" fontId="3" fillId="0" borderId="0" xfId="32" applyNumberFormat="1" applyFont="1" applyFill="1" applyBorder="1" applyAlignment="1">
      <alignment horizontal="right" vertical="center"/>
    </xf>
    <xf numFmtId="3" fontId="3" fillId="0" borderId="15" xfId="32" applyNumberFormat="1" applyFont="1" applyFill="1" applyBorder="1" applyAlignment="1">
      <alignment horizontal="center" vertical="center"/>
    </xf>
    <xf numFmtId="168" fontId="3" fillId="0" borderId="14" xfId="32" applyNumberFormat="1" applyFont="1" applyFill="1" applyBorder="1" applyAlignment="1">
      <alignment horizontal="center" vertical="center"/>
    </xf>
    <xf numFmtId="165" fontId="3" fillId="0" borderId="10" xfId="32" applyNumberFormat="1" applyFont="1" applyFill="1" applyBorder="1" applyAlignment="1">
      <alignment horizontal="right" vertical="center"/>
    </xf>
    <xf numFmtId="11" fontId="3" fillId="0" borderId="10" xfId="32" applyNumberFormat="1" applyFont="1" applyFill="1" applyBorder="1" applyAlignment="1">
      <alignment horizontal="left" vertical="center"/>
    </xf>
    <xf numFmtId="11" fontId="3" fillId="0" borderId="0" xfId="32" applyNumberFormat="1" applyFont="1" applyFill="1" applyBorder="1" applyAlignment="1">
      <alignment horizontal="left" vertical="center"/>
    </xf>
    <xf numFmtId="11" fontId="8" fillId="0" borderId="0" xfId="32" applyNumberFormat="1" applyFont="1" applyFill="1" applyBorder="1" applyAlignment="1">
      <alignment horizontal="left" vertical="center"/>
    </xf>
    <xf numFmtId="0" fontId="3" fillId="0" borderId="15" xfId="33" applyFont="1" applyFill="1" applyBorder="1" applyAlignment="1" applyProtection="1">
      <alignment horizontal="left" vertical="center" indent="1"/>
    </xf>
    <xf numFmtId="0" fontId="3" fillId="0" borderId="15" xfId="33" applyFont="1" applyFill="1" applyBorder="1" applyAlignment="1">
      <alignment horizontal="left" vertical="center" indent="1"/>
    </xf>
    <xf numFmtId="0" fontId="5" fillId="0" borderId="14" xfId="32" applyFont="1" applyFill="1" applyBorder="1" applyAlignment="1">
      <alignment horizontal="left" vertical="center"/>
    </xf>
    <xf numFmtId="171" fontId="5" fillId="0" borderId="6" xfId="32" applyNumberFormat="1" applyFont="1" applyFill="1" applyBorder="1" applyAlignment="1">
      <alignment horizontal="right" vertical="center"/>
    </xf>
    <xf numFmtId="0" fontId="5" fillId="0" borderId="6" xfId="32" applyFont="1" applyFill="1" applyBorder="1" applyAlignment="1">
      <alignment horizontal="center" vertical="center"/>
    </xf>
    <xf numFmtId="49" fontId="3" fillId="0" borderId="0" xfId="32" applyNumberFormat="1" applyFont="1" applyAlignment="1"/>
    <xf numFmtId="0" fontId="17" fillId="0" borderId="0" xfId="32" applyFont="1" applyAlignment="1">
      <alignment vertical="center"/>
    </xf>
    <xf numFmtId="0" fontId="3" fillId="0" borderId="0" xfId="32" applyFont="1" applyAlignment="1">
      <alignment vertical="center"/>
    </xf>
    <xf numFmtId="0" fontId="4" fillId="0" borderId="0" xfId="34" applyFont="1"/>
    <xf numFmtId="0" fontId="5" fillId="6" borderId="15" xfId="0" applyFont="1" applyFill="1" applyBorder="1" applyAlignment="1">
      <alignment horizontal="centerContinuous"/>
    </xf>
    <xf numFmtId="0" fontId="3" fillId="6" borderId="15" xfId="0" applyFont="1" applyFill="1" applyBorder="1" applyAlignment="1">
      <alignment horizontal="centerContinuous"/>
    </xf>
    <xf numFmtId="0" fontId="5" fillId="7" borderId="17" xfId="0" applyFont="1" applyFill="1" applyBorder="1" applyAlignment="1">
      <alignment horizontal="center" wrapText="1"/>
    </xf>
    <xf numFmtId="0" fontId="3" fillId="0" borderId="0" xfId="32" applyFont="1" applyFill="1" applyAlignment="1">
      <alignment vertical="top" wrapText="1"/>
    </xf>
    <xf numFmtId="3" fontId="11" fillId="0" borderId="21" xfId="31" applyNumberFormat="1" applyFont="1" applyFill="1" applyBorder="1" applyAlignment="1">
      <alignment horizontal="left"/>
    </xf>
    <xf numFmtId="0" fontId="11" fillId="0" borderId="14" xfId="9" applyFont="1" applyFill="1" applyBorder="1" applyAlignment="1">
      <alignment horizontal="left"/>
    </xf>
    <xf numFmtId="0" fontId="11" fillId="0" borderId="0" xfId="0" applyFont="1" applyFill="1" applyAlignment="1"/>
    <xf numFmtId="170" fontId="3" fillId="0" borderId="15" xfId="32" applyNumberFormat="1" applyFont="1" applyFill="1" applyBorder="1" applyAlignment="1">
      <alignment horizontal="center" vertical="center"/>
    </xf>
    <xf numFmtId="0" fontId="4" fillId="0" borderId="0" xfId="0" quotePrefix="1" applyFont="1" applyAlignment="1">
      <alignment horizontal="left" indent="1"/>
    </xf>
    <xf numFmtId="0" fontId="34" fillId="0" borderId="6" xfId="0" applyFont="1" applyFill="1" applyBorder="1" applyAlignment="1">
      <alignment horizontal="center"/>
    </xf>
    <xf numFmtId="49" fontId="6" fillId="0" borderId="5" xfId="32" applyNumberFormat="1" applyFont="1" applyFill="1" applyBorder="1" applyAlignment="1">
      <alignment horizontal="left" vertical="center"/>
    </xf>
    <xf numFmtId="49" fontId="6" fillId="0" borderId="10" xfId="32" applyNumberFormat="1" applyFont="1" applyFill="1" applyBorder="1" applyAlignment="1">
      <alignment horizontal="center" vertical="center"/>
    </xf>
    <xf numFmtId="49" fontId="6" fillId="0" borderId="0" xfId="32" quotePrefix="1" applyNumberFormat="1" applyFont="1" applyFill="1" applyBorder="1" applyAlignment="1">
      <alignment horizontal="left" vertical="center"/>
    </xf>
    <xf numFmtId="49" fontId="6" fillId="0" borderId="0" xfId="32" applyNumberFormat="1" applyFont="1" applyFill="1" applyBorder="1" applyAlignment="1">
      <alignment horizontal="left" vertical="center"/>
    </xf>
    <xf numFmtId="0" fontId="6" fillId="0" borderId="0" xfId="32" quotePrefix="1" applyFont="1" applyFill="1" applyAlignment="1">
      <alignment wrapText="1"/>
    </xf>
    <xf numFmtId="49" fontId="6" fillId="0" borderId="0" xfId="36" quotePrefix="1" applyNumberFormat="1" applyFont="1" applyFill="1" applyAlignment="1">
      <alignment horizontal="left"/>
    </xf>
    <xf numFmtId="49" fontId="32" fillId="0" borderId="5" xfId="32" applyNumberFormat="1" applyFont="1" applyFill="1" applyBorder="1" applyAlignment="1">
      <alignment horizontal="center" vertical="center"/>
    </xf>
    <xf numFmtId="49" fontId="6" fillId="0" borderId="0" xfId="36" quotePrefix="1" applyNumberFormat="1" applyFont="1" applyFill="1" applyAlignment="1">
      <alignment horizontal="left" vertical="center"/>
    </xf>
    <xf numFmtId="0" fontId="2" fillId="6" borderId="1" xfId="0" applyFont="1" applyFill="1" applyBorder="1" applyAlignment="1">
      <alignment horizontal="centerContinuous"/>
    </xf>
    <xf numFmtId="0" fontId="2" fillId="6" borderId="3" xfId="0" applyFont="1" applyFill="1" applyBorder="1" applyAlignment="1">
      <alignment horizontal="centerContinuous"/>
    </xf>
    <xf numFmtId="0" fontId="2" fillId="6" borderId="2" xfId="0" applyFont="1" applyFill="1" applyBorder="1" applyAlignment="1">
      <alignment horizontal="centerContinuous"/>
    </xf>
    <xf numFmtId="0" fontId="5" fillId="6" borderId="12" xfId="9" applyFont="1" applyFill="1" applyBorder="1" applyAlignment="1">
      <alignment horizontal="centerContinuous"/>
    </xf>
    <xf numFmtId="0" fontId="3" fillId="0" borderId="0" xfId="32" applyFont="1" applyFill="1" applyAlignment="1">
      <alignment vertical="top" wrapText="1"/>
    </xf>
    <xf numFmtId="0" fontId="23" fillId="0" borderId="0" xfId="0" applyNumberFormat="1" applyFont="1" applyFill="1"/>
    <xf numFmtId="168" fontId="3" fillId="0" borderId="0" xfId="32" applyNumberFormat="1" applyFont="1" applyFill="1" applyBorder="1" applyAlignment="1">
      <alignment vertical="center"/>
    </xf>
    <xf numFmtId="2" fontId="3" fillId="0" borderId="0" xfId="32" applyNumberFormat="1" applyFont="1" applyFill="1" applyBorder="1" applyAlignment="1">
      <alignment vertical="center"/>
    </xf>
    <xf numFmtId="10" fontId="3" fillId="0" borderId="0" xfId="3" applyNumberFormat="1" applyFont="1" applyFill="1" applyAlignment="1">
      <alignment horizontal="center"/>
    </xf>
    <xf numFmtId="0" fontId="11" fillId="0" borderId="0" xfId="0" quotePrefix="1" applyFont="1" applyFill="1" applyAlignment="1">
      <alignment vertical="top" wrapText="1"/>
    </xf>
    <xf numFmtId="0" fontId="34" fillId="0" borderId="0" xfId="0" applyFont="1" applyFill="1" applyAlignment="1">
      <alignment horizontal="center"/>
    </xf>
    <xf numFmtId="0" fontId="5" fillId="4" borderId="1" xfId="0" applyFont="1" applyFill="1" applyBorder="1" applyAlignment="1">
      <alignment horizontal="centerContinuous"/>
    </xf>
    <xf numFmtId="0" fontId="4" fillId="0" borderId="0" xfId="0" applyFont="1" applyFill="1" applyBorder="1"/>
    <xf numFmtId="0" fontId="3" fillId="0" borderId="0" xfId="0" applyFont="1" applyFill="1"/>
    <xf numFmtId="0" fontId="3" fillId="0" borderId="0" xfId="0" applyFont="1" applyFill="1" applyBorder="1"/>
    <xf numFmtId="164" fontId="3" fillId="0" borderId="8" xfId="32" applyNumberFormat="1" applyFont="1" applyFill="1" applyBorder="1" applyAlignment="1">
      <alignment horizontal="center" vertical="center"/>
    </xf>
    <xf numFmtId="165" fontId="3" fillId="0" borderId="8" xfId="32" applyNumberFormat="1" applyFont="1" applyFill="1" applyBorder="1" applyAlignment="1">
      <alignment horizontal="center" vertical="center"/>
    </xf>
    <xf numFmtId="165" fontId="3" fillId="0" borderId="7" xfId="0" applyNumberFormat="1" applyFont="1" applyFill="1" applyBorder="1" applyAlignment="1">
      <alignment horizontal="center"/>
    </xf>
    <xf numFmtId="165" fontId="3" fillId="0" borderId="0" xfId="0" applyNumberFormat="1" applyFont="1" applyFill="1" applyBorder="1" applyAlignment="1">
      <alignment horizontal="center"/>
    </xf>
    <xf numFmtId="3" fontId="3" fillId="0" borderId="0" xfId="43" applyFont="1"/>
    <xf numFmtId="10" fontId="3" fillId="0" borderId="15" xfId="3" applyNumberFormat="1" applyFont="1" applyFill="1" applyBorder="1" applyAlignment="1">
      <alignment horizontal="center"/>
    </xf>
    <xf numFmtId="2" fontId="3" fillId="0" borderId="8" xfId="32" applyNumberFormat="1" applyFont="1" applyFill="1" applyBorder="1" applyAlignment="1">
      <alignment horizontal="center" vertical="center"/>
    </xf>
    <xf numFmtId="168" fontId="3" fillId="0" borderId="8" xfId="32" applyNumberFormat="1" applyFont="1" applyFill="1" applyBorder="1" applyAlignment="1">
      <alignment horizontal="center" vertical="center"/>
    </xf>
    <xf numFmtId="1" fontId="3" fillId="0" borderId="7" xfId="0" applyNumberFormat="1" applyFont="1" applyFill="1" applyBorder="1" applyAlignment="1">
      <alignment horizontal="center"/>
    </xf>
    <xf numFmtId="0" fontId="5" fillId="0" borderId="0" xfId="32" applyFont="1" applyFill="1" applyBorder="1" applyAlignment="1">
      <alignment horizontal="centerContinuous"/>
    </xf>
    <xf numFmtId="0" fontId="3" fillId="0" borderId="15" xfId="32" applyFont="1" applyFill="1" applyBorder="1" applyAlignment="1">
      <alignment horizontal="left" vertical="center"/>
    </xf>
    <xf numFmtId="2" fontId="4" fillId="0" borderId="0" xfId="0" applyNumberFormat="1" applyFont="1" applyFill="1" applyBorder="1"/>
    <xf numFmtId="4" fontId="3" fillId="0" borderId="0" xfId="36" applyNumberFormat="1" applyFont="1" applyFill="1" applyAlignment="1">
      <alignment horizontal="center" vertical="top"/>
    </xf>
    <xf numFmtId="166" fontId="3" fillId="0" borderId="15" xfId="32" applyNumberFormat="1" applyFont="1" applyFill="1" applyBorder="1" applyAlignment="1">
      <alignment horizontal="center" vertical="center"/>
    </xf>
    <xf numFmtId="4" fontId="3" fillId="0" borderId="15" xfId="32" applyNumberFormat="1" applyFont="1" applyFill="1" applyBorder="1" applyAlignment="1">
      <alignment horizontal="center" vertical="center"/>
    </xf>
    <xf numFmtId="0" fontId="3" fillId="0" borderId="0" xfId="32" applyFont="1" applyFill="1" applyAlignment="1">
      <alignment vertical="top" wrapText="1"/>
    </xf>
    <xf numFmtId="0" fontId="3" fillId="0" borderId="0" xfId="32" applyFont="1" applyFill="1" applyAlignment="1">
      <alignment wrapText="1"/>
    </xf>
    <xf numFmtId="0" fontId="44" fillId="0" borderId="14" xfId="31" applyFont="1" applyFill="1" applyBorder="1" applyAlignment="1">
      <alignment horizontal="left"/>
    </xf>
    <xf numFmtId="0" fontId="44" fillId="0" borderId="4" xfId="9" applyNumberFormat="1" applyFont="1" applyFill="1" applyBorder="1" applyAlignment="1"/>
    <xf numFmtId="0" fontId="44" fillId="0" borderId="5" xfId="9" applyNumberFormat="1" applyFont="1" applyFill="1" applyBorder="1" applyAlignment="1"/>
    <xf numFmtId="3" fontId="45" fillId="0" borderId="14" xfId="0" applyNumberFormat="1" applyFont="1" applyBorder="1" applyAlignment="1">
      <alignment horizontal="center"/>
    </xf>
    <xf numFmtId="0" fontId="45" fillId="0" borderId="0" xfId="0" applyFont="1"/>
    <xf numFmtId="0" fontId="44" fillId="0" borderId="13" xfId="9" applyFont="1" applyFill="1" applyBorder="1" applyAlignment="1">
      <alignment horizontal="left"/>
    </xf>
    <xf numFmtId="0" fontId="44" fillId="0" borderId="9" xfId="9" quotePrefix="1" applyNumberFormat="1" applyFont="1" applyFill="1" applyBorder="1" applyAlignment="1"/>
    <xf numFmtId="0" fontId="44" fillId="0" borderId="11" xfId="9" quotePrefix="1" applyNumberFormat="1" applyFont="1" applyFill="1" applyBorder="1" applyAlignment="1"/>
    <xf numFmtId="3" fontId="45" fillId="0" borderId="13" xfId="0" applyNumberFormat="1" applyFont="1" applyBorder="1" applyAlignment="1">
      <alignment horizontal="center"/>
    </xf>
    <xf numFmtId="0" fontId="44" fillId="5" borderId="13" xfId="31" applyFont="1" applyFill="1" applyBorder="1" applyAlignment="1">
      <alignment horizontal="left"/>
    </xf>
    <xf numFmtId="3" fontId="44" fillId="5" borderId="9" xfId="9" applyNumberFormat="1" applyFont="1" applyFill="1" applyBorder="1" applyAlignment="1"/>
    <xf numFmtId="0" fontId="44" fillId="5" borderId="11" xfId="9" applyNumberFormat="1" applyFont="1" applyFill="1" applyBorder="1" applyAlignment="1"/>
    <xf numFmtId="3" fontId="45" fillId="5" borderId="13" xfId="0" applyNumberFormat="1" applyFont="1" applyFill="1" applyBorder="1" applyAlignment="1">
      <alignment horizontal="center"/>
    </xf>
    <xf numFmtId="0" fontId="46" fillId="5" borderId="0" xfId="0" applyFont="1" applyFill="1"/>
    <xf numFmtId="0" fontId="45" fillId="5" borderId="0" xfId="0" applyFont="1" applyFill="1"/>
    <xf numFmtId="0" fontId="44" fillId="0" borderId="15" xfId="31" applyFont="1" applyFill="1" applyBorder="1" applyAlignment="1">
      <alignment horizontal="left"/>
    </xf>
    <xf numFmtId="0" fontId="44" fillId="0" borderId="7" xfId="9" applyNumberFormat="1" applyFont="1" applyFill="1" applyBorder="1" applyAlignment="1"/>
    <xf numFmtId="0" fontId="44" fillId="0" borderId="8" xfId="9" applyNumberFormat="1" applyFont="1" applyFill="1" applyBorder="1" applyAlignment="1"/>
    <xf numFmtId="3" fontId="45" fillId="0" borderId="15" xfId="0" applyNumberFormat="1" applyFont="1" applyFill="1" applyBorder="1" applyAlignment="1">
      <alignment horizontal="center"/>
    </xf>
    <xf numFmtId="0" fontId="45" fillId="0" borderId="0" xfId="0" applyFont="1" applyFill="1"/>
    <xf numFmtId="0" fontId="44" fillId="0" borderId="15" xfId="9" applyFont="1" applyFill="1" applyBorder="1" applyAlignment="1">
      <alignment horizontal="left"/>
    </xf>
    <xf numFmtId="0" fontId="44" fillId="0" borderId="14" xfId="9" applyFont="1" applyFill="1" applyBorder="1" applyAlignment="1">
      <alignment horizontal="left"/>
    </xf>
    <xf numFmtId="3" fontId="45" fillId="0" borderId="14" xfId="0" applyNumberFormat="1" applyFont="1" applyFill="1" applyBorder="1" applyAlignment="1">
      <alignment horizontal="center"/>
    </xf>
    <xf numFmtId="3" fontId="44" fillId="0" borderId="15" xfId="31" applyNumberFormat="1" applyFont="1" applyFill="1" applyBorder="1" applyAlignment="1">
      <alignment horizontal="left"/>
    </xf>
    <xf numFmtId="3" fontId="45" fillId="0" borderId="21" xfId="0" applyNumberFormat="1" applyFont="1" applyBorder="1" applyAlignment="1">
      <alignment horizontal="center"/>
    </xf>
    <xf numFmtId="49" fontId="6" fillId="0" borderId="8" xfId="32" applyNumberFormat="1" applyFont="1" applyFill="1" applyBorder="1" applyAlignment="1">
      <alignment horizontal="center" vertical="center"/>
    </xf>
    <xf numFmtId="49" fontId="6" fillId="0" borderId="5" xfId="32" applyNumberFormat="1" applyFont="1" applyFill="1" applyBorder="1" applyAlignment="1">
      <alignment horizontal="center" vertical="center"/>
    </xf>
    <xf numFmtId="49" fontId="6" fillId="0" borderId="0" xfId="32" applyNumberFormat="1" applyFont="1" applyFill="1" applyBorder="1" applyAlignment="1">
      <alignment horizontal="center" vertical="center"/>
    </xf>
    <xf numFmtId="0" fontId="6" fillId="0" borderId="0" xfId="32" applyFont="1" applyFill="1" applyAlignment="1">
      <alignment horizontal="left" vertical="center"/>
    </xf>
    <xf numFmtId="0" fontId="22" fillId="0" borderId="0" xfId="32" applyFont="1" applyFill="1" applyAlignment="1">
      <alignment horizontal="left" vertical="center"/>
    </xf>
    <xf numFmtId="0" fontId="47" fillId="0" borderId="0" xfId="32" applyFont="1" applyFill="1" applyAlignment="1">
      <alignment vertical="center"/>
    </xf>
    <xf numFmtId="0" fontId="48" fillId="0" borderId="0" xfId="32" applyFont="1" applyFill="1" applyAlignment="1">
      <alignment horizontal="left" vertical="center"/>
    </xf>
    <xf numFmtId="0" fontId="47" fillId="0" borderId="0" xfId="32" applyFont="1" applyFill="1" applyAlignment="1">
      <alignment horizontal="left" vertical="center"/>
    </xf>
    <xf numFmtId="0" fontId="3" fillId="0" borderId="0" xfId="32" applyFont="1" applyFill="1" applyAlignment="1">
      <alignment vertical="top" wrapText="1"/>
    </xf>
    <xf numFmtId="0" fontId="3" fillId="0" borderId="0" xfId="32" applyFont="1" applyFill="1" applyAlignment="1">
      <alignment wrapText="1"/>
    </xf>
    <xf numFmtId="0" fontId="3" fillId="0" borderId="0" xfId="32" quotePrefix="1" applyFont="1" applyFill="1" applyAlignment="1">
      <alignment vertical="center"/>
    </xf>
    <xf numFmtId="3" fontId="23" fillId="0" borderId="0" xfId="43" applyFont="1"/>
    <xf numFmtId="0" fontId="3" fillId="0" borderId="0" xfId="34" quotePrefix="1" applyFont="1" applyFill="1" applyBorder="1" applyAlignment="1">
      <alignment vertical="center"/>
    </xf>
    <xf numFmtId="9" fontId="4" fillId="0" borderId="0" xfId="3" applyFont="1" applyFill="1"/>
    <xf numFmtId="172" fontId="3" fillId="0" borderId="15" xfId="3" applyNumberFormat="1" applyFont="1" applyFill="1" applyBorder="1" applyAlignment="1">
      <alignment horizontal="center"/>
    </xf>
    <xf numFmtId="9" fontId="3" fillId="0" borderId="15" xfId="3" applyNumberFormat="1" applyFont="1" applyFill="1" applyBorder="1" applyAlignment="1">
      <alignment horizontal="center"/>
    </xf>
    <xf numFmtId="3" fontId="3" fillId="0" borderId="15" xfId="0" applyNumberFormat="1" applyFont="1" applyFill="1" applyBorder="1" applyAlignment="1">
      <alignment horizontal="center"/>
    </xf>
    <xf numFmtId="0" fontId="49" fillId="0" borderId="0" xfId="0" applyFont="1" applyFill="1"/>
    <xf numFmtId="166" fontId="3" fillId="0" borderId="7" xfId="9" applyNumberFormat="1" applyFont="1" applyFill="1" applyBorder="1" applyAlignment="1"/>
    <xf numFmtId="168" fontId="3" fillId="0" borderId="11" xfId="32" applyNumberFormat="1" applyFont="1" applyFill="1" applyBorder="1" applyAlignment="1">
      <alignment horizontal="center" vertical="center"/>
    </xf>
    <xf numFmtId="165" fontId="8" fillId="0" borderId="8" xfId="32" applyNumberFormat="1" applyFont="1" applyFill="1" applyBorder="1" applyAlignment="1">
      <alignment horizontal="center" vertical="center"/>
    </xf>
    <xf numFmtId="49" fontId="3" fillId="0" borderId="8" xfId="32" applyNumberFormat="1" applyFont="1" applyFill="1" applyBorder="1" applyAlignment="1">
      <alignment horizontal="left" vertical="center"/>
    </xf>
    <xf numFmtId="0" fontId="36" fillId="0" borderId="0" xfId="34" applyFont="1"/>
    <xf numFmtId="11" fontId="3" fillId="0" borderId="0" xfId="32" applyNumberFormat="1" applyFont="1" applyFill="1" applyBorder="1" applyAlignment="1">
      <alignment horizontal="right" vertical="center"/>
    </xf>
    <xf numFmtId="11" fontId="8" fillId="0" borderId="0" xfId="32" applyNumberFormat="1" applyFont="1" applyFill="1" applyBorder="1" applyAlignment="1">
      <alignment horizontal="right" vertical="center"/>
    </xf>
    <xf numFmtId="0" fontId="36" fillId="0" borderId="0" xfId="0" applyFont="1" applyFill="1" applyBorder="1"/>
    <xf numFmtId="4" fontId="23" fillId="0" borderId="0" xfId="34" applyNumberFormat="1" applyFont="1"/>
    <xf numFmtId="3" fontId="3" fillId="0" borderId="15" xfId="9" applyNumberFormat="1" applyFont="1" applyFill="1" applyBorder="1" applyAlignment="1">
      <alignment horizontal="center"/>
    </xf>
    <xf numFmtId="0" fontId="36" fillId="0" borderId="0" xfId="32" applyFont="1" applyFill="1" applyAlignment="1">
      <alignment horizontal="left" vertical="center"/>
    </xf>
    <xf numFmtId="165" fontId="3" fillId="0" borderId="15" xfId="32" quotePrefix="1" applyNumberFormat="1" applyFont="1" applyFill="1" applyBorder="1" applyAlignment="1">
      <alignment horizontal="center" vertical="center"/>
    </xf>
    <xf numFmtId="0" fontId="2" fillId="6" borderId="17" xfId="34" applyFont="1" applyFill="1" applyBorder="1" applyAlignment="1">
      <alignment horizontal="center" wrapText="1"/>
    </xf>
    <xf numFmtId="0" fontId="2" fillId="6" borderId="35" xfId="34" applyFont="1" applyFill="1" applyBorder="1" applyAlignment="1">
      <alignment horizontal="center" wrapText="1"/>
    </xf>
    <xf numFmtId="11" fontId="36" fillId="0" borderId="0" xfId="0" applyNumberFormat="1" applyFont="1" applyFill="1"/>
    <xf numFmtId="0" fontId="11" fillId="0" borderId="0" xfId="0" applyFont="1" applyFill="1" applyAlignment="1">
      <alignment horizontal="center"/>
    </xf>
    <xf numFmtId="3" fontId="11" fillId="0" borderId="0" xfId="43" applyFont="1" applyAlignment="1">
      <alignment horizontal="center"/>
    </xf>
    <xf numFmtId="3" fontId="39" fillId="0" borderId="0" xfId="43" applyFont="1"/>
    <xf numFmtId="0" fontId="11" fillId="0" borderId="0" xfId="0" applyFont="1" applyFill="1" applyBorder="1" applyAlignment="1">
      <alignment horizontal="center"/>
    </xf>
    <xf numFmtId="168" fontId="5" fillId="0" borderId="15" xfId="0" applyNumberFormat="1" applyFont="1" applyBorder="1" applyAlignment="1">
      <alignment horizontal="center"/>
    </xf>
    <xf numFmtId="2" fontId="5" fillId="0" borderId="12" xfId="0" applyNumberFormat="1" applyFont="1" applyBorder="1" applyAlignment="1">
      <alignment horizontal="center"/>
    </xf>
    <xf numFmtId="165" fontId="11" fillId="0" borderId="0" xfId="3" applyNumberFormat="1" applyFont="1"/>
    <xf numFmtId="0" fontId="4" fillId="0" borderId="15" xfId="0" applyFont="1" applyBorder="1"/>
    <xf numFmtId="0" fontId="3" fillId="0" borderId="7" xfId="32" quotePrefix="1" applyFont="1" applyFill="1" applyBorder="1" applyAlignment="1">
      <alignment horizontal="center" vertical="center"/>
    </xf>
    <xf numFmtId="0" fontId="5" fillId="6" borderId="12" xfId="32" applyFont="1" applyFill="1" applyBorder="1" applyAlignment="1">
      <alignment horizontal="centerContinuous" wrapText="1"/>
    </xf>
    <xf numFmtId="0" fontId="5" fillId="6" borderId="26" xfId="32" applyFont="1" applyFill="1" applyBorder="1" applyAlignment="1">
      <alignment horizontal="centerContinuous" wrapText="1"/>
    </xf>
    <xf numFmtId="164" fontId="3" fillId="0" borderId="41" xfId="32" applyNumberFormat="1" applyFont="1" applyFill="1" applyBorder="1" applyAlignment="1">
      <alignment horizontal="center" vertical="center"/>
    </xf>
    <xf numFmtId="0" fontId="2" fillId="6" borderId="42" xfId="34" applyFont="1" applyFill="1" applyBorder="1" applyAlignment="1">
      <alignment horizontal="center" wrapText="1"/>
    </xf>
    <xf numFmtId="0" fontId="2" fillId="6" borderId="43" xfId="34" applyFont="1" applyFill="1" applyBorder="1" applyAlignment="1">
      <alignment horizontal="center" wrapText="1"/>
    </xf>
    <xf numFmtId="1" fontId="3" fillId="0" borderId="0" xfId="0" applyNumberFormat="1" applyFont="1" applyFill="1" applyBorder="1" applyAlignment="1">
      <alignment horizontal="center"/>
    </xf>
    <xf numFmtId="165" fontId="3" fillId="0" borderId="4" xfId="32" applyNumberFormat="1" applyFont="1" applyFill="1" applyBorder="1" applyAlignment="1">
      <alignment vertical="center"/>
    </xf>
    <xf numFmtId="165" fontId="8" fillId="0" borderId="7" xfId="33" applyNumberFormat="1" applyFont="1" applyFill="1" applyBorder="1" applyAlignment="1" applyProtection="1">
      <alignment vertical="center"/>
    </xf>
    <xf numFmtId="0" fontId="3" fillId="0" borderId="0" xfId="32" applyNumberFormat="1" applyFont="1" applyFill="1" applyAlignment="1">
      <alignment vertical="top" wrapText="1"/>
    </xf>
    <xf numFmtId="0" fontId="3" fillId="0" borderId="0" xfId="32" applyFont="1" applyFill="1" applyAlignment="1">
      <alignment vertical="top" wrapText="1"/>
    </xf>
    <xf numFmtId="0" fontId="3" fillId="0" borderId="0" xfId="32" applyFont="1" applyFill="1" applyAlignment="1">
      <alignment wrapText="1"/>
    </xf>
    <xf numFmtId="0" fontId="3" fillId="0" borderId="0" xfId="32" applyNumberFormat="1" applyFont="1" applyFill="1" applyAlignment="1">
      <alignment horizontal="left" vertical="center"/>
    </xf>
    <xf numFmtId="0" fontId="3" fillId="0" borderId="0" xfId="0" applyFont="1" applyFill="1" applyBorder="1" applyAlignment="1">
      <alignment vertical="top"/>
    </xf>
    <xf numFmtId="164" fontId="3" fillId="0" borderId="38" xfId="32" applyNumberFormat="1" applyFont="1" applyFill="1" applyBorder="1" applyAlignment="1">
      <alignment horizontal="center" vertical="center"/>
    </xf>
    <xf numFmtId="0" fontId="5" fillId="6" borderId="16" xfId="34" applyFont="1" applyFill="1" applyBorder="1" applyAlignment="1">
      <alignment wrapText="1"/>
    </xf>
    <xf numFmtId="0" fontId="5" fillId="6" borderId="16" xfId="34" applyFont="1" applyFill="1" applyBorder="1" applyAlignment="1">
      <alignment horizontal="centerContinuous"/>
    </xf>
    <xf numFmtId="0" fontId="3" fillId="0" borderId="0" xfId="34" applyFont="1" applyFill="1" applyBorder="1" applyAlignment="1" applyProtection="1">
      <alignment vertical="center"/>
      <protection locked="0"/>
    </xf>
    <xf numFmtId="0" fontId="3" fillId="0" borderId="15" xfId="34" applyFont="1" applyFill="1" applyBorder="1" applyAlignment="1" applyProtection="1">
      <alignment vertical="center"/>
      <protection locked="0"/>
    </xf>
    <xf numFmtId="0" fontId="40" fillId="0" borderId="0" xfId="32" applyFont="1" applyFill="1" applyAlignment="1">
      <alignment vertical="center"/>
    </xf>
    <xf numFmtId="0" fontId="40" fillId="0" borderId="0" xfId="32" applyFont="1" applyFill="1" applyAlignment="1">
      <alignment horizontal="left" vertical="center"/>
    </xf>
    <xf numFmtId="0" fontId="40" fillId="0" borderId="0" xfId="0" applyFont="1" applyFill="1"/>
    <xf numFmtId="3" fontId="40" fillId="0" borderId="0" xfId="43" applyFont="1"/>
    <xf numFmtId="0" fontId="40" fillId="0" borderId="0" xfId="0" applyFont="1" applyFill="1" applyAlignment="1">
      <alignment vertical="top"/>
    </xf>
    <xf numFmtId="0" fontId="40" fillId="0" borderId="0" xfId="0" applyFont="1" applyAlignment="1">
      <alignment horizontal="right" vertical="top"/>
    </xf>
    <xf numFmtId="0" fontId="40" fillId="0" borderId="0" xfId="32" applyFont="1" applyFill="1" applyAlignment="1">
      <alignment horizontal="left" vertical="top"/>
    </xf>
    <xf numFmtId="0" fontId="40" fillId="0" borderId="0" xfId="32" applyFont="1" applyFill="1" applyAlignment="1">
      <alignment vertical="top"/>
    </xf>
    <xf numFmtId="0" fontId="21" fillId="0" borderId="0" xfId="0" applyFont="1" applyAlignment="1">
      <alignment vertical="center"/>
    </xf>
    <xf numFmtId="0" fontId="3" fillId="0" borderId="0" xfId="32" applyFont="1" applyFill="1" applyAlignment="1">
      <alignment horizontal="left" vertical="top"/>
    </xf>
    <xf numFmtId="0" fontId="3" fillId="0" borderId="0" xfId="0" applyFont="1"/>
    <xf numFmtId="165" fontId="3" fillId="0" borderId="4" xfId="0" applyNumberFormat="1" applyFont="1" applyFill="1" applyBorder="1" applyAlignment="1">
      <alignment horizontal="center"/>
    </xf>
    <xf numFmtId="0" fontId="3" fillId="0" borderId="0" xfId="0" applyFont="1" applyFill="1" applyBorder="1" applyAlignment="1">
      <alignment horizontal="center"/>
    </xf>
    <xf numFmtId="165" fontId="3" fillId="0" borderId="47" xfId="32" applyNumberFormat="1" applyFont="1" applyFill="1" applyBorder="1" applyAlignment="1">
      <alignment horizontal="center" vertical="center"/>
    </xf>
    <xf numFmtId="165" fontId="3" fillId="0" borderId="45" xfId="32" applyNumberFormat="1" applyFont="1" applyFill="1" applyBorder="1" applyAlignment="1">
      <alignment horizontal="center" vertical="center"/>
    </xf>
    <xf numFmtId="0" fontId="34" fillId="0" borderId="0" xfId="0" applyFont="1" applyFill="1" applyBorder="1" applyAlignment="1">
      <alignment horizontal="center"/>
    </xf>
    <xf numFmtId="1" fontId="3" fillId="0" borderId="45" xfId="0" applyNumberFormat="1" applyFont="1" applyFill="1" applyBorder="1" applyAlignment="1">
      <alignment horizontal="center"/>
    </xf>
    <xf numFmtId="165" fontId="3" fillId="0" borderId="45" xfId="0" applyNumberFormat="1" applyFont="1" applyFill="1" applyBorder="1" applyAlignment="1">
      <alignment horizontal="center"/>
    </xf>
    <xf numFmtId="165" fontId="3" fillId="0" borderId="46" xfId="0" applyNumberFormat="1" applyFont="1" applyFill="1" applyBorder="1" applyAlignment="1">
      <alignment horizontal="center"/>
    </xf>
    <xf numFmtId="165" fontId="3" fillId="0" borderId="6" xfId="32" applyNumberFormat="1" applyFont="1" applyFill="1" applyBorder="1" applyAlignment="1">
      <alignment horizontal="center" vertical="center"/>
    </xf>
    <xf numFmtId="165" fontId="3" fillId="0" borderId="46" xfId="32" applyNumberFormat="1" applyFont="1" applyFill="1" applyBorder="1" applyAlignment="1">
      <alignment horizontal="center" vertical="center"/>
    </xf>
    <xf numFmtId="165" fontId="3" fillId="0" borderId="6" xfId="0" applyNumberFormat="1" applyFont="1" applyFill="1" applyBorder="1" applyAlignment="1">
      <alignment horizontal="center"/>
    </xf>
    <xf numFmtId="0" fontId="51" fillId="0" borderId="0" xfId="0" applyFont="1" applyFill="1" applyBorder="1"/>
    <xf numFmtId="3" fontId="3" fillId="0" borderId="0" xfId="43" applyFont="1" applyFill="1" applyBorder="1"/>
    <xf numFmtId="3" fontId="3" fillId="0" borderId="0" xfId="43" applyFont="1" applyFill="1" applyBorder="1" applyAlignment="1">
      <alignment horizontal="center"/>
    </xf>
    <xf numFmtId="0" fontId="3" fillId="0" borderId="0" xfId="32" applyFont="1" applyFill="1" applyBorder="1" applyAlignment="1">
      <alignment wrapText="1"/>
    </xf>
    <xf numFmtId="2" fontId="3" fillId="0" borderId="0" xfId="32" applyNumberFormat="1" applyFont="1" applyFill="1" applyBorder="1" applyAlignment="1">
      <alignment wrapText="1"/>
    </xf>
    <xf numFmtId="164" fontId="3" fillId="0" borderId="0" xfId="32" applyNumberFormat="1" applyFont="1" applyFill="1" applyBorder="1" applyAlignment="1">
      <alignment wrapText="1"/>
    </xf>
    <xf numFmtId="1" fontId="3" fillId="0" borderId="47" xfId="0" applyNumberFormat="1" applyFont="1" applyFill="1" applyBorder="1" applyAlignment="1">
      <alignment horizontal="center"/>
    </xf>
    <xf numFmtId="165" fontId="3" fillId="0" borderId="48" xfId="32" applyNumberFormat="1" applyFont="1" applyFill="1" applyBorder="1" applyAlignment="1">
      <alignment horizontal="center" vertical="center"/>
    </xf>
    <xf numFmtId="3" fontId="3" fillId="0" borderId="0" xfId="43" applyFont="1" applyBorder="1"/>
    <xf numFmtId="0" fontId="4" fillId="0" borderId="0" xfId="0" applyFont="1" applyBorder="1"/>
    <xf numFmtId="3" fontId="3" fillId="0" borderId="0" xfId="43" applyFont="1" applyBorder="1" applyAlignment="1">
      <alignment horizontal="center"/>
    </xf>
    <xf numFmtId="0" fontId="3" fillId="0" borderId="0" xfId="0" applyFont="1" applyBorder="1"/>
    <xf numFmtId="0" fontId="5" fillId="0" borderId="36" xfId="34" applyFont="1" applyFill="1" applyBorder="1" applyAlignment="1">
      <alignment horizontal="center" wrapText="1"/>
    </xf>
    <xf numFmtId="0" fontId="5" fillId="0" borderId="49" xfId="34" applyFont="1" applyFill="1" applyBorder="1" applyAlignment="1">
      <alignment horizontal="center" wrapText="1"/>
    </xf>
    <xf numFmtId="0" fontId="5" fillId="0" borderId="50" xfId="34" applyFont="1" applyFill="1" applyBorder="1" applyAlignment="1">
      <alignment horizontal="center" wrapText="1"/>
    </xf>
    <xf numFmtId="165" fontId="5" fillId="0" borderId="50" xfId="32" applyNumberFormat="1" applyFont="1" applyFill="1" applyBorder="1" applyAlignment="1">
      <alignment horizontal="center" vertical="center"/>
    </xf>
    <xf numFmtId="165" fontId="5" fillId="0" borderId="51" xfId="32" applyNumberFormat="1" applyFont="1" applyFill="1" applyBorder="1" applyAlignment="1">
      <alignment horizontal="center" vertical="center"/>
    </xf>
    <xf numFmtId="0" fontId="5" fillId="0" borderId="54" xfId="34" applyFont="1" applyFill="1" applyBorder="1" applyAlignment="1">
      <alignment horizontal="center" wrapText="1"/>
    </xf>
    <xf numFmtId="165" fontId="3" fillId="0" borderId="44" xfId="32" applyNumberFormat="1" applyFont="1" applyFill="1" applyBorder="1" applyAlignment="1">
      <alignment horizontal="center" vertical="center"/>
    </xf>
    <xf numFmtId="165" fontId="3" fillId="0" borderId="32" xfId="32" applyNumberFormat="1" applyFont="1" applyFill="1" applyBorder="1" applyAlignment="1">
      <alignment horizontal="center" vertical="center"/>
    </xf>
    <xf numFmtId="165" fontId="3" fillId="0" borderId="57" xfId="32" applyNumberFormat="1" applyFont="1" applyFill="1" applyBorder="1" applyAlignment="1">
      <alignment horizontal="center" vertical="center"/>
    </xf>
    <xf numFmtId="165" fontId="3" fillId="0" borderId="33" xfId="32" applyNumberFormat="1" applyFont="1" applyFill="1" applyBorder="1" applyAlignment="1">
      <alignment horizontal="center" vertical="center"/>
    </xf>
    <xf numFmtId="0" fontId="5" fillId="0" borderId="51" xfId="34" applyFont="1" applyFill="1" applyBorder="1" applyAlignment="1">
      <alignment horizontal="center" wrapText="1"/>
    </xf>
    <xf numFmtId="165" fontId="3" fillId="0" borderId="59" xfId="32" applyNumberFormat="1" applyFont="1" applyFill="1" applyBorder="1" applyAlignment="1">
      <alignment horizontal="center" vertical="center"/>
    </xf>
    <xf numFmtId="0" fontId="5" fillId="8" borderId="54" xfId="34" applyFont="1" applyFill="1" applyBorder="1" applyAlignment="1">
      <alignment horizontal="center" wrapText="1"/>
    </xf>
    <xf numFmtId="0" fontId="5" fillId="8" borderId="55" xfId="34" applyFont="1" applyFill="1" applyBorder="1" applyAlignment="1">
      <alignment horizontal="center" wrapText="1"/>
    </xf>
    <xf numFmtId="165" fontId="3" fillId="8" borderId="44" xfId="32" applyNumberFormat="1" applyFont="1" applyFill="1" applyBorder="1" applyAlignment="1">
      <alignment horizontal="center" vertical="center"/>
    </xf>
    <xf numFmtId="165" fontId="3" fillId="8" borderId="56" xfId="32" applyNumberFormat="1" applyFont="1" applyFill="1" applyBorder="1" applyAlignment="1">
      <alignment horizontal="center" vertical="center"/>
    </xf>
    <xf numFmtId="165" fontId="3" fillId="8" borderId="32" xfId="32" applyNumberFormat="1" applyFont="1" applyFill="1" applyBorder="1" applyAlignment="1">
      <alignment horizontal="center" vertical="center"/>
    </xf>
    <xf numFmtId="165" fontId="3" fillId="8" borderId="58" xfId="32" applyNumberFormat="1" applyFont="1" applyFill="1" applyBorder="1" applyAlignment="1">
      <alignment horizontal="center" vertical="center"/>
    </xf>
    <xf numFmtId="0" fontId="5" fillId="4" borderId="19" xfId="0" applyFont="1" applyFill="1" applyBorder="1" applyAlignment="1">
      <alignment horizontal="centerContinuous" wrapText="1"/>
    </xf>
    <xf numFmtId="0" fontId="5" fillId="4" borderId="17" xfId="0" applyFont="1" applyFill="1" applyBorder="1" applyAlignment="1">
      <alignment horizontal="centerContinuous" wrapText="1"/>
    </xf>
    <xf numFmtId="0" fontId="5" fillId="4" borderId="42" xfId="0" applyFont="1" applyFill="1" applyBorder="1" applyAlignment="1">
      <alignment horizontal="centerContinuous" wrapText="1"/>
    </xf>
    <xf numFmtId="0" fontId="5" fillId="4" borderId="35" xfId="0" applyFont="1" applyFill="1" applyBorder="1" applyAlignment="1">
      <alignment horizontal="centerContinuous"/>
    </xf>
    <xf numFmtId="0" fontId="5" fillId="7" borderId="9" xfId="0" applyFont="1" applyFill="1" applyBorder="1" applyAlignment="1">
      <alignment horizontal="centerContinuous"/>
    </xf>
    <xf numFmtId="0" fontId="3" fillId="7" borderId="10" xfId="0" applyFont="1" applyFill="1" applyBorder="1" applyAlignment="1">
      <alignment horizontal="centerContinuous"/>
    </xf>
    <xf numFmtId="0" fontId="3" fillId="7" borderId="11" xfId="0" applyFont="1" applyFill="1" applyBorder="1" applyAlignment="1">
      <alignment horizontal="centerContinuous"/>
    </xf>
    <xf numFmtId="0" fontId="5" fillId="7" borderId="14" xfId="0" applyFont="1" applyFill="1" applyBorder="1" applyAlignment="1">
      <alignment horizontal="centerContinuous"/>
    </xf>
    <xf numFmtId="0" fontId="3" fillId="7" borderId="15" xfId="0" applyFont="1" applyFill="1" applyBorder="1" applyAlignment="1">
      <alignment horizontal="centerContinuous"/>
    </xf>
    <xf numFmtId="0" fontId="6" fillId="0" borderId="0" xfId="0" applyFont="1"/>
    <xf numFmtId="0" fontId="43" fillId="0" borderId="0" xfId="0" applyFont="1" applyFill="1"/>
    <xf numFmtId="0" fontId="5" fillId="7" borderId="2" xfId="0" applyFont="1" applyFill="1" applyBorder="1" applyAlignment="1">
      <alignment horizontal="centerContinuous"/>
    </xf>
    <xf numFmtId="0" fontId="3" fillId="7" borderId="12" xfId="0" applyFont="1" applyFill="1" applyBorder="1" applyAlignment="1">
      <alignment horizontal="centerContinuous"/>
    </xf>
    <xf numFmtId="0" fontId="3" fillId="0" borderId="34" xfId="0" applyFont="1" applyBorder="1" applyAlignment="1">
      <alignment horizontal="center" vertical="top"/>
    </xf>
    <xf numFmtId="0" fontId="3" fillId="0" borderId="13" xfId="0" applyFont="1" applyFill="1" applyBorder="1" applyAlignment="1">
      <alignment horizontal="center"/>
    </xf>
    <xf numFmtId="0" fontId="3" fillId="0" borderId="13" xfId="3" applyNumberFormat="1" applyFont="1" applyBorder="1" applyAlignment="1">
      <alignment horizontal="center" vertical="top"/>
    </xf>
    <xf numFmtId="0" fontId="3" fillId="0" borderId="15" xfId="0" applyFont="1" applyFill="1" applyBorder="1" applyAlignment="1">
      <alignment horizontal="center"/>
    </xf>
    <xf numFmtId="0" fontId="3" fillId="0" borderId="15" xfId="3" applyNumberFormat="1" applyFont="1" applyBorder="1" applyAlignment="1">
      <alignment horizontal="center" vertical="top"/>
    </xf>
    <xf numFmtId="0" fontId="3" fillId="0" borderId="7" xfId="0" applyFont="1" applyFill="1" applyBorder="1" applyAlignment="1">
      <alignment vertical="center"/>
    </xf>
    <xf numFmtId="3" fontId="3" fillId="0" borderId="15" xfId="43" applyFont="1" applyBorder="1" applyAlignment="1">
      <alignment horizontal="center"/>
    </xf>
    <xf numFmtId="0" fontId="3" fillId="0" borderId="4" xfId="0" applyFont="1" applyFill="1" applyBorder="1" applyAlignment="1">
      <alignment vertical="center"/>
    </xf>
    <xf numFmtId="3" fontId="3" fillId="0" borderId="14" xfId="43" applyFont="1" applyBorder="1" applyAlignment="1">
      <alignment horizontal="center"/>
    </xf>
    <xf numFmtId="0" fontId="3" fillId="0" borderId="14" xfId="3" applyNumberFormat="1" applyFont="1" applyBorder="1" applyAlignment="1">
      <alignment horizontal="center" vertical="top"/>
    </xf>
    <xf numFmtId="0" fontId="3" fillId="0" borderId="0" xfId="0" applyFont="1" applyBorder="1" applyAlignment="1">
      <alignment vertical="top"/>
    </xf>
    <xf numFmtId="0" fontId="5" fillId="7" borderId="19" xfId="0" applyFont="1" applyFill="1" applyBorder="1" applyAlignment="1">
      <alignment horizontal="center" wrapText="1"/>
    </xf>
    <xf numFmtId="0" fontId="5" fillId="6" borderId="8" xfId="0" applyFont="1" applyFill="1" applyBorder="1" applyAlignment="1">
      <alignment horizontal="centerContinuous"/>
    </xf>
    <xf numFmtId="0" fontId="3" fillId="6" borderId="0" xfId="0" applyFont="1" applyFill="1" applyBorder="1" applyAlignment="1">
      <alignment horizontal="centerContinuous"/>
    </xf>
    <xf numFmtId="0" fontId="6" fillId="0" borderId="0" xfId="0" applyFont="1" applyFill="1"/>
    <xf numFmtId="0" fontId="3" fillId="6" borderId="6" xfId="0" applyFont="1" applyFill="1" applyBorder="1" applyAlignment="1">
      <alignment horizontal="centerContinuous"/>
    </xf>
    <xf numFmtId="0" fontId="3" fillId="0" borderId="14" xfId="0" applyFont="1" applyFill="1" applyBorder="1" applyAlignment="1">
      <alignment horizontal="center"/>
    </xf>
    <xf numFmtId="0" fontId="5" fillId="6" borderId="11" xfId="0" applyFont="1" applyFill="1" applyBorder="1" applyAlignment="1">
      <alignment horizontal="centerContinuous"/>
    </xf>
    <xf numFmtId="0" fontId="3" fillId="6" borderId="10" xfId="0" applyFont="1" applyFill="1" applyBorder="1" applyAlignment="1">
      <alignment horizontal="centerContinuous"/>
    </xf>
    <xf numFmtId="0" fontId="5" fillId="6" borderId="5" xfId="0" applyFont="1" applyFill="1" applyBorder="1" applyAlignment="1">
      <alignment horizontal="centerContinuous"/>
    </xf>
    <xf numFmtId="0" fontId="40" fillId="0" borderId="0" xfId="0" applyFont="1"/>
    <xf numFmtId="0" fontId="40" fillId="0" borderId="0" xfId="0" applyFont="1" applyAlignment="1">
      <alignment horizontal="right" vertical="center"/>
    </xf>
    <xf numFmtId="0" fontId="3" fillId="0" borderId="0" xfId="0" quotePrefix="1" applyFont="1" applyAlignment="1">
      <alignment horizontal="left" vertical="top" wrapText="1"/>
    </xf>
    <xf numFmtId="0" fontId="3" fillId="0" borderId="0" xfId="0" applyFont="1" applyFill="1" applyAlignment="1">
      <alignment horizontal="left"/>
    </xf>
    <xf numFmtId="0" fontId="3" fillId="0" borderId="0" xfId="32" applyFont="1" applyFill="1" applyAlignment="1">
      <alignment horizontal="centerContinuous"/>
    </xf>
    <xf numFmtId="0" fontId="3" fillId="4" borderId="13" xfId="32" applyFont="1" applyFill="1" applyBorder="1" applyAlignment="1">
      <alignment horizontal="center" vertical="center"/>
    </xf>
    <xf numFmtId="0" fontId="5" fillId="0" borderId="14" xfId="32" applyNumberFormat="1" applyFont="1" applyFill="1" applyBorder="1" applyAlignment="1">
      <alignment horizontal="left" vertical="center" indent="1"/>
    </xf>
    <xf numFmtId="0" fontId="2" fillId="4" borderId="16" xfId="34" applyFont="1" applyFill="1" applyBorder="1" applyAlignment="1">
      <alignment horizontal="center" wrapText="1"/>
    </xf>
    <xf numFmtId="0" fontId="11" fillId="0" borderId="0" xfId="32" applyFont="1" applyFill="1" applyBorder="1" applyAlignment="1">
      <alignment horizontal="right"/>
    </xf>
    <xf numFmtId="0" fontId="11" fillId="0" borderId="6" xfId="0" applyFont="1" applyFill="1" applyBorder="1" applyAlignment="1">
      <alignment horizontal="centerContinuous" wrapText="1"/>
    </xf>
    <xf numFmtId="0" fontId="5" fillId="7" borderId="17" xfId="0" applyNumberFormat="1" applyFont="1" applyFill="1" applyBorder="1" applyAlignment="1">
      <alignment wrapText="1"/>
    </xf>
    <xf numFmtId="0" fontId="2" fillId="0" borderId="0" xfId="0" applyFont="1" applyFill="1" applyBorder="1" applyAlignment="1">
      <alignment horizontal="centerContinuous"/>
    </xf>
    <xf numFmtId="0" fontId="34" fillId="0" borderId="0" xfId="34" applyFont="1" applyFill="1" applyBorder="1" applyAlignment="1">
      <alignment wrapText="1"/>
    </xf>
    <xf numFmtId="0" fontId="11" fillId="0" borderId="0" xfId="32" applyFont="1" applyFill="1" applyBorder="1" applyAlignment="1">
      <alignment horizontal="center" vertical="center"/>
    </xf>
    <xf numFmtId="1" fontId="3" fillId="0" borderId="15" xfId="32" quotePrefix="1" applyNumberFormat="1" applyFont="1" applyFill="1" applyBorder="1" applyAlignment="1">
      <alignment horizontal="center" vertical="center"/>
    </xf>
    <xf numFmtId="1" fontId="3" fillId="0" borderId="7" xfId="32" quotePrefix="1" applyNumberFormat="1" applyFont="1" applyFill="1" applyBorder="1" applyAlignment="1">
      <alignment horizontal="center" vertical="center"/>
    </xf>
    <xf numFmtId="1" fontId="3" fillId="0" borderId="38" xfId="32" applyNumberFormat="1" applyFont="1" applyFill="1" applyBorder="1" applyAlignment="1">
      <alignment horizontal="center" vertical="center"/>
    </xf>
    <xf numFmtId="164" fontId="3" fillId="0" borderId="7" xfId="32" applyNumberFormat="1" applyFont="1" applyFill="1" applyBorder="1" applyAlignment="1">
      <alignment horizontal="center" vertical="center"/>
    </xf>
    <xf numFmtId="1" fontId="3" fillId="0" borderId="41" xfId="32" applyNumberFormat="1" applyFont="1" applyFill="1" applyBorder="1" applyAlignment="1">
      <alignment horizontal="center" vertical="center"/>
    </xf>
    <xf numFmtId="1" fontId="3" fillId="0" borderId="14" xfId="32" quotePrefix="1" applyNumberFormat="1" applyFont="1" applyFill="1" applyBorder="1" applyAlignment="1">
      <alignment horizontal="center" vertical="center"/>
    </xf>
    <xf numFmtId="1" fontId="3" fillId="0" borderId="4" xfId="32" quotePrefix="1" applyNumberFormat="1" applyFont="1" applyFill="1" applyBorder="1" applyAlignment="1">
      <alignment horizontal="center" vertical="center"/>
    </xf>
    <xf numFmtId="165" fontId="3" fillId="0" borderId="24" xfId="32" applyNumberFormat="1" applyFont="1" applyFill="1" applyBorder="1" applyAlignment="1">
      <alignment horizontal="center" vertical="center"/>
    </xf>
    <xf numFmtId="165" fontId="3" fillId="0" borderId="25" xfId="32" applyNumberFormat="1" applyFont="1" applyFill="1" applyBorder="1" applyAlignment="1">
      <alignment horizontal="center" vertical="center"/>
    </xf>
    <xf numFmtId="49" fontId="6" fillId="0" borderId="0" xfId="32" quotePrefix="1" applyNumberFormat="1" applyFont="1" applyFill="1" applyBorder="1" applyAlignment="1">
      <alignment horizontal="center" vertical="center"/>
    </xf>
    <xf numFmtId="170" fontId="5" fillId="0" borderId="14" xfId="32" applyNumberFormat="1" applyFont="1" applyFill="1" applyBorder="1" applyAlignment="1">
      <alignment horizontal="center" vertical="center"/>
    </xf>
    <xf numFmtId="166" fontId="3" fillId="0" borderId="0" xfId="36" applyNumberFormat="1" applyFont="1" applyFill="1" applyAlignment="1">
      <alignment horizontal="center"/>
    </xf>
    <xf numFmtId="49" fontId="3" fillId="0" borderId="0" xfId="34" applyNumberFormat="1" applyFont="1"/>
    <xf numFmtId="49" fontId="3" fillId="0" borderId="6" xfId="32" applyNumberFormat="1" applyFont="1" applyFill="1" applyBorder="1" applyAlignment="1">
      <alignment horizontal="center" vertical="center"/>
    </xf>
    <xf numFmtId="1" fontId="40" fillId="0" borderId="0" xfId="32" applyNumberFormat="1" applyFont="1" applyFill="1" applyAlignment="1">
      <alignment horizontal="left" vertical="center"/>
    </xf>
    <xf numFmtId="0" fontId="6" fillId="0" borderId="0" xfId="0" quotePrefix="1" applyFont="1" applyAlignment="1">
      <alignment vertical="top"/>
    </xf>
    <xf numFmtId="168" fontId="3" fillId="0" borderId="0" xfId="0" applyNumberFormat="1" applyFont="1" applyFill="1" applyAlignment="1">
      <alignment horizontal="center" vertical="top"/>
    </xf>
    <xf numFmtId="0" fontId="34" fillId="0" borderId="0" xfId="32" applyFont="1" applyFill="1" applyAlignment="1"/>
    <xf numFmtId="0" fontId="34" fillId="0" borderId="0" xfId="32" applyFont="1" applyBorder="1" applyAlignment="1">
      <alignment vertical="center"/>
    </xf>
    <xf numFmtId="0" fontId="11" fillId="0" borderId="0" xfId="34" applyFont="1" applyAlignment="1"/>
    <xf numFmtId="0" fontId="11" fillId="0" borderId="0" xfId="34" applyFont="1"/>
    <xf numFmtId="0" fontId="11" fillId="0" borderId="0" xfId="32" applyFont="1" applyFill="1" applyAlignment="1">
      <alignment vertical="center"/>
    </xf>
    <xf numFmtId="0" fontId="11" fillId="0" borderId="0" xfId="32" applyNumberFormat="1" applyFont="1" applyAlignment="1">
      <alignment vertical="center"/>
    </xf>
    <xf numFmtId="0" fontId="11" fillId="0" borderId="0" xfId="34" applyFont="1" applyAlignment="1">
      <alignment vertical="center"/>
    </xf>
    <xf numFmtId="0" fontId="25" fillId="0" borderId="0" xfId="37" applyFont="1" applyAlignment="1">
      <alignment vertical="center"/>
    </xf>
    <xf numFmtId="0" fontId="34" fillId="0" borderId="0" xfId="32" applyFont="1" applyFill="1" applyAlignment="1">
      <alignment vertical="center"/>
    </xf>
    <xf numFmtId="0" fontId="11" fillId="0" borderId="0" xfId="0" applyFont="1" applyAlignment="1">
      <alignment horizontal="left" wrapText="1"/>
    </xf>
    <xf numFmtId="0" fontId="11" fillId="0" borderId="0" xfId="32" applyFont="1" applyAlignment="1">
      <alignment vertical="center"/>
    </xf>
    <xf numFmtId="9" fontId="11" fillId="0" borderId="0" xfId="0" applyNumberFormat="1" applyFont="1" applyBorder="1"/>
    <xf numFmtId="165" fontId="5" fillId="0" borderId="14" xfId="32" applyNumberFormat="1" applyFont="1" applyFill="1" applyBorder="1" applyAlignment="1">
      <alignment horizontal="center" vertical="center"/>
    </xf>
    <xf numFmtId="2" fontId="3" fillId="0" borderId="0" xfId="0" applyNumberFormat="1" applyFont="1" applyFill="1" applyBorder="1" applyAlignment="1">
      <alignment horizontal="center"/>
    </xf>
    <xf numFmtId="165" fontId="3" fillId="0" borderId="7" xfId="32" quotePrefix="1" applyNumberFormat="1" applyFont="1" applyFill="1" applyBorder="1" applyAlignment="1">
      <alignment horizontal="center" vertical="center"/>
    </xf>
    <xf numFmtId="2" fontId="3" fillId="0" borderId="38" xfId="32" applyNumberFormat="1" applyFont="1" applyFill="1" applyBorder="1" applyAlignment="1">
      <alignment horizontal="center" vertical="center"/>
    </xf>
    <xf numFmtId="0" fontId="4" fillId="0" borderId="1" xfId="0" applyFont="1" applyBorder="1"/>
    <xf numFmtId="0" fontId="4" fillId="0" borderId="3" xfId="0" applyFont="1" applyBorder="1"/>
    <xf numFmtId="2" fontId="4" fillId="0" borderId="3" xfId="0" applyNumberFormat="1" applyFont="1" applyBorder="1" applyAlignment="1">
      <alignment horizontal="center"/>
    </xf>
    <xf numFmtId="2" fontId="4" fillId="0" borderId="2" xfId="0" applyNumberFormat="1" applyFont="1" applyBorder="1" applyAlignment="1">
      <alignment horizontal="center"/>
    </xf>
    <xf numFmtId="0" fontId="5" fillId="0" borderId="0" xfId="0" applyFont="1" applyFill="1"/>
    <xf numFmtId="0" fontId="5" fillId="6" borderId="13" xfId="9" applyFont="1" applyFill="1" applyBorder="1" applyAlignment="1">
      <alignment horizontal="center" wrapText="1"/>
    </xf>
    <xf numFmtId="0" fontId="5" fillId="6" borderId="16" xfId="9" applyFont="1" applyFill="1" applyBorder="1" applyAlignment="1">
      <alignment horizontal="center" wrapText="1"/>
    </xf>
    <xf numFmtId="0" fontId="4" fillId="0" borderId="0" xfId="0" quotePrefix="1" applyFont="1" applyAlignment="1">
      <alignment horizontal="left" indent="1"/>
    </xf>
    <xf numFmtId="0" fontId="30" fillId="0" borderId="0" xfId="0" quotePrefix="1" applyFont="1" applyAlignment="1">
      <alignment horizontal="left" vertical="top" wrapText="1" indent="1"/>
    </xf>
    <xf numFmtId="0" fontId="4" fillId="0" borderId="0" xfId="0" quotePrefix="1" applyFont="1" applyFill="1" applyAlignment="1">
      <alignment horizontal="left" vertical="top" wrapText="1" indent="1"/>
    </xf>
    <xf numFmtId="0" fontId="3" fillId="0" borderId="0" xfId="32" quotePrefix="1" applyFont="1" applyFill="1" applyAlignment="1">
      <alignment horizontal="left" vertical="center" indent="1"/>
    </xf>
    <xf numFmtId="0" fontId="3" fillId="0" borderId="0" xfId="32" applyFont="1" applyFill="1" applyAlignment="1">
      <alignment horizontal="left" wrapText="1" indent="1"/>
    </xf>
    <xf numFmtId="0" fontId="6" fillId="0" borderId="0" xfId="32" applyFont="1" applyFill="1" applyAlignment="1">
      <alignment horizontal="left" wrapText="1" indent="1"/>
    </xf>
    <xf numFmtId="0" fontId="3" fillId="0" borderId="0" xfId="32" applyFont="1" applyAlignment="1">
      <alignment horizontal="left" wrapText="1" indent="1"/>
    </xf>
    <xf numFmtId="0" fontId="3" fillId="0" borderId="0" xfId="32" applyNumberFormat="1" applyFont="1" applyFill="1" applyAlignment="1">
      <alignment horizontal="left" vertical="center" wrapText="1" indent="1"/>
    </xf>
    <xf numFmtId="0" fontId="2" fillId="6" borderId="13" xfId="34" applyFont="1" applyFill="1" applyBorder="1" applyAlignment="1">
      <alignment horizontal="center"/>
    </xf>
    <xf numFmtId="0" fontId="2" fillId="6" borderId="15" xfId="34" applyFont="1" applyFill="1" applyBorder="1" applyAlignment="1">
      <alignment horizontal="center"/>
    </xf>
    <xf numFmtId="0" fontId="5" fillId="6" borderId="9" xfId="34" applyFont="1" applyFill="1" applyBorder="1" applyAlignment="1">
      <alignment horizontal="center"/>
    </xf>
    <xf numFmtId="0" fontId="5" fillId="6" borderId="10" xfId="34" applyFont="1" applyFill="1" applyBorder="1" applyAlignment="1">
      <alignment horizontal="center"/>
    </xf>
    <xf numFmtId="0" fontId="5" fillId="6" borderId="11" xfId="34" applyFont="1" applyFill="1" applyBorder="1" applyAlignment="1">
      <alignment horizontal="center"/>
    </xf>
    <xf numFmtId="0" fontId="5" fillId="6" borderId="7" xfId="34" applyFont="1" applyFill="1" applyBorder="1" applyAlignment="1">
      <alignment horizontal="center"/>
    </xf>
    <xf numFmtId="0" fontId="5" fillId="6" borderId="0" xfId="34" applyFont="1" applyFill="1" applyBorder="1" applyAlignment="1">
      <alignment horizontal="center"/>
    </xf>
    <xf numFmtId="0" fontId="5" fillId="6" borderId="8" xfId="34" applyFont="1" applyFill="1" applyBorder="1" applyAlignment="1">
      <alignment horizontal="center"/>
    </xf>
    <xf numFmtId="0" fontId="5" fillId="6" borderId="18" xfId="34" applyFont="1" applyFill="1" applyBorder="1" applyAlignment="1">
      <alignment horizontal="center"/>
    </xf>
    <xf numFmtId="0" fontId="5" fillId="6" borderId="22" xfId="34" applyFont="1" applyFill="1" applyBorder="1" applyAlignment="1">
      <alignment horizontal="center"/>
    </xf>
    <xf numFmtId="0" fontId="5" fillId="6" borderId="20" xfId="34" applyFont="1" applyFill="1" applyBorder="1" applyAlignment="1">
      <alignment horizontal="center"/>
    </xf>
    <xf numFmtId="0" fontId="3" fillId="0" borderId="0" xfId="32" applyFont="1" applyFill="1" applyAlignment="1">
      <alignment horizontal="left" vertical="top" wrapText="1" indent="1"/>
    </xf>
    <xf numFmtId="0" fontId="3" fillId="0" borderId="0" xfId="32" applyNumberFormat="1" applyFont="1" applyFill="1" applyAlignment="1">
      <alignment horizontal="left" vertical="top" wrapText="1" indent="1"/>
    </xf>
    <xf numFmtId="0" fontId="6" fillId="0" borderId="0" xfId="32" quotePrefix="1" applyFont="1" applyFill="1" applyAlignment="1">
      <alignment horizontal="left" vertical="center" indent="1"/>
    </xf>
    <xf numFmtId="0" fontId="5" fillId="6" borderId="13" xfId="34" applyFont="1" applyFill="1" applyBorder="1" applyAlignment="1">
      <alignment horizontal="center"/>
    </xf>
    <xf numFmtId="0" fontId="5" fillId="6" borderId="15" xfId="34" applyFont="1" applyFill="1" applyBorder="1" applyAlignment="1">
      <alignment horizontal="center"/>
    </xf>
    <xf numFmtId="0" fontId="3" fillId="0" borderId="0" xfId="32" applyNumberFormat="1" applyFont="1" applyFill="1" applyAlignment="1">
      <alignment vertical="top" wrapText="1"/>
    </xf>
    <xf numFmtId="0" fontId="3" fillId="0" borderId="0" xfId="32" applyFont="1" applyFill="1" applyAlignment="1">
      <alignment vertical="top" wrapText="1"/>
    </xf>
    <xf numFmtId="0" fontId="3" fillId="0" borderId="0" xfId="32" applyFont="1" applyFill="1" applyAlignment="1">
      <alignment wrapText="1"/>
    </xf>
    <xf numFmtId="0" fontId="3" fillId="0" borderId="0" xfId="0" quotePrefix="1" applyFont="1" applyAlignment="1">
      <alignment horizontal="left" indent="1"/>
    </xf>
    <xf numFmtId="0" fontId="5" fillId="7" borderId="13" xfId="0" applyFont="1" applyFill="1" applyBorder="1" applyAlignment="1">
      <alignment horizontal="center" wrapText="1"/>
    </xf>
    <xf numFmtId="0" fontId="5" fillId="7" borderId="15" xfId="0" applyFont="1" applyFill="1" applyBorder="1" applyAlignment="1">
      <alignment horizontal="center" wrapText="1"/>
    </xf>
    <xf numFmtId="0" fontId="5" fillId="7" borderId="16" xfId="0" applyFont="1" applyFill="1" applyBorder="1" applyAlignment="1">
      <alignment horizontal="center" wrapText="1"/>
    </xf>
    <xf numFmtId="0" fontId="5" fillId="7" borderId="13" xfId="0" applyNumberFormat="1" applyFont="1" applyFill="1" applyBorder="1" applyAlignment="1">
      <alignment horizontal="left" wrapText="1"/>
    </xf>
    <xf numFmtId="0" fontId="5" fillId="7" borderId="15" xfId="0" applyNumberFormat="1" applyFont="1" applyFill="1" applyBorder="1" applyAlignment="1">
      <alignment horizontal="left" wrapText="1"/>
    </xf>
    <xf numFmtId="0" fontId="5" fillId="7" borderId="16" xfId="0" applyNumberFormat="1" applyFont="1" applyFill="1" applyBorder="1" applyAlignment="1">
      <alignment horizontal="left" wrapText="1"/>
    </xf>
    <xf numFmtId="0" fontId="5" fillId="7" borderId="13" xfId="0" applyFont="1" applyFill="1" applyBorder="1" applyAlignment="1">
      <alignment horizontal="left" wrapText="1"/>
    </xf>
    <xf numFmtId="0" fontId="5" fillId="7" borderId="15" xfId="0" applyFont="1" applyFill="1" applyBorder="1" applyAlignment="1">
      <alignment horizontal="left" wrapText="1"/>
    </xf>
    <xf numFmtId="0" fontId="5" fillId="7" borderId="16" xfId="0" applyFont="1" applyFill="1" applyBorder="1" applyAlignment="1">
      <alignment horizontal="left" wrapText="1"/>
    </xf>
    <xf numFmtId="0" fontId="5" fillId="7" borderId="9" xfId="0" applyNumberFormat="1" applyFont="1" applyFill="1" applyBorder="1" applyAlignment="1">
      <alignment horizontal="left" wrapText="1"/>
    </xf>
    <xf numFmtId="0" fontId="5" fillId="7" borderId="18" xfId="0" applyNumberFormat="1" applyFont="1" applyFill="1" applyBorder="1" applyAlignment="1">
      <alignment horizontal="left" wrapText="1"/>
    </xf>
    <xf numFmtId="0" fontId="3" fillId="0" borderId="0" xfId="32" applyNumberFormat="1" applyFont="1" applyFill="1" applyAlignment="1">
      <alignment horizontal="left" vertical="center"/>
    </xf>
    <xf numFmtId="0" fontId="3" fillId="0" borderId="0" xfId="32" applyFont="1" applyFill="1" applyAlignment="1">
      <alignment horizontal="left" indent="1"/>
    </xf>
    <xf numFmtId="0" fontId="3" fillId="0" borderId="0" xfId="0" quotePrefix="1" applyFont="1" applyAlignment="1">
      <alignment horizontal="left" vertical="top" wrapText="1" indent="1"/>
    </xf>
    <xf numFmtId="0" fontId="5" fillId="6" borderId="9" xfId="32" applyFont="1" applyFill="1" applyBorder="1" applyAlignment="1">
      <alignment horizontal="center" wrapText="1"/>
    </xf>
    <xf numFmtId="0" fontId="5" fillId="6" borderId="11" xfId="32" applyFont="1" applyFill="1" applyBorder="1" applyAlignment="1">
      <alignment horizontal="center" wrapText="1"/>
    </xf>
    <xf numFmtId="0" fontId="5" fillId="6" borderId="4" xfId="32" applyFont="1" applyFill="1" applyBorder="1" applyAlignment="1">
      <alignment horizontal="center" wrapText="1"/>
    </xf>
    <xf numFmtId="0" fontId="5" fillId="6" borderId="5" xfId="32" applyFont="1" applyFill="1" applyBorder="1" applyAlignment="1">
      <alignment horizontal="center" wrapText="1"/>
    </xf>
    <xf numFmtId="0" fontId="5" fillId="6" borderId="10" xfId="32" applyFont="1" applyFill="1" applyBorder="1" applyAlignment="1">
      <alignment horizontal="center" wrapText="1"/>
    </xf>
    <xf numFmtId="0" fontId="5" fillId="6" borderId="6" xfId="32" applyFont="1" applyFill="1" applyBorder="1" applyAlignment="1">
      <alignment horizontal="center" wrapText="1"/>
    </xf>
    <xf numFmtId="0" fontId="5" fillId="4" borderId="39" xfId="32" applyFont="1" applyFill="1" applyBorder="1" applyAlignment="1">
      <alignment horizontal="center"/>
    </xf>
    <xf numFmtId="0" fontId="5" fillId="4" borderId="40" xfId="32" applyFont="1" applyFill="1" applyBorder="1" applyAlignment="1">
      <alignment horizontal="center"/>
    </xf>
    <xf numFmtId="0" fontId="5" fillId="4" borderId="28" xfId="32" applyFont="1" applyFill="1" applyBorder="1" applyAlignment="1">
      <alignment horizontal="center"/>
    </xf>
    <xf numFmtId="0" fontId="5" fillId="6" borderId="1" xfId="32" applyFont="1" applyFill="1" applyBorder="1" applyAlignment="1">
      <alignment horizontal="center" wrapText="1"/>
    </xf>
    <xf numFmtId="0" fontId="5" fillId="6" borderId="29" xfId="32" applyFont="1" applyFill="1" applyBorder="1" applyAlignment="1">
      <alignment horizontal="center" wrapText="1"/>
    </xf>
    <xf numFmtId="0" fontId="2" fillId="0" borderId="13" xfId="34" applyFont="1" applyFill="1" applyBorder="1" applyAlignment="1">
      <alignment horizontal="center" wrapText="1"/>
    </xf>
    <xf numFmtId="0" fontId="2" fillId="0" borderId="15" xfId="34" applyFont="1" applyFill="1" applyBorder="1" applyAlignment="1">
      <alignment horizontal="center" wrapText="1"/>
    </xf>
    <xf numFmtId="0" fontId="6" fillId="0" borderId="0" xfId="32" quotePrefix="1" applyFont="1" applyFill="1" applyAlignment="1">
      <alignment horizontal="left" vertical="top" indent="1"/>
    </xf>
    <xf numFmtId="0" fontId="3" fillId="0" borderId="0" xfId="32" quotePrefix="1" applyFont="1" applyFill="1" applyAlignment="1">
      <alignment horizontal="left" vertical="top" indent="1"/>
    </xf>
    <xf numFmtId="0" fontId="6" fillId="0" borderId="0" xfId="32" applyFont="1" applyFill="1" applyAlignment="1">
      <alignment horizontal="left" vertical="top" wrapText="1" indent="1"/>
    </xf>
    <xf numFmtId="0" fontId="3" fillId="0" borderId="0" xfId="32" applyFont="1" applyAlignment="1">
      <alignment horizontal="left" wrapText="1"/>
    </xf>
    <xf numFmtId="0" fontId="3" fillId="0" borderId="0" xfId="40" applyFont="1" applyFill="1" applyBorder="1" applyAlignment="1">
      <alignment horizontal="left" vertical="center" wrapText="1"/>
    </xf>
    <xf numFmtId="0" fontId="5" fillId="0" borderId="9" xfId="34" applyFont="1" applyFill="1" applyBorder="1" applyAlignment="1">
      <alignment horizontal="center"/>
    </xf>
    <xf numFmtId="0" fontId="5" fillId="0" borderId="10" xfId="34" applyFont="1" applyFill="1" applyBorder="1" applyAlignment="1">
      <alignment horizontal="center"/>
    </xf>
    <xf numFmtId="0" fontId="5" fillId="0" borderId="11" xfId="34" applyFont="1" applyFill="1" applyBorder="1" applyAlignment="1">
      <alignment horizontal="center"/>
    </xf>
    <xf numFmtId="0" fontId="5" fillId="0" borderId="7" xfId="34" applyFont="1" applyFill="1" applyBorder="1" applyAlignment="1">
      <alignment horizontal="center"/>
    </xf>
    <xf numFmtId="0" fontId="5" fillId="0" borderId="0" xfId="34" applyFont="1" applyFill="1" applyBorder="1" applyAlignment="1">
      <alignment horizontal="center"/>
    </xf>
    <xf numFmtId="0" fontId="5" fillId="0" borderId="8" xfId="34" applyFont="1" applyFill="1" applyBorder="1" applyAlignment="1">
      <alignment horizontal="center"/>
    </xf>
    <xf numFmtId="0" fontId="5" fillId="0" borderId="18" xfId="34" applyFont="1" applyFill="1" applyBorder="1" applyAlignment="1">
      <alignment horizontal="center"/>
    </xf>
    <xf numFmtId="0" fontId="5" fillId="0" borderId="22" xfId="34" applyFont="1" applyFill="1" applyBorder="1" applyAlignment="1">
      <alignment horizontal="center"/>
    </xf>
    <xf numFmtId="0" fontId="5" fillId="0" borderId="20" xfId="34" applyFont="1" applyFill="1" applyBorder="1" applyAlignment="1">
      <alignment horizontal="center"/>
    </xf>
    <xf numFmtId="0" fontId="3" fillId="0" borderId="0" xfId="32" applyFont="1" applyAlignment="1">
      <alignment horizontal="left" vertical="top" wrapText="1"/>
    </xf>
    <xf numFmtId="0" fontId="3" fillId="0" borderId="0" xfId="32" applyFont="1" applyFill="1" applyBorder="1" applyAlignment="1">
      <alignment horizontal="left" vertical="center" wrapText="1" indent="2"/>
    </xf>
    <xf numFmtId="0" fontId="3" fillId="0" borderId="0" xfId="32" applyFont="1" applyFill="1" applyBorder="1" applyAlignment="1">
      <alignment vertical="center" wrapText="1"/>
    </xf>
    <xf numFmtId="0" fontId="3" fillId="0" borderId="0" xfId="0" applyFont="1" applyAlignment="1">
      <alignment horizontal="left" vertical="top" wrapText="1"/>
    </xf>
    <xf numFmtId="0" fontId="11" fillId="0" borderId="6" xfId="0" applyFont="1" applyFill="1" applyBorder="1" applyAlignment="1">
      <alignment horizont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5" fillId="4" borderId="18" xfId="0" applyFont="1" applyFill="1" applyBorder="1" applyAlignment="1">
      <alignment horizontal="center"/>
    </xf>
    <xf numFmtId="0" fontId="5" fillId="4" borderId="20" xfId="0" applyFont="1" applyFill="1" applyBorder="1" applyAlignment="1">
      <alignment horizontal="center"/>
    </xf>
    <xf numFmtId="0" fontId="5" fillId="4" borderId="5" xfId="0" applyFont="1" applyFill="1" applyBorder="1" applyAlignment="1">
      <alignment horizontal="center" wrapText="1"/>
    </xf>
    <xf numFmtId="0" fontId="5" fillId="4" borderId="14" xfId="0" applyFont="1" applyFill="1" applyBorder="1" applyAlignment="1">
      <alignment horizontal="center" wrapText="1"/>
    </xf>
    <xf numFmtId="165" fontId="11" fillId="0" borderId="6" xfId="32" applyNumberFormat="1" applyFont="1" applyFill="1" applyBorder="1" applyAlignment="1">
      <alignment horizontal="center" vertical="center" wrapText="1"/>
    </xf>
    <xf numFmtId="0" fontId="11" fillId="0" borderId="6" xfId="0" applyFont="1" applyFill="1" applyBorder="1" applyAlignment="1">
      <alignment horizontal="center" wrapText="1"/>
    </xf>
    <xf numFmtId="0" fontId="5" fillId="4" borderId="30" xfId="0" applyFont="1" applyFill="1" applyBorder="1" applyAlignment="1">
      <alignment horizontal="center" wrapText="1"/>
    </xf>
    <xf numFmtId="0" fontId="5" fillId="4" borderId="31" xfId="0" applyFont="1" applyFill="1" applyBorder="1" applyAlignment="1">
      <alignment horizontal="center" wrapText="1"/>
    </xf>
    <xf numFmtId="0" fontId="5" fillId="4" borderId="60" xfId="0" applyFont="1" applyFill="1" applyBorder="1" applyAlignment="1">
      <alignment horizontal="center" wrapText="1"/>
    </xf>
    <xf numFmtId="0" fontId="5" fillId="4" borderId="53" xfId="0" applyFont="1" applyFill="1" applyBorder="1" applyAlignment="1">
      <alignment horizontal="center" wrapText="1"/>
    </xf>
    <xf numFmtId="0" fontId="5" fillId="4" borderId="17" xfId="0" applyFont="1" applyFill="1" applyBorder="1" applyAlignment="1">
      <alignment horizontal="center"/>
    </xf>
    <xf numFmtId="0" fontId="5" fillId="4" borderId="19" xfId="0" applyFont="1" applyFill="1" applyBorder="1" applyAlignment="1">
      <alignment horizontal="center"/>
    </xf>
    <xf numFmtId="0" fontId="5" fillId="4" borderId="39" xfId="0" applyFont="1" applyFill="1" applyBorder="1" applyAlignment="1">
      <alignment horizontal="center" wrapText="1"/>
    </xf>
    <xf numFmtId="0" fontId="5" fillId="4" borderId="40" xfId="0" applyFont="1" applyFill="1" applyBorder="1" applyAlignment="1">
      <alignment horizontal="center" wrapText="1"/>
    </xf>
    <xf numFmtId="0" fontId="5" fillId="4" borderId="27" xfId="0" applyFont="1" applyFill="1" applyBorder="1" applyAlignment="1">
      <alignment horizontal="center" wrapText="1"/>
    </xf>
    <xf numFmtId="0" fontId="5" fillId="4" borderId="52" xfId="0" applyFont="1" applyFill="1" applyBorder="1" applyAlignment="1">
      <alignment horizontal="center" wrapText="1"/>
    </xf>
    <xf numFmtId="0" fontId="5" fillId="4" borderId="4" xfId="0" applyFont="1" applyFill="1" applyBorder="1" applyAlignment="1">
      <alignment horizontal="center" wrapText="1"/>
    </xf>
    <xf numFmtId="0" fontId="5" fillId="4" borderId="35" xfId="0" applyFont="1" applyFill="1" applyBorder="1" applyAlignment="1">
      <alignment horizontal="center"/>
    </xf>
  </cellXfs>
  <cellStyles count="50">
    <cellStyle name="Comma" xfId="1" builtinId="3"/>
    <cellStyle name="Good" xfId="31" builtinId="26"/>
    <cellStyle name="Hyperlink 2" xfId="48"/>
    <cellStyle name="Input 2" xfId="46"/>
    <cellStyle name="Normal" xfId="0" builtinId="0"/>
    <cellStyle name="Normal 114" xfId="4"/>
    <cellStyle name="Normal 145" xfId="5"/>
    <cellStyle name="Normal 146" xfId="6"/>
    <cellStyle name="Normal 2" xfId="7"/>
    <cellStyle name="Normal 2 2 2" xfId="37"/>
    <cellStyle name="Normal 2 3" xfId="44"/>
    <cellStyle name="Normal 28" xfId="8"/>
    <cellStyle name="Normal 29 2" xfId="41"/>
    <cellStyle name="Normal 3" xfId="9"/>
    <cellStyle name="Normal 3 2" xfId="34"/>
    <cellStyle name="Normal 31" xfId="10"/>
    <cellStyle name="Normal 34" xfId="11"/>
    <cellStyle name="Normal 37" xfId="12"/>
    <cellStyle name="Normal 4" xfId="13"/>
    <cellStyle name="Normal 4 2" xfId="49"/>
    <cellStyle name="Normal 4 2 2" xfId="45"/>
    <cellStyle name="Normal 40" xfId="14"/>
    <cellStyle name="Normal 41" xfId="15"/>
    <cellStyle name="Normal 42" xfId="16"/>
    <cellStyle name="Normal 43" xfId="17"/>
    <cellStyle name="Normal 46" xfId="18"/>
    <cellStyle name="Normal 49" xfId="19"/>
    <cellStyle name="Normal 5" xfId="43"/>
    <cellStyle name="Normal 5 2" xfId="39"/>
    <cellStyle name="Normal 5 2 2" xfId="47"/>
    <cellStyle name="Normal 52" xfId="20"/>
    <cellStyle name="Normal 55" xfId="21"/>
    <cellStyle name="Normal 56" xfId="22"/>
    <cellStyle name="Normal 57" xfId="23"/>
    <cellStyle name="Normal 6" xfId="42"/>
    <cellStyle name="Normal 68" xfId="24"/>
    <cellStyle name="Normal 74" xfId="25"/>
    <cellStyle name="Normal 79" xfId="26"/>
    <cellStyle name="Normal 82" xfId="27"/>
    <cellStyle name="Normal 85" xfId="28"/>
    <cellStyle name="Normal 88" xfId="29"/>
    <cellStyle name="Normal 89" xfId="30"/>
    <cellStyle name="Normal_BlrG" xfId="33"/>
    <cellStyle name="Normal_Boilers-a_1" xfId="36"/>
    <cellStyle name="Normal_Danville2" xfId="32"/>
    <cellStyle name="Normal_TAP_Screen" xfId="35"/>
    <cellStyle name="Normal_Veneer Dryers" xfId="38"/>
    <cellStyle name="Normal_WFIA PTE - 3-06" xfId="40"/>
    <cellStyle name="Percent" xfId="3"/>
    <cellStyle name="Table Head" xfId="2"/>
  </cellStyles>
  <dxfs count="18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lor rgb="FF006100"/>
      </font>
      <fill>
        <patternFill>
          <bgColor rgb="FFC6EFCE"/>
        </patternFill>
      </fill>
    </dxf>
    <dxf>
      <font>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5660POS\EQUIPMEN\ROTATING\EMERGEN\Dsh602%20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mdata01\projects\Users\colsen\Desktop\PRESENT\Columbia%20Pulp\Turbine%20Emission%20Calculations_10-31-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1410\001\010\WIP\T\Emission%20Estimates%20(and%20B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age 2"/>
      <sheetName val="Page 3"/>
      <sheetName val="Page 4"/>
      <sheetName val="Page 1"/>
      <sheetName val="Module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uct Burner (boiler) EF"/>
      <sheetName val="Turbine E. rates"/>
      <sheetName val="Turbine HAP EF"/>
      <sheetName val="Turbine Criteria EF"/>
      <sheetName val="Criteria Limits"/>
      <sheetName val="List ofOzoneDepletingSubstances"/>
      <sheetName val="List of VOCs"/>
      <sheetName val="WAC173-460-150"/>
      <sheetName val="WAC173-460-110"/>
      <sheetName val="Turbine Emiss.Compared to SQERs"/>
    </sheetNames>
    <sheetDataSet>
      <sheetData sheetId="0"/>
      <sheetData sheetId="1">
        <row r="2">
          <cell r="I2">
            <v>1020</v>
          </cell>
        </row>
        <row r="3">
          <cell r="I3">
            <v>8</v>
          </cell>
        </row>
        <row r="4">
          <cell r="I4">
            <v>350</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MENS Emission Rates"/>
      <sheetName val="SEIMENS Comparison to the SQER"/>
      <sheetName val="SOLAR Emission Rates"/>
      <sheetName val="Method19"/>
      <sheetName val="SOLAR Comparison to the SQER"/>
      <sheetName val="SOLAR Cost Estimate"/>
      <sheetName val="TotalCapitalInvestment"/>
      <sheetName val="BACT cost est."/>
      <sheetName val="CostEffectiveness"/>
    </sheetNames>
    <sheetDataSet>
      <sheetData sheetId="0"/>
      <sheetData sheetId="1"/>
      <sheetData sheetId="2">
        <row r="12">
          <cell r="L12">
            <v>0.13</v>
          </cell>
        </row>
      </sheetData>
      <sheetData sheetId="3"/>
      <sheetData sheetId="4"/>
      <sheetData sheetId="5"/>
      <sheetData sheetId="6"/>
      <sheetData sheetId="7">
        <row r="2">
          <cell r="K2">
            <v>62.675457678780774</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O112"/>
  <sheetViews>
    <sheetView zoomScaleNormal="100" zoomScaleSheetLayoutView="100" zoomScalePageLayoutView="85" workbookViewId="0">
      <selection activeCell="F30" sqref="F30"/>
    </sheetView>
  </sheetViews>
  <sheetFormatPr defaultColWidth="9.140625" defaultRowHeight="12"/>
  <cols>
    <col min="1" max="1" width="30" style="63" customWidth="1"/>
    <col min="2" max="2" width="9.5703125" style="63" bestFit="1" customWidth="1"/>
    <col min="3" max="3" width="9.28515625" style="64" bestFit="1" customWidth="1"/>
    <col min="4" max="4" width="13.42578125" style="63" bestFit="1" customWidth="1"/>
    <col min="5" max="5" width="10.7109375" style="63" customWidth="1"/>
    <col min="6" max="6" width="13.85546875" style="63" customWidth="1"/>
    <col min="7" max="12" width="9.140625" style="63"/>
    <col min="13" max="14" width="9.140625" style="64" customWidth="1"/>
    <col min="15" max="15" width="10.42578125" style="64" customWidth="1"/>
    <col min="16" max="16" width="21" style="63" customWidth="1"/>
    <col min="17" max="20" width="13.5703125" style="63" customWidth="1"/>
    <col min="21" max="16384" width="9.140625" style="63"/>
  </cols>
  <sheetData>
    <row r="1" spans="1:7">
      <c r="A1" s="226" t="s">
        <v>199</v>
      </c>
      <c r="B1" s="226"/>
      <c r="C1" s="227"/>
      <c r="D1" s="226"/>
      <c r="E1" s="226"/>
    </row>
    <row r="3" spans="1:7" s="1" customFormat="1">
      <c r="A3" s="228"/>
      <c r="B3" s="229"/>
      <c r="C3" s="230"/>
      <c r="D3" s="559" t="s">
        <v>202</v>
      </c>
      <c r="E3" s="559" t="s">
        <v>29</v>
      </c>
    </row>
    <row r="4" spans="1:7" s="1" customFormat="1" ht="15" thickBot="1">
      <c r="A4" s="231" t="s">
        <v>88</v>
      </c>
      <c r="B4" s="232" t="s">
        <v>200</v>
      </c>
      <c r="C4" s="233"/>
      <c r="D4" s="560"/>
      <c r="E4" s="560"/>
    </row>
    <row r="5" spans="1:7" s="341" customFormat="1" ht="9" thickTop="1">
      <c r="A5" s="360"/>
      <c r="B5" s="353"/>
      <c r="C5" s="354"/>
      <c r="D5" s="361"/>
      <c r="E5" s="361"/>
    </row>
    <row r="6" spans="1:7" s="1" customFormat="1">
      <c r="A6" s="65" t="s">
        <v>90</v>
      </c>
      <c r="B6" s="68">
        <v>66</v>
      </c>
      <c r="C6" s="67" t="s">
        <v>53</v>
      </c>
      <c r="D6" s="69">
        <f>10*24</f>
        <v>240</v>
      </c>
      <c r="E6" s="69" t="s">
        <v>117</v>
      </c>
      <c r="F6" s="146"/>
    </row>
    <row r="7" spans="1:7" s="341" customFormat="1" ht="8.25">
      <c r="A7" s="360"/>
      <c r="B7" s="353"/>
      <c r="C7" s="354"/>
      <c r="D7" s="340"/>
      <c r="E7" s="340"/>
    </row>
    <row r="8" spans="1:7" s="341" customFormat="1" ht="8.25">
      <c r="A8" s="342"/>
      <c r="B8" s="343"/>
      <c r="C8" s="344"/>
      <c r="D8" s="345"/>
      <c r="E8" s="345"/>
    </row>
    <row r="9" spans="1:7" s="17" customFormat="1">
      <c r="A9" s="70" t="s">
        <v>74</v>
      </c>
      <c r="B9" s="66"/>
      <c r="C9" s="67"/>
      <c r="D9" s="76"/>
      <c r="E9" s="76"/>
    </row>
    <row r="10" spans="1:7" s="17" customFormat="1">
      <c r="A10" s="72" t="s">
        <v>253</v>
      </c>
      <c r="B10" s="139"/>
      <c r="C10" s="67"/>
      <c r="D10" s="76"/>
      <c r="E10" s="76"/>
      <c r="F10" s="23"/>
      <c r="G10" s="23"/>
    </row>
    <row r="11" spans="1:7" s="17" customFormat="1">
      <c r="A11" s="158" t="s">
        <v>164</v>
      </c>
      <c r="B11" s="140">
        <v>30833.333333333336</v>
      </c>
      <c r="C11" s="67" t="s">
        <v>75</v>
      </c>
      <c r="D11" s="76">
        <v>8760</v>
      </c>
      <c r="E11" s="76" t="s">
        <v>91</v>
      </c>
      <c r="F11" s="23"/>
      <c r="G11" s="23"/>
    </row>
    <row r="12" spans="1:7" s="17" customFormat="1">
      <c r="A12" s="158" t="s">
        <v>165</v>
      </c>
      <c r="B12" s="141">
        <v>10.175000000000001</v>
      </c>
      <c r="C12" s="67" t="s">
        <v>53</v>
      </c>
      <c r="D12" s="76"/>
      <c r="E12" s="76"/>
      <c r="F12" s="23"/>
      <c r="G12" s="23"/>
    </row>
    <row r="13" spans="1:7" s="17" customFormat="1">
      <c r="A13" s="72" t="s">
        <v>254</v>
      </c>
      <c r="B13" s="141"/>
      <c r="C13" s="67"/>
      <c r="D13" s="76"/>
      <c r="E13" s="76"/>
      <c r="F13" s="293"/>
      <c r="G13" s="23"/>
    </row>
    <row r="14" spans="1:7" s="17" customFormat="1">
      <c r="A14" s="158" t="s">
        <v>164</v>
      </c>
      <c r="B14" s="140">
        <v>5833.3333333333339</v>
      </c>
      <c r="C14" s="67" t="s">
        <v>75</v>
      </c>
      <c r="D14" s="76">
        <v>8760</v>
      </c>
      <c r="E14" s="76" t="s">
        <v>91</v>
      </c>
      <c r="F14" s="142"/>
      <c r="G14" s="23"/>
    </row>
    <row r="15" spans="1:7" s="17" customFormat="1">
      <c r="A15" s="158" t="s">
        <v>165</v>
      </c>
      <c r="B15" s="141">
        <v>2.4908333333333332</v>
      </c>
      <c r="C15" s="67" t="s">
        <v>53</v>
      </c>
      <c r="D15" s="76"/>
      <c r="E15" s="76"/>
      <c r="F15" s="142"/>
      <c r="G15" s="23"/>
    </row>
    <row r="16" spans="1:7" s="17" customFormat="1">
      <c r="A16" s="72" t="s">
        <v>255</v>
      </c>
      <c r="B16" s="141"/>
      <c r="C16" s="67"/>
      <c r="D16" s="76"/>
      <c r="E16" s="76"/>
      <c r="F16" s="23"/>
      <c r="G16" s="23"/>
    </row>
    <row r="17" spans="1:14" s="17" customFormat="1">
      <c r="A17" s="158" t="s">
        <v>164</v>
      </c>
      <c r="B17" s="140">
        <v>20833.333333333332</v>
      </c>
      <c r="C17" s="67" t="s">
        <v>75</v>
      </c>
      <c r="D17" s="76">
        <v>8760</v>
      </c>
      <c r="E17" s="76" t="s">
        <v>91</v>
      </c>
      <c r="F17" s="23"/>
      <c r="G17" s="23"/>
    </row>
    <row r="18" spans="1:14" s="17" customFormat="1">
      <c r="A18" s="158" t="s">
        <v>165</v>
      </c>
      <c r="B18" s="141">
        <v>34.458333333333329</v>
      </c>
      <c r="C18" s="67" t="s">
        <v>53</v>
      </c>
      <c r="D18" s="76"/>
      <c r="E18" s="76"/>
      <c r="F18" s="23"/>
      <c r="G18" s="23"/>
    </row>
    <row r="19" spans="1:14" s="17" customFormat="1">
      <c r="A19" s="72" t="s">
        <v>256</v>
      </c>
      <c r="B19" s="141"/>
      <c r="C19" s="67"/>
      <c r="D19" s="76"/>
      <c r="E19" s="76"/>
      <c r="F19" s="23"/>
      <c r="G19" s="23"/>
    </row>
    <row r="20" spans="1:14" s="17" customFormat="1">
      <c r="A20" s="158" t="s">
        <v>164</v>
      </c>
      <c r="B20" s="140">
        <v>40416.666666666664</v>
      </c>
      <c r="C20" s="67" t="s">
        <v>75</v>
      </c>
      <c r="D20" s="76">
        <v>8760</v>
      </c>
      <c r="E20" s="76" t="s">
        <v>91</v>
      </c>
      <c r="F20" s="23"/>
      <c r="G20" s="23"/>
    </row>
    <row r="21" spans="1:14" s="17" customFormat="1">
      <c r="A21" s="158" t="s">
        <v>165</v>
      </c>
      <c r="B21" s="141">
        <v>35.647499999999994</v>
      </c>
      <c r="C21" s="67" t="s">
        <v>53</v>
      </c>
      <c r="D21" s="76"/>
      <c r="E21" s="76"/>
      <c r="F21" s="23"/>
      <c r="G21" s="23"/>
    </row>
    <row r="22" spans="1:14" s="17" customFormat="1">
      <c r="A22" s="72" t="s">
        <v>257</v>
      </c>
      <c r="B22" s="141"/>
      <c r="C22" s="67"/>
      <c r="D22" s="76"/>
      <c r="E22" s="76"/>
      <c r="F22" s="23"/>
      <c r="G22" s="23"/>
    </row>
    <row r="23" spans="1:14" s="17" customFormat="1">
      <c r="A23" s="158" t="s">
        <v>164</v>
      </c>
      <c r="B23" s="140">
        <v>20416.666666666668</v>
      </c>
      <c r="C23" s="67" t="s">
        <v>75</v>
      </c>
      <c r="D23" s="76">
        <v>8760</v>
      </c>
      <c r="E23" s="76" t="s">
        <v>91</v>
      </c>
    </row>
    <row r="24" spans="1:14" s="17" customFormat="1">
      <c r="A24" s="158" t="s">
        <v>165</v>
      </c>
      <c r="B24" s="141">
        <v>37.178750000000001</v>
      </c>
      <c r="C24" s="67" t="s">
        <v>53</v>
      </c>
      <c r="D24" s="76"/>
      <c r="E24" s="76"/>
      <c r="F24" s="23"/>
      <c r="G24" s="23"/>
      <c r="N24" s="23"/>
    </row>
    <row r="25" spans="1:14" s="17" customFormat="1">
      <c r="A25" s="72" t="s">
        <v>232</v>
      </c>
      <c r="B25" s="141"/>
      <c r="C25" s="67"/>
      <c r="D25" s="76"/>
      <c r="E25" s="76"/>
      <c r="F25" s="23"/>
      <c r="G25" s="23"/>
      <c r="N25" s="23"/>
    </row>
    <row r="26" spans="1:14" s="17" customFormat="1">
      <c r="A26" s="158" t="s">
        <v>164</v>
      </c>
      <c r="B26" s="140">
        <v>833.33333333333337</v>
      </c>
      <c r="C26" s="67" t="s">
        <v>75</v>
      </c>
      <c r="D26" s="76">
        <v>8760</v>
      </c>
      <c r="E26" s="76" t="s">
        <v>91</v>
      </c>
      <c r="F26" s="23"/>
      <c r="G26" s="23"/>
      <c r="M26" s="23"/>
      <c r="N26" s="23"/>
    </row>
    <row r="27" spans="1:14" s="17" customFormat="1">
      <c r="A27" s="158" t="s">
        <v>165</v>
      </c>
      <c r="B27" s="141">
        <v>0.91333333333333344</v>
      </c>
      <c r="C27" s="67" t="s">
        <v>53</v>
      </c>
      <c r="D27" s="76"/>
      <c r="E27" s="76"/>
      <c r="G27" s="23"/>
      <c r="M27" s="23"/>
      <c r="N27" s="23"/>
    </row>
    <row r="28" spans="1:14" s="17" customFormat="1">
      <c r="A28" s="72" t="s">
        <v>270</v>
      </c>
      <c r="B28" s="141"/>
      <c r="C28" s="67"/>
      <c r="D28" s="76"/>
      <c r="E28" s="76"/>
      <c r="G28" s="23"/>
      <c r="N28" s="23"/>
    </row>
    <row r="29" spans="1:14" s="17" customFormat="1">
      <c r="A29" s="158" t="s">
        <v>164</v>
      </c>
      <c r="B29" s="140">
        <v>138.88888888888889</v>
      </c>
      <c r="C29" s="67" t="s">
        <v>94</v>
      </c>
      <c r="D29" s="76">
        <f>2*1*52</f>
        <v>104</v>
      </c>
      <c r="E29" s="76" t="s">
        <v>91</v>
      </c>
      <c r="F29" s="23"/>
      <c r="G29" s="23"/>
      <c r="N29" s="23"/>
    </row>
    <row r="30" spans="1:14" s="17" customFormat="1">
      <c r="A30" s="158" t="s">
        <v>165</v>
      </c>
      <c r="B30" s="141">
        <v>2.4597222222222221</v>
      </c>
      <c r="C30" s="67" t="s">
        <v>53</v>
      </c>
      <c r="D30" s="76"/>
      <c r="E30" s="76"/>
      <c r="F30" s="23"/>
      <c r="M30" s="23"/>
      <c r="N30" s="23"/>
    </row>
    <row r="31" spans="1:14" s="17" customFormat="1">
      <c r="A31" s="72" t="s">
        <v>273</v>
      </c>
      <c r="B31" s="141"/>
      <c r="C31" s="67"/>
      <c r="D31" s="76"/>
      <c r="E31" s="76"/>
    </row>
    <row r="32" spans="1:14" s="17" customFormat="1">
      <c r="A32" s="158" t="s">
        <v>164</v>
      </c>
      <c r="B32" s="140">
        <v>69.444444444444443</v>
      </c>
      <c r="C32" s="67" t="s">
        <v>94</v>
      </c>
      <c r="D32" s="378">
        <f>2*1*52+F34*5/60</f>
        <v>484.25</v>
      </c>
      <c r="E32" s="76" t="s">
        <v>91</v>
      </c>
      <c r="F32" s="23"/>
    </row>
    <row r="33" spans="1:11" s="17" customFormat="1">
      <c r="A33" s="158" t="s">
        <v>165</v>
      </c>
      <c r="B33" s="141">
        <v>2.1083333333333334</v>
      </c>
      <c r="C33" s="67" t="s">
        <v>53</v>
      </c>
      <c r="D33" s="76"/>
      <c r="E33" s="76"/>
      <c r="F33" s="23"/>
      <c r="K33" s="23"/>
    </row>
    <row r="34" spans="1:11" s="17" customFormat="1">
      <c r="A34" s="72" t="s">
        <v>272</v>
      </c>
      <c r="B34" s="141"/>
      <c r="C34" s="67"/>
      <c r="D34" s="76"/>
      <c r="E34" s="76"/>
      <c r="F34" s="318">
        <f>ROUNDUP(250000/2*365/10000,0)</f>
        <v>4563</v>
      </c>
      <c r="G34" s="17" t="s">
        <v>280</v>
      </c>
      <c r="I34" s="210"/>
    </row>
    <row r="35" spans="1:11" s="17" customFormat="1">
      <c r="A35" s="158" t="s">
        <v>164</v>
      </c>
      <c r="B35" s="140">
        <v>69.444444444444443</v>
      </c>
      <c r="C35" s="67" t="s">
        <v>94</v>
      </c>
      <c r="D35" s="76">
        <f>2*1*52</f>
        <v>104</v>
      </c>
      <c r="E35" s="76" t="s">
        <v>91</v>
      </c>
      <c r="F35" s="23"/>
    </row>
    <row r="36" spans="1:11" s="17" customFormat="1">
      <c r="A36" s="158" t="s">
        <v>165</v>
      </c>
      <c r="B36" s="331">
        <v>0.92766666666666664</v>
      </c>
      <c r="C36" s="67" t="s">
        <v>53</v>
      </c>
      <c r="D36" s="76"/>
      <c r="E36" s="76"/>
      <c r="F36" s="23"/>
    </row>
    <row r="37" spans="1:11" s="341" customFormat="1" ht="8.25">
      <c r="A37" s="337"/>
      <c r="B37" s="338"/>
      <c r="C37" s="339"/>
      <c r="D37" s="340"/>
      <c r="E37" s="340"/>
    </row>
    <row r="38" spans="1:11" s="341" customFormat="1" ht="8.25">
      <c r="A38" s="342"/>
      <c r="B38" s="343"/>
      <c r="C38" s="344"/>
      <c r="D38" s="345"/>
      <c r="E38" s="345"/>
    </row>
    <row r="39" spans="1:11" s="1" customFormat="1">
      <c r="A39" s="70" t="s">
        <v>89</v>
      </c>
      <c r="B39" s="73" t="s">
        <v>3</v>
      </c>
      <c r="C39" s="74"/>
      <c r="D39" s="69">
        <v>8760</v>
      </c>
      <c r="E39" s="75" t="s">
        <v>3</v>
      </c>
    </row>
    <row r="40" spans="1:11" s="341" customFormat="1" ht="8.25">
      <c r="A40" s="337"/>
      <c r="B40" s="338"/>
      <c r="C40" s="339"/>
      <c r="D40" s="340"/>
      <c r="E40" s="340"/>
    </row>
    <row r="41" spans="1:11" s="351" customFormat="1" ht="8.25" hidden="1">
      <c r="A41" s="346" t="s">
        <v>162</v>
      </c>
      <c r="B41" s="347">
        <f>250000/2*365/10000</f>
        <v>4562.5</v>
      </c>
      <c r="C41" s="348" t="s">
        <v>188</v>
      </c>
      <c r="D41" s="349">
        <f>B41*(10000/300)/60/2</f>
        <v>1267.3611111111111</v>
      </c>
      <c r="E41" s="349"/>
      <c r="F41" s="350"/>
    </row>
    <row r="42" spans="1:11" s="356" customFormat="1" ht="8.25">
      <c r="A42" s="352"/>
      <c r="B42" s="353"/>
      <c r="C42" s="354"/>
      <c r="D42" s="355"/>
      <c r="E42" s="355"/>
    </row>
    <row r="43" spans="1:11" s="17" customFormat="1">
      <c r="A43" s="70" t="s">
        <v>96</v>
      </c>
      <c r="B43" s="68">
        <f>9</f>
        <v>9</v>
      </c>
      <c r="C43" s="67" t="s">
        <v>53</v>
      </c>
      <c r="D43" s="76">
        <v>8760</v>
      </c>
      <c r="E43" s="76" t="s">
        <v>117</v>
      </c>
      <c r="F43" s="138"/>
      <c r="G43" s="23"/>
    </row>
    <row r="44" spans="1:11" s="356" customFormat="1" ht="8.25">
      <c r="A44" s="358"/>
      <c r="B44" s="338"/>
      <c r="C44" s="339"/>
      <c r="D44" s="359"/>
      <c r="E44" s="359"/>
      <c r="F44" s="379"/>
    </row>
    <row r="45" spans="1:11" s="356" customFormat="1" ht="8.25">
      <c r="A45" s="357"/>
      <c r="B45" s="353"/>
      <c r="C45" s="354"/>
      <c r="D45" s="355"/>
      <c r="E45" s="355"/>
    </row>
    <row r="46" spans="1:11" s="17" customFormat="1">
      <c r="A46" s="70" t="s">
        <v>95</v>
      </c>
      <c r="B46" s="380">
        <f>1.6</f>
        <v>1.6</v>
      </c>
      <c r="C46" s="67" t="s">
        <v>53</v>
      </c>
      <c r="D46" s="76">
        <v>8760</v>
      </c>
      <c r="E46" s="76" t="s">
        <v>117</v>
      </c>
      <c r="F46" s="138"/>
      <c r="G46" s="23"/>
    </row>
    <row r="47" spans="1:11" s="356" customFormat="1" ht="8.25">
      <c r="A47" s="358"/>
      <c r="B47" s="338"/>
      <c r="C47" s="339"/>
      <c r="D47" s="359"/>
      <c r="E47" s="359"/>
      <c r="F47" s="379"/>
    </row>
    <row r="48" spans="1:11" s="356" customFormat="1" ht="8.25">
      <c r="A48" s="357"/>
      <c r="B48" s="353"/>
      <c r="C48" s="354"/>
      <c r="D48" s="355"/>
      <c r="E48" s="355"/>
    </row>
    <row r="49" spans="1:15" s="17" customFormat="1">
      <c r="A49" s="70" t="s">
        <v>92</v>
      </c>
      <c r="B49" s="68">
        <v>1500</v>
      </c>
      <c r="C49" s="67" t="s">
        <v>93</v>
      </c>
      <c r="D49" s="76">
        <v>100</v>
      </c>
      <c r="E49" s="76" t="s">
        <v>50</v>
      </c>
      <c r="F49" s="138"/>
    </row>
    <row r="50" spans="1:15" s="356" customFormat="1" ht="8.25">
      <c r="A50" s="358"/>
      <c r="B50" s="338"/>
      <c r="C50" s="339"/>
      <c r="D50" s="359"/>
      <c r="E50" s="359"/>
      <c r="F50" s="379"/>
    </row>
    <row r="51" spans="1:15" s="225" customFormat="1" ht="6"/>
    <row r="52" spans="1:15" s="1" customFormat="1">
      <c r="A52" s="46" t="s">
        <v>32</v>
      </c>
    </row>
    <row r="53" spans="1:15" s="1" customFormat="1" ht="14.25">
      <c r="A53" s="295" t="s">
        <v>201</v>
      </c>
    </row>
    <row r="54" spans="1:15" s="1" customFormat="1">
      <c r="A54" s="79"/>
    </row>
    <row r="55" spans="1:15" s="1" customFormat="1"/>
    <row r="56" spans="1:15" s="1" customFormat="1">
      <c r="A56" s="138"/>
      <c r="B56" s="17"/>
      <c r="C56" s="17"/>
      <c r="D56" s="17"/>
      <c r="E56" s="17"/>
      <c r="F56" s="17"/>
      <c r="G56" s="17"/>
      <c r="H56" s="17"/>
    </row>
    <row r="57" spans="1:15">
      <c r="A57" s="78"/>
      <c r="C57" s="63"/>
      <c r="M57" s="63"/>
      <c r="N57" s="63"/>
      <c r="O57" s="63"/>
    </row>
    <row r="58" spans="1:15">
      <c r="A58" s="138"/>
      <c r="C58" s="63"/>
      <c r="M58" s="63"/>
      <c r="N58" s="63"/>
      <c r="O58" s="63"/>
    </row>
    <row r="59" spans="1:15">
      <c r="A59" s="373"/>
      <c r="C59" s="63"/>
      <c r="M59" s="63"/>
      <c r="N59" s="63"/>
      <c r="O59" s="63"/>
    </row>
    <row r="60" spans="1:15">
      <c r="C60" s="63"/>
      <c r="M60" s="63"/>
      <c r="N60" s="63"/>
      <c r="O60" s="63"/>
    </row>
    <row r="61" spans="1:15">
      <c r="C61" s="63"/>
      <c r="M61" s="63"/>
      <c r="N61" s="63"/>
      <c r="O61" s="63"/>
    </row>
    <row r="62" spans="1:15">
      <c r="C62" s="63"/>
      <c r="M62" s="63"/>
      <c r="N62" s="63"/>
      <c r="O62" s="63"/>
    </row>
    <row r="63" spans="1:15">
      <c r="C63" s="63"/>
      <c r="M63" s="63"/>
      <c r="N63" s="63"/>
      <c r="O63" s="63"/>
    </row>
    <row r="64" spans="1:15">
      <c r="C64" s="63"/>
      <c r="M64" s="63"/>
      <c r="N64" s="63"/>
      <c r="O64" s="63"/>
    </row>
    <row r="65" spans="3:15">
      <c r="C65" s="63"/>
      <c r="M65" s="63"/>
      <c r="N65" s="63"/>
      <c r="O65" s="63"/>
    </row>
    <row r="66" spans="3:15">
      <c r="C66" s="63"/>
      <c r="M66" s="63"/>
      <c r="N66" s="63"/>
      <c r="O66" s="63"/>
    </row>
    <row r="67" spans="3:15">
      <c r="C67" s="63"/>
      <c r="M67" s="63"/>
      <c r="N67" s="63"/>
      <c r="O67" s="63"/>
    </row>
    <row r="68" spans="3:15">
      <c r="C68" s="63"/>
      <c r="M68" s="63"/>
      <c r="N68" s="63"/>
      <c r="O68" s="63"/>
    </row>
    <row r="69" spans="3:15">
      <c r="C69" s="63"/>
      <c r="M69" s="63"/>
      <c r="N69" s="63"/>
      <c r="O69" s="63"/>
    </row>
    <row r="70" spans="3:15">
      <c r="C70" s="63"/>
      <c r="M70" s="63"/>
      <c r="N70" s="63"/>
      <c r="O70" s="63"/>
    </row>
    <row r="71" spans="3:15">
      <c r="C71" s="63"/>
      <c r="M71" s="63"/>
      <c r="N71" s="63"/>
      <c r="O71" s="63"/>
    </row>
    <row r="72" spans="3:15">
      <c r="C72" s="63"/>
      <c r="M72" s="63"/>
      <c r="N72" s="63"/>
      <c r="O72" s="63"/>
    </row>
    <row r="73" spans="3:15">
      <c r="C73" s="63"/>
      <c r="M73" s="63"/>
      <c r="N73" s="63"/>
      <c r="O73" s="63"/>
    </row>
    <row r="74" spans="3:15">
      <c r="C74" s="63"/>
      <c r="M74" s="63"/>
      <c r="N74" s="63"/>
      <c r="O74" s="63"/>
    </row>
    <row r="75" spans="3:15">
      <c r="C75" s="63"/>
      <c r="M75" s="63"/>
      <c r="N75" s="63"/>
      <c r="O75" s="63"/>
    </row>
    <row r="76" spans="3:15">
      <c r="C76" s="63"/>
      <c r="M76" s="63"/>
      <c r="N76" s="63"/>
      <c r="O76" s="63"/>
    </row>
    <row r="77" spans="3:15">
      <c r="C77" s="63"/>
      <c r="M77" s="63"/>
      <c r="N77" s="63"/>
      <c r="O77" s="63"/>
    </row>
    <row r="78" spans="3:15">
      <c r="C78" s="63"/>
      <c r="M78" s="63"/>
      <c r="N78" s="63"/>
      <c r="O78" s="63"/>
    </row>
    <row r="79" spans="3:15">
      <c r="C79" s="63"/>
      <c r="M79" s="63"/>
      <c r="N79" s="63"/>
      <c r="O79" s="63"/>
    </row>
    <row r="80" spans="3:15">
      <c r="C80" s="63"/>
      <c r="M80" s="63"/>
      <c r="N80" s="63"/>
      <c r="O80" s="63"/>
    </row>
    <row r="81" spans="3:15">
      <c r="C81" s="63"/>
      <c r="M81" s="63"/>
      <c r="N81" s="63"/>
      <c r="O81" s="63"/>
    </row>
    <row r="82" spans="3:15">
      <c r="C82" s="63"/>
      <c r="M82" s="63"/>
      <c r="N82" s="63"/>
      <c r="O82" s="63"/>
    </row>
    <row r="83" spans="3:15">
      <c r="C83" s="63"/>
      <c r="M83" s="63"/>
      <c r="N83" s="63"/>
      <c r="O83" s="63"/>
    </row>
    <row r="84" spans="3:15">
      <c r="C84" s="63"/>
      <c r="M84" s="63"/>
      <c r="N84" s="63"/>
      <c r="O84" s="63"/>
    </row>
    <row r="85" spans="3:15">
      <c r="C85" s="63"/>
      <c r="M85" s="63"/>
      <c r="N85" s="63"/>
      <c r="O85" s="63"/>
    </row>
    <row r="86" spans="3:15">
      <c r="C86" s="63"/>
      <c r="M86" s="63"/>
      <c r="N86" s="63"/>
      <c r="O86" s="63"/>
    </row>
    <row r="87" spans="3:15">
      <c r="C87" s="63"/>
      <c r="M87" s="63"/>
      <c r="N87" s="63"/>
      <c r="O87" s="63"/>
    </row>
    <row r="88" spans="3:15">
      <c r="C88" s="63"/>
      <c r="M88" s="63"/>
      <c r="N88" s="63"/>
      <c r="O88" s="63"/>
    </row>
    <row r="89" spans="3:15">
      <c r="C89" s="63"/>
      <c r="M89" s="63"/>
      <c r="N89" s="63"/>
      <c r="O89" s="63"/>
    </row>
    <row r="90" spans="3:15" ht="25.5" customHeight="1">
      <c r="C90" s="63"/>
      <c r="M90" s="63"/>
      <c r="N90" s="63"/>
      <c r="O90" s="63"/>
    </row>
    <row r="91" spans="3:15" ht="25.5" customHeight="1">
      <c r="C91" s="63"/>
      <c r="M91" s="63"/>
      <c r="N91" s="63"/>
      <c r="O91" s="63"/>
    </row>
    <row r="92" spans="3:15">
      <c r="C92" s="63"/>
      <c r="M92" s="63"/>
      <c r="N92" s="63"/>
      <c r="O92" s="63"/>
    </row>
    <row r="93" spans="3:15">
      <c r="C93" s="63"/>
      <c r="M93" s="63"/>
      <c r="N93" s="63"/>
      <c r="O93" s="63"/>
    </row>
    <row r="94" spans="3:15">
      <c r="C94" s="63"/>
      <c r="M94" s="63"/>
      <c r="N94" s="63"/>
      <c r="O94" s="63"/>
    </row>
    <row r="95" spans="3:15">
      <c r="C95" s="63"/>
      <c r="M95" s="63"/>
      <c r="N95" s="63"/>
      <c r="O95" s="63"/>
    </row>
    <row r="96" spans="3:15">
      <c r="C96" s="63"/>
      <c r="M96" s="63"/>
      <c r="N96" s="63"/>
      <c r="O96" s="63"/>
    </row>
    <row r="97" spans="3:15">
      <c r="C97" s="63"/>
      <c r="M97" s="63"/>
      <c r="N97" s="63"/>
      <c r="O97" s="63"/>
    </row>
    <row r="98" spans="3:15">
      <c r="C98" s="63"/>
      <c r="M98" s="63"/>
      <c r="N98" s="63"/>
      <c r="O98" s="63"/>
    </row>
    <row r="99" spans="3:15">
      <c r="C99" s="63"/>
      <c r="M99" s="63"/>
      <c r="N99" s="63"/>
      <c r="O99" s="63"/>
    </row>
    <row r="100" spans="3:15">
      <c r="C100" s="63"/>
      <c r="M100" s="63"/>
      <c r="N100" s="63"/>
      <c r="O100" s="63"/>
    </row>
    <row r="101" spans="3:15">
      <c r="C101" s="63"/>
      <c r="M101" s="63"/>
      <c r="N101" s="63"/>
      <c r="O101" s="63"/>
    </row>
    <row r="102" spans="3:15">
      <c r="C102" s="63"/>
      <c r="M102" s="63"/>
      <c r="N102" s="63"/>
      <c r="O102" s="63"/>
    </row>
    <row r="103" spans="3:15">
      <c r="C103" s="63"/>
      <c r="M103" s="63"/>
      <c r="N103" s="63"/>
      <c r="O103" s="63"/>
    </row>
    <row r="104" spans="3:15">
      <c r="C104" s="63"/>
      <c r="M104" s="63"/>
      <c r="N104" s="63"/>
      <c r="O104" s="63"/>
    </row>
    <row r="105" spans="3:15">
      <c r="C105" s="63"/>
      <c r="M105" s="63"/>
      <c r="N105" s="63"/>
      <c r="O105" s="63"/>
    </row>
    <row r="106" spans="3:15">
      <c r="C106" s="63"/>
      <c r="M106" s="63"/>
      <c r="N106" s="63"/>
      <c r="O106" s="63"/>
    </row>
    <row r="107" spans="3:15">
      <c r="C107" s="63"/>
      <c r="M107" s="63"/>
      <c r="N107" s="63"/>
      <c r="O107" s="63"/>
    </row>
    <row r="108" spans="3:15">
      <c r="C108" s="63"/>
      <c r="M108" s="63"/>
      <c r="N108" s="63"/>
      <c r="O108" s="63"/>
    </row>
    <row r="109" spans="3:15">
      <c r="C109" s="63"/>
      <c r="M109" s="63"/>
      <c r="N109" s="63"/>
      <c r="O109" s="63"/>
    </row>
    <row r="110" spans="3:15">
      <c r="C110" s="63"/>
      <c r="M110" s="63"/>
      <c r="N110" s="63"/>
      <c r="O110" s="63"/>
    </row>
    <row r="111" spans="3:15">
      <c r="C111" s="63"/>
      <c r="M111" s="63"/>
      <c r="N111" s="63"/>
      <c r="O111" s="63"/>
    </row>
    <row r="112" spans="3:15">
      <c r="C112" s="63"/>
      <c r="M112" s="63"/>
      <c r="N112" s="63"/>
      <c r="O112" s="63"/>
    </row>
  </sheetData>
  <mergeCells count="2">
    <mergeCell ref="D3:D4"/>
    <mergeCell ref="E3:E4"/>
  </mergeCells>
  <printOptions horizontalCentered="1"/>
  <pageMargins left="0.75" right="0.75" top="1.6" bottom="1" header="0.75" footer="0.5"/>
  <pageSetup orientation="portrait" r:id="rId1"/>
  <headerFooter>
    <oddHeader>&amp;C&amp;"-,Bold"Table B-1
Emission Unit Inventory and Rates
Puget Sound Energy – Liquefied Natural Gas Project
Tacoma, Washington&amp;R&amp;8Page &amp;P of &amp;N</oddHeader>
    <oddFooter>&amp;L&amp;6 May 2017  &amp;Z&amp;F  &amp;A&amp;R&amp;9Landau Associates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7"/>
  <sheetViews>
    <sheetView topLeftCell="B24" zoomScaleNormal="100" zoomScaleSheetLayoutView="100" zoomScalePageLayoutView="85" workbookViewId="0">
      <selection activeCell="F61" sqref="F61:G61"/>
    </sheetView>
  </sheetViews>
  <sheetFormatPr defaultColWidth="9.140625" defaultRowHeight="12"/>
  <cols>
    <col min="1" max="1" width="0" style="81" hidden="1" customWidth="1"/>
    <col min="2" max="2" width="28" style="38" customWidth="1"/>
    <col min="3" max="3" width="12.140625" style="38" customWidth="1"/>
    <col min="4" max="4" width="10" style="38" bestFit="1" customWidth="1"/>
    <col min="5" max="5" width="1.5703125" style="8" bestFit="1" customWidth="1"/>
    <col min="6" max="6" width="13.85546875" style="8" customWidth="1"/>
    <col min="7" max="7" width="15.5703125" style="38" customWidth="1"/>
    <col min="8" max="8" width="1.28515625" style="17" bestFit="1" customWidth="1"/>
    <col min="9" max="10" width="9.140625" style="17"/>
    <col min="11" max="16384" width="9.140625" style="63"/>
  </cols>
  <sheetData>
    <row r="1" spans="1:7">
      <c r="B1" s="161" t="s">
        <v>262</v>
      </c>
      <c r="C1" s="161"/>
      <c r="D1" s="161"/>
      <c r="E1" s="161"/>
      <c r="F1" s="161"/>
      <c r="G1" s="161"/>
    </row>
    <row r="3" spans="1:7" s="17" customFormat="1">
      <c r="A3" s="23"/>
      <c r="B3" s="236"/>
      <c r="C3" s="583" t="s">
        <v>31</v>
      </c>
      <c r="D3" s="583"/>
      <c r="E3" s="583"/>
      <c r="F3" s="244" t="s">
        <v>98</v>
      </c>
      <c r="G3" s="244"/>
    </row>
    <row r="4" spans="1:7" s="17" customFormat="1" ht="14.25">
      <c r="A4" s="23"/>
      <c r="B4" s="238"/>
      <c r="C4" s="584"/>
      <c r="D4" s="584"/>
      <c r="E4" s="584"/>
      <c r="F4" s="245" t="s">
        <v>210</v>
      </c>
      <c r="G4" s="245" t="s">
        <v>211</v>
      </c>
    </row>
    <row r="5" spans="1:7" s="17" customFormat="1" ht="12.75" thickBot="1">
      <c r="A5" s="395" t="s">
        <v>302</v>
      </c>
      <c r="B5" s="418" t="s">
        <v>30</v>
      </c>
      <c r="C5" s="419" t="s">
        <v>168</v>
      </c>
      <c r="D5" s="419"/>
      <c r="E5" s="419"/>
      <c r="F5" s="242" t="s">
        <v>113</v>
      </c>
      <c r="G5" s="242" t="s">
        <v>114</v>
      </c>
    </row>
    <row r="6" spans="1:7" s="17" customFormat="1" ht="12.75" thickTop="1">
      <c r="A6" s="23"/>
      <c r="B6" s="82" t="s">
        <v>77</v>
      </c>
      <c r="C6" s="420"/>
      <c r="D6" s="420"/>
      <c r="E6" s="93"/>
      <c r="F6" s="421"/>
      <c r="G6" s="421"/>
    </row>
    <row r="7" spans="1:7" s="17" customFormat="1" ht="14.25">
      <c r="A7" s="395" t="s">
        <v>300</v>
      </c>
      <c r="B7" s="83" t="s">
        <v>185</v>
      </c>
      <c r="C7" s="122">
        <f>INDEX('4 Flare1'!C:C,MATCH($A7,'4 Flare1'!$A:$A,0))</f>
        <v>7.4509803921568628E-3</v>
      </c>
      <c r="D7" s="122" t="str">
        <f>'4 Flare1'!D7</f>
        <v>lb/MMBtu</v>
      </c>
      <c r="E7" s="243">
        <f>'3 Vapor'!D7</f>
        <v>1</v>
      </c>
      <c r="F7" s="85">
        <f>C7*$D$67</f>
        <v>1.8327342047930281E-2</v>
      </c>
      <c r="G7" s="294">
        <f>C7*$D$67*$D$68/2000</f>
        <v>9.5302178649237467E-4</v>
      </c>
    </row>
    <row r="8" spans="1:7" s="17" customFormat="1" ht="14.25">
      <c r="A8" s="395">
        <v>2025884</v>
      </c>
      <c r="B8" s="83" t="s">
        <v>184</v>
      </c>
      <c r="C8" s="96">
        <f>D72*D73/10^6*2*10^6*D74</f>
        <v>0</v>
      </c>
      <c r="D8" s="97" t="s">
        <v>169</v>
      </c>
      <c r="E8" s="243" t="s">
        <v>212</v>
      </c>
      <c r="F8" s="88">
        <f>C8*$D$69/1000000</f>
        <v>0</v>
      </c>
      <c r="G8" s="88">
        <f>C8*$D$69/1000000*$D$68/2000</f>
        <v>0</v>
      </c>
    </row>
    <row r="9" spans="1:7" s="17" customFormat="1" ht="14.25">
      <c r="A9" s="398" t="s">
        <v>311</v>
      </c>
      <c r="B9" s="83" t="s">
        <v>213</v>
      </c>
      <c r="C9" s="311">
        <v>6.0237154150197626E-2</v>
      </c>
      <c r="D9" s="95" t="s">
        <v>102</v>
      </c>
      <c r="E9" s="246" t="s">
        <v>234</v>
      </c>
      <c r="F9" s="84">
        <f>C9*$D$67</f>
        <v>0.14816666666666667</v>
      </c>
      <c r="G9" s="87">
        <f>C9*$D$67*$D$68/2000</f>
        <v>7.7046666666666661E-3</v>
      </c>
    </row>
    <row r="10" spans="1:7" s="17" customFormat="1" ht="14.25">
      <c r="A10" s="395" t="s">
        <v>73</v>
      </c>
      <c r="B10" s="83" t="s">
        <v>0</v>
      </c>
      <c r="C10" s="311">
        <v>0.18</v>
      </c>
      <c r="D10" s="95" t="s">
        <v>102</v>
      </c>
      <c r="E10" s="246" t="s">
        <v>234</v>
      </c>
      <c r="F10" s="84">
        <f>C10*$D$67</f>
        <v>0.44274999999999998</v>
      </c>
      <c r="G10" s="85">
        <f>C10*$D$67*$D$68/2000</f>
        <v>2.3022999999999998E-2</v>
      </c>
    </row>
    <row r="11" spans="1:7" s="17" customFormat="1" ht="14.25">
      <c r="A11" s="395" t="s">
        <v>1</v>
      </c>
      <c r="B11" s="83" t="s">
        <v>101</v>
      </c>
      <c r="C11" s="312">
        <f>$D$72*$D$77*(1-$D$74)*10^6</f>
        <v>0.5935348274059723</v>
      </c>
      <c r="D11" s="97" t="s">
        <v>169</v>
      </c>
      <c r="E11" s="243" t="s">
        <v>218</v>
      </c>
      <c r="F11" s="87">
        <f>$C$11*$D$69/1000000</f>
        <v>2.8852387443345879E-3</v>
      </c>
      <c r="G11" s="294">
        <f>C11*$D$69/1000000*$D$68/2000</f>
        <v>1.5003241470539858E-4</v>
      </c>
    </row>
    <row r="12" spans="1:7" s="17" customFormat="1" ht="14.25">
      <c r="A12" s="395" t="s">
        <v>306</v>
      </c>
      <c r="B12" s="98" t="s">
        <v>78</v>
      </c>
      <c r="C12" s="410">
        <f>INDEX('4 Flare1'!C:C,MATCH($A12,'4 Flare1'!$A:$A,0))</f>
        <v>4.9019607843137254E-7</v>
      </c>
      <c r="D12" s="125" t="str">
        <f>'4 Flare1'!D12</f>
        <v>lb/MMBtu</v>
      </c>
      <c r="E12" s="297">
        <f>'3 Vapor'!D12</f>
        <v>1</v>
      </c>
      <c r="F12" s="90">
        <f>$C$12*$D$67</f>
        <v>1.2057461873638344E-6</v>
      </c>
      <c r="G12" s="90">
        <f>C12*$D$67*$D$68/2000</f>
        <v>6.269880174291938E-8</v>
      </c>
    </row>
    <row r="13" spans="1:7" s="17" customFormat="1">
      <c r="A13" s="395"/>
      <c r="B13" s="101" t="s">
        <v>158</v>
      </c>
      <c r="C13" s="127"/>
      <c r="D13" s="102"/>
      <c r="E13" s="383"/>
      <c r="F13" s="103"/>
      <c r="G13" s="103"/>
    </row>
    <row r="14" spans="1:7" s="17" customFormat="1" ht="14.25">
      <c r="A14" s="395" t="s">
        <v>56</v>
      </c>
      <c r="B14" s="83" t="s">
        <v>9</v>
      </c>
      <c r="C14" s="129">
        <f>INDEX('4 Flare1'!C:C,MATCH($A14,'4 Flare1'!$A:$A,0))</f>
        <v>8.3039215686274504E-6</v>
      </c>
      <c r="D14" s="122" t="str">
        <f>'4 Flare1'!D15</f>
        <v>lb/MMBtu</v>
      </c>
      <c r="E14" s="243" t="s">
        <v>235</v>
      </c>
      <c r="F14" s="90">
        <f>C14*$D$67</f>
        <v>2.0425340413943353E-5</v>
      </c>
      <c r="G14" s="90">
        <f t="shared" ref="G14:G16" si="0">C14*$D$67*$D$68/2000</f>
        <v>1.0621177015250545E-6</v>
      </c>
    </row>
    <row r="15" spans="1:7" s="17" customFormat="1" ht="14.25">
      <c r="A15" s="395" t="s">
        <v>57</v>
      </c>
      <c r="B15" s="83" t="s">
        <v>10</v>
      </c>
      <c r="C15" s="129">
        <f>INDEX('4 Flare1'!C:C,MATCH($A15,'4 Flare1'!$A:$A,0))</f>
        <v>2.647058823529412E-6</v>
      </c>
      <c r="D15" s="122" t="str">
        <f>'4 Flare1'!D16</f>
        <v>lb/MMBtu</v>
      </c>
      <c r="E15" s="243" t="s">
        <v>235</v>
      </c>
      <c r="F15" s="90">
        <f>C15*$D$67</f>
        <v>6.5110294117647065E-6</v>
      </c>
      <c r="G15" s="90">
        <f t="shared" si="0"/>
        <v>3.3857352941176478E-7</v>
      </c>
    </row>
    <row r="16" spans="1:7" s="17" customFormat="1" ht="14.25">
      <c r="A16" s="395" t="s">
        <v>153</v>
      </c>
      <c r="B16" s="83" t="s">
        <v>152</v>
      </c>
      <c r="C16" s="129">
        <f>INDEX('4 Flare1'!C:C,MATCH($A16,'4 Flare1'!$A:$A,0))</f>
        <v>3.1372549019607846E-3</v>
      </c>
      <c r="D16" s="122" t="str">
        <f>'4 Flare1'!D17</f>
        <v>lb/MMBtu</v>
      </c>
      <c r="E16" s="243" t="s">
        <v>235</v>
      </c>
      <c r="F16" s="90">
        <f>C16*$D$68</f>
        <v>0.32627450980392159</v>
      </c>
      <c r="G16" s="90">
        <f t="shared" si="0"/>
        <v>4.0127233115468407E-4</v>
      </c>
    </row>
    <row r="17" spans="1:10" s="17" customFormat="1" ht="14.25">
      <c r="A17" s="395" t="s">
        <v>308</v>
      </c>
      <c r="B17" s="83" t="s">
        <v>33</v>
      </c>
      <c r="C17" s="129">
        <f>INDEX('4 Flare1'!C:C,MATCH($A17,'4 Flare1'!$A:$A,0))</f>
        <v>1.9607843137254904E-7</v>
      </c>
      <c r="D17" s="122" t="str">
        <f>'4 Flare1'!D18</f>
        <v>lb/MMBtu</v>
      </c>
      <c r="E17" s="243">
        <v>4</v>
      </c>
      <c r="F17" s="90">
        <f t="shared" ref="F17:F26" si="1">C17*$D$67</f>
        <v>4.8229847494553377E-7</v>
      </c>
      <c r="G17" s="90">
        <f t="shared" ref="G17:G26" si="2">C17*$D$67*$D$68/2000</f>
        <v>2.5079520697167758E-8</v>
      </c>
    </row>
    <row r="18" spans="1:10" s="17" customFormat="1" ht="14.25">
      <c r="A18" s="395" t="s">
        <v>59</v>
      </c>
      <c r="B18" s="83" t="s">
        <v>12</v>
      </c>
      <c r="C18" s="129">
        <f>$D$80/(453.6*10^6)/35.31*10^6/$D$85*(1-$D$74)</f>
        <v>1.702331003508745E-6</v>
      </c>
      <c r="D18" s="122" t="str">
        <f>'4 Flare1'!D19</f>
        <v>lb/MMBtu</v>
      </c>
      <c r="E18" s="243">
        <v>5</v>
      </c>
      <c r="F18" s="90">
        <f t="shared" si="1"/>
        <v>4.1872613989083154E-6</v>
      </c>
      <c r="G18" s="90">
        <f t="shared" si="2"/>
        <v>2.1773759274323238E-7</v>
      </c>
    </row>
    <row r="19" spans="1:10" s="17" customFormat="1" ht="14.25">
      <c r="A19" s="395" t="s">
        <v>307</v>
      </c>
      <c r="B19" s="83" t="s">
        <v>34</v>
      </c>
      <c r="C19" s="129">
        <f>INDEX('4 Flare1'!C:C,MATCH($A19,'4 Flare1'!$A:$A,0))</f>
        <v>1.1764705882352941E-8</v>
      </c>
      <c r="D19" s="122" t="str">
        <f>'4 Flare1'!D20</f>
        <v>lb/MMBtu</v>
      </c>
      <c r="E19" s="246" t="s">
        <v>239</v>
      </c>
      <c r="F19" s="90">
        <f t="shared" si="1"/>
        <v>2.8937908496732024E-8</v>
      </c>
      <c r="G19" s="90">
        <f t="shared" si="2"/>
        <v>1.5047712418300653E-9</v>
      </c>
    </row>
    <row r="20" spans="1:10" s="17" customFormat="1" ht="14.25">
      <c r="A20" s="395" t="s">
        <v>69</v>
      </c>
      <c r="B20" s="83" t="s">
        <v>35</v>
      </c>
      <c r="C20" s="129">
        <f>INDEX('4 Flare1'!C:C,MATCH($A20,'4 Flare1'!$A:$A,0))</f>
        <v>1.0784313725490197E-6</v>
      </c>
      <c r="D20" s="122" t="str">
        <f>'4 Flare1'!D21</f>
        <v>lb/MMBtu</v>
      </c>
      <c r="E20" s="246" t="s">
        <v>239</v>
      </c>
      <c r="F20" s="90">
        <f t="shared" si="1"/>
        <v>2.6526416122004359E-6</v>
      </c>
      <c r="G20" s="90">
        <f t="shared" si="2"/>
        <v>1.3793736383442266E-7</v>
      </c>
    </row>
    <row r="21" spans="1:10" s="17" customFormat="1" ht="14.25">
      <c r="A21" s="395" t="s">
        <v>290</v>
      </c>
      <c r="B21" s="83" t="s">
        <v>80</v>
      </c>
      <c r="C21" s="129">
        <f>INDEX('4 Flare1'!C:C,MATCH($A21,'4 Flare1'!$A:$A,0))</f>
        <v>1.3725490196078432E-6</v>
      </c>
      <c r="D21" s="122" t="str">
        <f>'4 Flare1'!D22</f>
        <v>lb/MMBtu</v>
      </c>
      <c r="E21" s="246" t="s">
        <v>239</v>
      </c>
      <c r="F21" s="90">
        <f t="shared" si="1"/>
        <v>3.3760893246187364E-6</v>
      </c>
      <c r="G21" s="90">
        <f t="shared" si="2"/>
        <v>1.755566448801743E-7</v>
      </c>
    </row>
    <row r="22" spans="1:10" s="17" customFormat="1" ht="14.25">
      <c r="A22" s="395" t="s">
        <v>70</v>
      </c>
      <c r="B22" s="83" t="s">
        <v>36</v>
      </c>
      <c r="C22" s="129">
        <f>INDEX('4 Flare1'!C:C,MATCH($A22,'4 Flare1'!$A:$A,0))</f>
        <v>8.2352941176470587E-8</v>
      </c>
      <c r="D22" s="122" t="str">
        <f>'4 Flare1'!D23</f>
        <v>lb/MMBtu</v>
      </c>
      <c r="E22" s="246" t="s">
        <v>239</v>
      </c>
      <c r="F22" s="90">
        <f t="shared" si="1"/>
        <v>2.0256535947712418E-7</v>
      </c>
      <c r="G22" s="90">
        <f t="shared" si="2"/>
        <v>1.0533398692810458E-8</v>
      </c>
    </row>
    <row r="23" spans="1:10" s="17" customFormat="1" ht="14.25">
      <c r="A23" s="395" t="s">
        <v>299</v>
      </c>
      <c r="B23" s="83" t="s">
        <v>37</v>
      </c>
      <c r="C23" s="129">
        <f>INDEX('4 Flare1'!C:C,MATCH($A23,'4 Flare1'!$A:$A,0))</f>
        <v>8.3333333333333333E-7</v>
      </c>
      <c r="D23" s="122" t="str">
        <f>'4 Flare1'!D24</f>
        <v>lb/MMBtu</v>
      </c>
      <c r="E23" s="246" t="s">
        <v>239</v>
      </c>
      <c r="F23" s="90">
        <f t="shared" si="1"/>
        <v>2.0497685185185186E-6</v>
      </c>
      <c r="G23" s="90">
        <f t="shared" si="2"/>
        <v>1.0658796296296297E-7</v>
      </c>
    </row>
    <row r="24" spans="1:10" s="17" customFormat="1" ht="14.25">
      <c r="A24" s="395" t="s">
        <v>150</v>
      </c>
      <c r="B24" s="83" t="s">
        <v>19</v>
      </c>
      <c r="C24" s="129">
        <f>$D$81/(453.6*10^6)/35.31*10^6/$D$85*(1-$D$74)</f>
        <v>8.2260290102436012E-8</v>
      </c>
      <c r="D24" s="122" t="str">
        <f>'4 Flare1'!D25</f>
        <v>lb/MMBtu</v>
      </c>
      <c r="E24" s="246" t="s">
        <v>240</v>
      </c>
      <c r="F24" s="90">
        <f t="shared" si="1"/>
        <v>2.0233746357140856E-7</v>
      </c>
      <c r="G24" s="90">
        <f t="shared" si="2"/>
        <v>1.0521548105713247E-8</v>
      </c>
    </row>
    <row r="25" spans="1:10" s="17" customFormat="1" ht="14.25">
      <c r="A25" s="395" t="s">
        <v>65</v>
      </c>
      <c r="B25" s="83" t="s">
        <v>22</v>
      </c>
      <c r="C25" s="129">
        <f>INDEX('4 Flare1'!C:C,MATCH($A25,'4 Flare1'!$A:$A,0))</f>
        <v>7.3529411764705876E-5</v>
      </c>
      <c r="D25" s="122" t="str">
        <f>'4 Flare1'!D26</f>
        <v>lb/MMBtu</v>
      </c>
      <c r="E25" s="243">
        <v>5</v>
      </c>
      <c r="F25" s="90">
        <f t="shared" si="1"/>
        <v>1.8086192810457514E-4</v>
      </c>
      <c r="G25" s="90">
        <f t="shared" si="2"/>
        <v>9.4048202614379066E-6</v>
      </c>
    </row>
    <row r="26" spans="1:10" s="17" customFormat="1" ht="14.25">
      <c r="A26" s="395" t="s">
        <v>154</v>
      </c>
      <c r="B26" s="83" t="s">
        <v>23</v>
      </c>
      <c r="C26" s="129">
        <f>INDEX('4 Flare1'!C:C,MATCH($A26,'4 Flare1'!$A:$A,0))</f>
        <v>1.7647058823529412E-3</v>
      </c>
      <c r="D26" s="122" t="str">
        <f>'4 Flare1'!D27</f>
        <v>lb/MMBtu</v>
      </c>
      <c r="E26" s="246" t="s">
        <v>240</v>
      </c>
      <c r="F26" s="90">
        <f t="shared" si="1"/>
        <v>4.3406862745098036E-3</v>
      </c>
      <c r="G26" s="90">
        <f t="shared" si="2"/>
        <v>2.2571568627450977E-4</v>
      </c>
    </row>
    <row r="27" spans="1:10" s="17" customFormat="1" ht="14.25" hidden="1">
      <c r="A27" s="395"/>
      <c r="B27" s="83"/>
      <c r="C27" s="129"/>
      <c r="D27" s="122"/>
      <c r="E27" s="246"/>
      <c r="F27" s="90"/>
      <c r="G27" s="90"/>
    </row>
    <row r="28" spans="1:10" s="17" customFormat="1" ht="14.25">
      <c r="A28" s="395" t="s">
        <v>306</v>
      </c>
      <c r="B28" s="83" t="s">
        <v>81</v>
      </c>
      <c r="C28" s="129">
        <f>INDEX('4 Flare1'!C:C,MATCH($A28,'4 Flare1'!$A:$A,0))</f>
        <v>4.9019607843137254E-7</v>
      </c>
      <c r="D28" s="122" t="str">
        <f>'4 Flare1'!D28</f>
        <v>lb/MMBtu</v>
      </c>
      <c r="E28" s="243">
        <v>1</v>
      </c>
      <c r="F28" s="90">
        <f>C28*$D$67</f>
        <v>1.2057461873638344E-6</v>
      </c>
      <c r="G28" s="90">
        <f>C28*$D$67*$D$68/2000</f>
        <v>6.269880174291938E-8</v>
      </c>
    </row>
    <row r="29" spans="1:10" s="17" customFormat="1" ht="14.25">
      <c r="A29" s="395" t="s">
        <v>305</v>
      </c>
      <c r="B29" s="83" t="s">
        <v>38</v>
      </c>
      <c r="C29" s="129">
        <f>INDEX('4 Flare1'!C:C,MATCH($A29,'4 Flare1'!$A:$A,0))</f>
        <v>3.7254901960784315E-7</v>
      </c>
      <c r="D29" s="122" t="str">
        <f>'4 Flare1'!D29</f>
        <v>lb/MMBtu</v>
      </c>
      <c r="E29" s="246" t="s">
        <v>239</v>
      </c>
      <c r="F29" s="90">
        <f>C29*$D$67</f>
        <v>9.1636710239651414E-7</v>
      </c>
      <c r="G29" s="90">
        <f>C29*$D$67*$D$68/2000</f>
        <v>4.7651089324618733E-8</v>
      </c>
    </row>
    <row r="30" spans="1:10" s="17" customFormat="1" ht="14.25">
      <c r="A30" s="395" t="s">
        <v>71</v>
      </c>
      <c r="B30" s="83" t="s">
        <v>39</v>
      </c>
      <c r="C30" s="129">
        <f>INDEX('4 Flare1'!C:C,MATCH($A30,'4 Flare1'!$A:$A,0))</f>
        <v>2.5490196078431371E-7</v>
      </c>
      <c r="D30" s="122" t="str">
        <f>'4 Flare1'!D30</f>
        <v>lb/MMBtu</v>
      </c>
      <c r="E30" s="246" t="s">
        <v>239</v>
      </c>
      <c r="F30" s="90">
        <f>C30*$D$67</f>
        <v>6.2698801742919386E-7</v>
      </c>
      <c r="G30" s="90">
        <f>C30*$D$67*$D$68/2000</f>
        <v>3.2603376906318079E-8</v>
      </c>
    </row>
    <row r="31" spans="1:10" s="17" customFormat="1" ht="14.25">
      <c r="A31" s="395" t="s">
        <v>67</v>
      </c>
      <c r="B31" s="83" t="s">
        <v>24</v>
      </c>
      <c r="C31" s="129">
        <f>C51</f>
        <v>5.9803921568627444E-7</v>
      </c>
      <c r="D31" s="122" t="str">
        <f>'4 Flare1'!D54</f>
        <v>lb/MMBtu</v>
      </c>
      <c r="E31" s="246" t="str">
        <f>E51</f>
        <v>5</v>
      </c>
      <c r="F31" s="90">
        <f>F51</f>
        <v>1.4710103485838778E-6</v>
      </c>
      <c r="G31" s="90">
        <f>G51</f>
        <v>7.6492538126361659E-8</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47" si="3">C32*$D$67</f>
        <v>5.0641339869281039E-6</v>
      </c>
      <c r="G32" s="90">
        <f t="shared" ref="G32:G47" si="4">C32*$D$67*$D$68/2000</f>
        <v>2.6333496732026139E-7</v>
      </c>
      <c r="H32" s="210"/>
    </row>
    <row r="33" spans="1:7" s="17" customFormat="1" ht="14.25">
      <c r="A33" s="395" t="s">
        <v>296</v>
      </c>
      <c r="B33" s="83" t="s">
        <v>82</v>
      </c>
      <c r="C33" s="104">
        <f>SUM(C34:C53)</f>
        <v>1.8609803921568625E-6</v>
      </c>
      <c r="D33" s="122" t="str">
        <f>'4 Flare1'!D33</f>
        <v>lb/MMBtu</v>
      </c>
      <c r="E33" s="246" t="s">
        <v>240</v>
      </c>
      <c r="F33" s="90">
        <f t="shared" si="3"/>
        <v>4.5774948257080602E-6</v>
      </c>
      <c r="G33" s="90">
        <f t="shared" si="4"/>
        <v>2.3802973093681912E-7</v>
      </c>
    </row>
    <row r="34" spans="1:7" s="17" customFormat="1" ht="14.25">
      <c r="A34" s="395" t="s">
        <v>285</v>
      </c>
      <c r="B34" s="105" t="s">
        <v>4</v>
      </c>
      <c r="C34" s="411">
        <f>INDEX('4 Flare1'!C:C,MATCH($A34,'4 Flare1'!$A:$A,0))</f>
        <v>2.3529411764705881E-8</v>
      </c>
      <c r="D34" s="131" t="str">
        <f>'4 Flare1'!D34</f>
        <v>lb/MMBtu</v>
      </c>
      <c r="E34" s="246" t="s">
        <v>240</v>
      </c>
      <c r="F34" s="107">
        <f t="shared" si="3"/>
        <v>5.7875816993464048E-8</v>
      </c>
      <c r="G34" s="107">
        <f t="shared" si="4"/>
        <v>3.0095424836601305E-9</v>
      </c>
    </row>
    <row r="35" spans="1:7" s="17" customFormat="1" ht="14.25">
      <c r="A35" s="395" t="s">
        <v>54</v>
      </c>
      <c r="B35" s="105" t="s">
        <v>5</v>
      </c>
      <c r="C35" s="411">
        <f>INDEX('4 Flare1'!C:C,MATCH($A35,'4 Flare1'!$A:$A,0))</f>
        <v>1.7647058823529412E-9</v>
      </c>
      <c r="D35" s="131" t="str">
        <f>'4 Flare1'!D35</f>
        <v>lb/MMBtu</v>
      </c>
      <c r="E35" s="246" t="s">
        <v>240</v>
      </c>
      <c r="F35" s="107">
        <f t="shared" si="3"/>
        <v>4.340686274509804E-9</v>
      </c>
      <c r="G35" s="107">
        <f t="shared" si="4"/>
        <v>2.2571568627450981E-10</v>
      </c>
    </row>
    <row r="36" spans="1:7" s="17" customFormat="1" ht="14.25">
      <c r="A36" s="395" t="s">
        <v>55</v>
      </c>
      <c r="B36" s="105" t="s">
        <v>6</v>
      </c>
      <c r="C36" s="411">
        <f>INDEX('4 Flare1'!C:C,MATCH($A36,'4 Flare1'!$A:$A,0))</f>
        <v>1.5686274509803922E-8</v>
      </c>
      <c r="D36" s="131" t="str">
        <f>'4 Flare1'!D36</f>
        <v>lb/MMBtu</v>
      </c>
      <c r="E36" s="246" t="s">
        <v>240</v>
      </c>
      <c r="F36" s="107">
        <f t="shared" si="3"/>
        <v>3.8583877995642701E-8</v>
      </c>
      <c r="G36" s="107">
        <f t="shared" si="4"/>
        <v>2.0063616557734206E-9</v>
      </c>
    </row>
    <row r="37" spans="1:7" s="17" customFormat="1" ht="14.25">
      <c r="A37" s="395" t="s">
        <v>287</v>
      </c>
      <c r="B37" s="105" t="s">
        <v>7</v>
      </c>
      <c r="C37" s="411">
        <f>INDEX('4 Flare1'!C:C,MATCH($A37,'4 Flare1'!$A:$A,0))</f>
        <v>1.7647058823529412E-9</v>
      </c>
      <c r="D37" s="131" t="str">
        <f>'4 Flare1'!D37</f>
        <v>lb/MMBtu</v>
      </c>
      <c r="E37" s="246" t="s">
        <v>240</v>
      </c>
      <c r="F37" s="107">
        <f t="shared" si="3"/>
        <v>4.340686274509804E-9</v>
      </c>
      <c r="G37" s="107">
        <f t="shared" si="4"/>
        <v>2.2571568627450981E-10</v>
      </c>
    </row>
    <row r="38" spans="1:7" s="17" customFormat="1" ht="14.25">
      <c r="A38" s="395" t="s">
        <v>286</v>
      </c>
      <c r="B38" s="105" t="s">
        <v>8</v>
      </c>
      <c r="C38" s="411">
        <f>INDEX('4 Flare1'!C:C,MATCH($A38,'4 Flare1'!$A:$A,0))</f>
        <v>1.7647058823529412E-9</v>
      </c>
      <c r="D38" s="131" t="str">
        <f>'4 Flare1'!D38</f>
        <v>lb/MMBtu</v>
      </c>
      <c r="E38" s="246" t="s">
        <v>240</v>
      </c>
      <c r="F38" s="107">
        <f t="shared" si="3"/>
        <v>4.340686274509804E-9</v>
      </c>
      <c r="G38" s="107">
        <f t="shared" si="4"/>
        <v>2.2571568627450981E-10</v>
      </c>
    </row>
    <row r="39" spans="1:7" s="17" customFormat="1" ht="14.25">
      <c r="A39" s="395" t="s">
        <v>288</v>
      </c>
      <c r="B39" s="105" t="s">
        <v>11</v>
      </c>
      <c r="C39" s="411">
        <f>INDEX('4 Flare1'!C:C,MATCH($A39,'4 Flare1'!$A:$A,0))</f>
        <v>2.3529411764705881E-9</v>
      </c>
      <c r="D39" s="131" t="str">
        <f>'4 Flare1'!D39</f>
        <v>lb/MMBtu</v>
      </c>
      <c r="E39" s="246" t="s">
        <v>240</v>
      </c>
      <c r="F39" s="107">
        <f t="shared" si="3"/>
        <v>5.787581699346405E-9</v>
      </c>
      <c r="G39" s="107">
        <f t="shared" si="4"/>
        <v>3.0095424836601305E-10</v>
      </c>
    </row>
    <row r="40" spans="1:7" s="17" customFormat="1" ht="14.25">
      <c r="A40" s="395" t="s">
        <v>58</v>
      </c>
      <c r="B40" s="105" t="s">
        <v>83</v>
      </c>
      <c r="C40" s="411">
        <f>INDEX('4 Flare1'!C:C,MATCH($A40,'4 Flare1'!$A:$A,0))</f>
        <v>1.7647058823529412E-9</v>
      </c>
      <c r="D40" s="131" t="str">
        <f>'4 Flare1'!D40</f>
        <v>lb/MMBtu</v>
      </c>
      <c r="E40" s="246" t="s">
        <v>240</v>
      </c>
      <c r="F40" s="107">
        <f t="shared" si="3"/>
        <v>4.340686274509804E-9</v>
      </c>
      <c r="G40" s="107">
        <f t="shared" si="4"/>
        <v>2.2571568627450981E-10</v>
      </c>
    </row>
    <row r="41" spans="1:7" s="17" customFormat="1" ht="14.25">
      <c r="A41" s="395" t="s">
        <v>60</v>
      </c>
      <c r="B41" s="105" t="s">
        <v>13</v>
      </c>
      <c r="C41" s="411">
        <f>INDEX('4 Flare1'!C:C,MATCH($A41,'4 Flare1'!$A:$A,0))</f>
        <v>1.176470588235294E-9</v>
      </c>
      <c r="D41" s="131" t="str">
        <f>'4 Flare1'!D41</f>
        <v>lb/MMBtu</v>
      </c>
      <c r="E41" s="246" t="s">
        <v>240</v>
      </c>
      <c r="F41" s="107">
        <f t="shared" si="3"/>
        <v>2.8937908496732025E-9</v>
      </c>
      <c r="G41" s="107">
        <f t="shared" si="4"/>
        <v>1.5047712418300653E-10</v>
      </c>
    </row>
    <row r="42" spans="1:7" s="17" customFormat="1" ht="14.25">
      <c r="A42" s="395" t="s">
        <v>61</v>
      </c>
      <c r="B42" s="105" t="s">
        <v>14</v>
      </c>
      <c r="C42" s="411">
        <f>INDEX('4 Flare1'!C:C,MATCH($A42,'4 Flare1'!$A:$A,0))</f>
        <v>1.7647058823529412E-9</v>
      </c>
      <c r="D42" s="131" t="str">
        <f>'4 Flare1'!D42</f>
        <v>lb/MMBtu</v>
      </c>
      <c r="E42" s="246" t="s">
        <v>240</v>
      </c>
      <c r="F42" s="107">
        <f t="shared" si="3"/>
        <v>4.340686274509804E-9</v>
      </c>
      <c r="G42" s="107">
        <f t="shared" si="4"/>
        <v>2.2571568627450981E-10</v>
      </c>
    </row>
    <row r="43" spans="1:7" s="17" customFormat="1" ht="14.25">
      <c r="A43" s="395" t="s">
        <v>289</v>
      </c>
      <c r="B43" s="105" t="s">
        <v>15</v>
      </c>
      <c r="C43" s="411">
        <f>INDEX('4 Flare1'!C:C,MATCH($A43,'4 Flare1'!$A:$A,0))</f>
        <v>1.176470588235294E-9</v>
      </c>
      <c r="D43" s="131" t="str">
        <f>'4 Flare1'!D43</f>
        <v>lb/MMBtu</v>
      </c>
      <c r="E43" s="246" t="s">
        <v>240</v>
      </c>
      <c r="F43" s="107">
        <f t="shared" si="3"/>
        <v>2.8937908496732025E-9</v>
      </c>
      <c r="G43" s="107">
        <f t="shared" si="4"/>
        <v>1.5047712418300653E-10</v>
      </c>
    </row>
    <row r="44" spans="1:7" s="17" customFormat="1" ht="14.25">
      <c r="A44" s="395" t="s">
        <v>62</v>
      </c>
      <c r="B44" s="105" t="s">
        <v>16</v>
      </c>
      <c r="C44" s="411">
        <f>INDEX('4 Flare1'!C:C,MATCH($A44,'4 Flare1'!$A:$A,0))</f>
        <v>1.7647058823529412E-9</v>
      </c>
      <c r="D44" s="131" t="str">
        <f>'4 Flare1'!D44</f>
        <v>lb/MMBtu</v>
      </c>
      <c r="E44" s="246" t="s">
        <v>240</v>
      </c>
      <c r="F44" s="107">
        <f t="shared" si="3"/>
        <v>4.340686274509804E-9</v>
      </c>
      <c r="G44" s="107">
        <f t="shared" si="4"/>
        <v>2.2571568627450981E-10</v>
      </c>
    </row>
    <row r="45" spans="1:7" s="17" customFormat="1" ht="14.25">
      <c r="A45" s="395" t="s">
        <v>63</v>
      </c>
      <c r="B45" s="109" t="s">
        <v>17</v>
      </c>
      <c r="C45" s="411">
        <f>INDEX('4 Flare1'!C:C,MATCH($A45,'4 Flare1'!$A:$A,0))</f>
        <v>1.7647058823529412E-9</v>
      </c>
      <c r="D45" s="131" t="str">
        <f>'4 Flare1'!D45</f>
        <v>lb/MMBtu</v>
      </c>
      <c r="E45" s="246" t="s">
        <v>240</v>
      </c>
      <c r="F45" s="107">
        <f t="shared" si="3"/>
        <v>4.340686274509804E-9</v>
      </c>
      <c r="G45" s="107">
        <f t="shared" si="4"/>
        <v>2.2571568627450981E-10</v>
      </c>
    </row>
    <row r="46" spans="1:7" s="17" customFormat="1" ht="14.25">
      <c r="A46" s="395" t="s">
        <v>64</v>
      </c>
      <c r="B46" s="109" t="s">
        <v>84</v>
      </c>
      <c r="C46" s="411">
        <f>INDEX('4 Flare1'!C:C,MATCH($A46,'4 Flare1'!$A:$A,0))</f>
        <v>1.176470588235294E-9</v>
      </c>
      <c r="D46" s="131" t="str">
        <f>'4 Flare1'!D46</f>
        <v>lb/MMBtu</v>
      </c>
      <c r="E46" s="246" t="s">
        <v>240</v>
      </c>
      <c r="F46" s="107">
        <f t="shared" si="3"/>
        <v>2.8937908496732025E-9</v>
      </c>
      <c r="G46" s="107">
        <f t="shared" si="4"/>
        <v>1.5047712418300653E-10</v>
      </c>
    </row>
    <row r="47" spans="1:7" s="17" customFormat="1" ht="14.25">
      <c r="A47" s="395" t="s">
        <v>151</v>
      </c>
      <c r="B47" s="109" t="s">
        <v>283</v>
      </c>
      <c r="C47" s="411">
        <f>INDEX('4 Flare1'!C:C,MATCH($A47,'4 Flare1'!$A:$A,0))</f>
        <v>1.176470588235294E-6</v>
      </c>
      <c r="D47" s="131" t="str">
        <f>'4 Flare1'!D47</f>
        <v>lb/MMBtu</v>
      </c>
      <c r="E47" s="246" t="s">
        <v>240</v>
      </c>
      <c r="F47" s="107">
        <f t="shared" si="3"/>
        <v>2.8937908496732022E-6</v>
      </c>
      <c r="G47" s="107">
        <f t="shared" si="4"/>
        <v>1.504771241830065E-7</v>
      </c>
    </row>
    <row r="48" spans="1:7" ht="14.25">
      <c r="A48" s="396" t="s">
        <v>291</v>
      </c>
      <c r="B48" s="109" t="s">
        <v>20</v>
      </c>
      <c r="C48" s="411">
        <f>INDEX('4 Flare1'!C:C,MATCH($A48,'4 Flare1'!$A:$A,0))</f>
        <v>2.9411764705882352E-9</v>
      </c>
      <c r="D48" s="131" t="str">
        <f>'4 Flare1'!D48</f>
        <v>lb/MMBtu</v>
      </c>
      <c r="E48" s="246" t="s">
        <v>240</v>
      </c>
      <c r="F48" s="107">
        <f t="shared" ref="F48:F59" si="5">C48*$D$67</f>
        <v>7.2344771241830061E-9</v>
      </c>
      <c r="G48" s="107">
        <f t="shared" ref="G48:G59" si="6">C48*$D$67*$D$68/2000</f>
        <v>3.7619281045751631E-10</v>
      </c>
    </row>
    <row r="49" spans="1:10" ht="14.25">
      <c r="A49" s="396" t="s">
        <v>292</v>
      </c>
      <c r="B49" s="109" t="s">
        <v>21</v>
      </c>
      <c r="C49" s="411">
        <f>INDEX('4 Flare1'!C:C,MATCH($A49,'4 Flare1'!$A:$A,0))</f>
        <v>2.7450980392156863E-9</v>
      </c>
      <c r="D49" s="131" t="str">
        <f>'4 Flare1'!D49</f>
        <v>lb/MMBtu</v>
      </c>
      <c r="E49" s="246" t="s">
        <v>240</v>
      </c>
      <c r="F49" s="107">
        <f t="shared" si="5"/>
        <v>6.7521786492374724E-9</v>
      </c>
      <c r="G49" s="107">
        <f t="shared" si="6"/>
        <v>3.5111328976034852E-10</v>
      </c>
    </row>
    <row r="50" spans="1:10" ht="14.25">
      <c r="A50" s="396" t="s">
        <v>66</v>
      </c>
      <c r="B50" s="109" t="s">
        <v>52</v>
      </c>
      <c r="C50" s="411">
        <f>INDEX('4 Flare1'!C:C,MATCH($A50,'4 Flare1'!$A:$A,0))</f>
        <v>1.7647058823529412E-9</v>
      </c>
      <c r="D50" s="131" t="str">
        <f>'4 Flare1'!D50</f>
        <v>lb/MMBtu</v>
      </c>
      <c r="E50" s="246" t="s">
        <v>240</v>
      </c>
      <c r="F50" s="107">
        <f t="shared" si="5"/>
        <v>4.340686274509804E-9</v>
      </c>
      <c r="G50" s="107">
        <f t="shared" si="6"/>
        <v>2.2571568627450981E-10</v>
      </c>
    </row>
    <row r="51" spans="1:10" ht="14.25">
      <c r="A51" s="396" t="s">
        <v>67</v>
      </c>
      <c r="B51" s="109" t="s">
        <v>24</v>
      </c>
      <c r="C51" s="411">
        <f>INDEX('4 Flare1'!C:C,MATCH($A51,'4 Flare1'!$A:$A,0))</f>
        <v>5.9803921568627444E-7</v>
      </c>
      <c r="D51" s="131" t="str">
        <f>'4 Flare1'!D51</f>
        <v>lb/MMBtu</v>
      </c>
      <c r="E51" s="246" t="s">
        <v>240</v>
      </c>
      <c r="F51" s="107">
        <f t="shared" si="5"/>
        <v>1.4710103485838778E-6</v>
      </c>
      <c r="G51" s="107">
        <f t="shared" si="6"/>
        <v>7.6492538126361659E-8</v>
      </c>
    </row>
    <row r="52" spans="1:10" ht="14.25">
      <c r="A52" s="396" t="s">
        <v>294</v>
      </c>
      <c r="B52" s="109" t="s">
        <v>85</v>
      </c>
      <c r="C52" s="411">
        <f>INDEX('4 Flare1'!C:C,MATCH($A52,'4 Flare1'!$A:$A,0))</f>
        <v>1.6666666666666667E-8</v>
      </c>
      <c r="D52" s="131" t="str">
        <f>'4 Flare1'!D52</f>
        <v>lb/MMBtu</v>
      </c>
      <c r="E52" s="246" t="s">
        <v>240</v>
      </c>
      <c r="F52" s="107">
        <f t="shared" si="5"/>
        <v>4.0995370370370367E-8</v>
      </c>
      <c r="G52" s="107">
        <f t="shared" si="6"/>
        <v>2.131759259259259E-9</v>
      </c>
    </row>
    <row r="53" spans="1:10" ht="14.25">
      <c r="A53" s="396" t="s">
        <v>295</v>
      </c>
      <c r="B53" s="109" t="s">
        <v>26</v>
      </c>
      <c r="C53" s="411">
        <f>INDEX('4 Flare1'!C:C,MATCH($A53,'4 Flare1'!$A:$A,0))</f>
        <v>4.9019607843137263E-9</v>
      </c>
      <c r="D53" s="131" t="str">
        <f>'4 Flare1'!D53</f>
        <v>lb/MMBtu</v>
      </c>
      <c r="E53" s="246" t="s">
        <v>240</v>
      </c>
      <c r="F53" s="107">
        <f t="shared" si="5"/>
        <v>1.2057461873638346E-8</v>
      </c>
      <c r="G53" s="107">
        <f t="shared" si="6"/>
        <v>6.2698801742919399E-10</v>
      </c>
      <c r="H53" s="136"/>
    </row>
    <row r="54" spans="1:10" s="17" customFormat="1" ht="14.25">
      <c r="A54" s="395" t="s">
        <v>68</v>
      </c>
      <c r="B54" s="83" t="s">
        <v>51</v>
      </c>
      <c r="C54" s="129">
        <f>INDEX('4 Flare1'!C:C,MATCH($A54,'4 Flare1'!$A:$A,0))</f>
        <v>5.1960784313725495E-4</v>
      </c>
      <c r="D54" s="122" t="str">
        <f>'4 Flare1'!D31</f>
        <v>lb/MMBtu</v>
      </c>
      <c r="E54" s="246" t="s">
        <v>235</v>
      </c>
      <c r="F54" s="90">
        <f>F52</f>
        <v>4.0995370370370367E-8</v>
      </c>
      <c r="G54" s="90">
        <f t="shared" si="6"/>
        <v>6.6460729847494558E-5</v>
      </c>
      <c r="H54" s="126"/>
      <c r="I54" s="318"/>
      <c r="J54" s="318"/>
    </row>
    <row r="55" spans="1:10" ht="14.25">
      <c r="A55" s="396" t="s">
        <v>304</v>
      </c>
      <c r="B55" s="83" t="s">
        <v>41</v>
      </c>
      <c r="C55" s="411">
        <f>INDEX('4 Flare1'!C:C,MATCH($A55,'4 Flare1'!$A:$A,0))</f>
        <v>2.3529411764705881E-8</v>
      </c>
      <c r="D55" s="122" t="str">
        <f>'4 Flare1'!D55</f>
        <v>lb/MMBtu</v>
      </c>
      <c r="E55" s="246" t="s">
        <v>239</v>
      </c>
      <c r="F55" s="90">
        <f t="shared" si="5"/>
        <v>5.7875816993464048E-8</v>
      </c>
      <c r="G55" s="90">
        <f t="shared" si="6"/>
        <v>3.0095424836601305E-9</v>
      </c>
    </row>
    <row r="56" spans="1:10" ht="14.25">
      <c r="A56" s="396" t="s">
        <v>303</v>
      </c>
      <c r="B56" s="83" t="s">
        <v>27</v>
      </c>
      <c r="C56" s="129">
        <f>'4 Flare1'!C56</f>
        <v>1.468117677522642E-6</v>
      </c>
      <c r="D56" s="122" t="str">
        <f>'4 Flare1'!D56</f>
        <v>lb/MMBtu</v>
      </c>
      <c r="E56" s="246" t="s">
        <v>240</v>
      </c>
      <c r="F56" s="90">
        <f t="shared" si="5"/>
        <v>3.6111616762397206E-6</v>
      </c>
      <c r="G56" s="90">
        <f t="shared" si="6"/>
        <v>1.8778040716446547E-7</v>
      </c>
    </row>
    <row r="57" spans="1:10" ht="14.25">
      <c r="A57" s="396" t="s">
        <v>72</v>
      </c>
      <c r="B57" s="83" t="s">
        <v>42</v>
      </c>
      <c r="C57" s="411">
        <f>$D$84/(453.6*10^6)/35.31*10^6/$D$85*(1-$D$74)</f>
        <v>1.468117677522642E-6</v>
      </c>
      <c r="D57" s="122" t="str">
        <f>'4 Flare1'!D57</f>
        <v>lb/MMBtu</v>
      </c>
      <c r="E57" s="246" t="s">
        <v>239</v>
      </c>
      <c r="F57" s="90">
        <f t="shared" si="5"/>
        <v>3.6111616762397206E-6</v>
      </c>
      <c r="G57" s="90">
        <f t="shared" si="6"/>
        <v>1.8778040716446547E-7</v>
      </c>
    </row>
    <row r="58" spans="1:10" ht="14.25">
      <c r="A58" s="396" t="s">
        <v>147</v>
      </c>
      <c r="B58" s="83" t="s">
        <v>140</v>
      </c>
      <c r="C58" s="129">
        <f>'4 Flare1'!C58</f>
        <v>5.6325448639584649E-7</v>
      </c>
      <c r="D58" s="122" t="str">
        <f>'4 Flare1'!D58</f>
        <v>lb/MMBtu</v>
      </c>
      <c r="E58" s="243" t="s">
        <v>219</v>
      </c>
      <c r="F58" s="90">
        <f t="shared" si="5"/>
        <v>1.3854495769542279E-6</v>
      </c>
      <c r="G58" s="90">
        <f t="shared" si="6"/>
        <v>7.2043378001619845E-8</v>
      </c>
    </row>
    <row r="59" spans="1:10" ht="14.25">
      <c r="A59" s="396" t="s">
        <v>146</v>
      </c>
      <c r="B59" s="83" t="s">
        <v>141</v>
      </c>
      <c r="C59" s="129">
        <f>D82/(453.6*10^6)/35.31*10^6/$D$85*(1-$D$74)</f>
        <v>5.6325448639584649E-7</v>
      </c>
      <c r="D59" s="122" t="str">
        <f>'4 Flare1'!D59</f>
        <v>lb/MMBtu</v>
      </c>
      <c r="E59" s="243" t="s">
        <v>219</v>
      </c>
      <c r="F59" s="90">
        <f t="shared" si="5"/>
        <v>1.3854495769542279E-6</v>
      </c>
      <c r="G59" s="90">
        <f t="shared" si="6"/>
        <v>7.2043378001619845E-8</v>
      </c>
    </row>
    <row r="60" spans="1:10" ht="14.25">
      <c r="A60" s="396" t="s">
        <v>301</v>
      </c>
      <c r="B60" s="111" t="s">
        <v>49</v>
      </c>
      <c r="C60" s="133">
        <f>D83/(453.6*10^6)/35.31*10^6/$D$85*(1-$D$74)</f>
        <v>9.4256582409041224E-8</v>
      </c>
      <c r="D60" s="112"/>
      <c r="E60" s="303"/>
      <c r="F60" s="114">
        <f>SUM(F14:F33,F54:F59)-SUM(F23,F57,F27,F31,F54,F16)</f>
        <v>4.5784473707491946E-3</v>
      </c>
      <c r="G60" s="550">
        <f>SUM(G14:G33,G54:G59)-SUM(G23,G57,G27,G31,G54,G16)</f>
        <v>2.3807926327896241E-4</v>
      </c>
    </row>
    <row r="61" spans="1:10" s="166" customFormat="1" ht="6">
      <c r="A61" s="397"/>
      <c r="B61" s="422"/>
      <c r="C61" s="422"/>
      <c r="D61" s="422"/>
      <c r="E61" s="423"/>
      <c r="F61" s="535"/>
      <c r="G61" s="535"/>
      <c r="H61" s="165"/>
      <c r="I61" s="165"/>
      <c r="J61" s="165"/>
    </row>
    <row r="62" spans="1:10">
      <c r="B62" s="7" t="s">
        <v>86</v>
      </c>
      <c r="C62" s="7"/>
      <c r="D62" s="7"/>
      <c r="G62" s="7"/>
    </row>
    <row r="63" spans="1:10" ht="14.25">
      <c r="B63" s="585" t="s">
        <v>221</v>
      </c>
      <c r="C63" s="585"/>
      <c r="D63" s="585"/>
      <c r="E63" s="585"/>
      <c r="F63" s="585"/>
      <c r="G63" s="585"/>
      <c r="H63" s="55" t="s">
        <v>110</v>
      </c>
    </row>
    <row r="64" spans="1:10">
      <c r="B64" s="585"/>
      <c r="C64" s="585"/>
      <c r="D64" s="585"/>
      <c r="E64" s="585"/>
      <c r="F64" s="585"/>
      <c r="G64" s="585"/>
    </row>
    <row r="65" spans="1:8" s="17" customFormat="1" ht="14.1" customHeight="1">
      <c r="A65" s="23"/>
      <c r="B65" s="586" t="s">
        <v>215</v>
      </c>
      <c r="C65" s="586"/>
      <c r="D65" s="586"/>
      <c r="E65" s="586"/>
      <c r="F65" s="586"/>
      <c r="G65" s="586"/>
      <c r="H65" s="55" t="s">
        <v>110</v>
      </c>
    </row>
    <row r="66" spans="1:8" s="17" customFormat="1" ht="14.1" customHeight="1">
      <c r="A66" s="23"/>
      <c r="B66" s="586"/>
      <c r="C66" s="586"/>
      <c r="D66" s="586"/>
      <c r="E66" s="586"/>
      <c r="F66" s="586"/>
      <c r="G66" s="586"/>
    </row>
    <row r="67" spans="1:8" s="17" customFormat="1" ht="14.25">
      <c r="A67" s="23"/>
      <c r="B67" s="318"/>
      <c r="C67" s="42" t="s">
        <v>170</v>
      </c>
      <c r="D67" s="57">
        <f>'1 Rates'!B30</f>
        <v>2.4597222222222221</v>
      </c>
      <c r="E67" s="299" t="s">
        <v>241</v>
      </c>
      <c r="F67" s="4"/>
      <c r="G67" s="42"/>
    </row>
    <row r="68" spans="1:8" s="17" customFormat="1" ht="14.25">
      <c r="A68" s="23"/>
      <c r="B68" s="318"/>
      <c r="C68" s="44" t="s">
        <v>87</v>
      </c>
      <c r="D68" s="45">
        <f>'1 Rates'!D29</f>
        <v>104</v>
      </c>
      <c r="E68" s="299" t="s">
        <v>241</v>
      </c>
      <c r="F68" s="4"/>
      <c r="G68" s="44"/>
    </row>
    <row r="69" spans="1:8" s="17" customFormat="1" ht="14.25">
      <c r="A69" s="23"/>
      <c r="B69" s="318"/>
      <c r="C69" s="42" t="s">
        <v>171</v>
      </c>
      <c r="D69" s="45">
        <f>'1 Rates'!B29*10+'1 Rates'!B32*50</f>
        <v>4861.1111111111113</v>
      </c>
      <c r="E69" s="299" t="s">
        <v>241</v>
      </c>
      <c r="F69" s="4"/>
      <c r="G69" s="44"/>
    </row>
    <row r="70" spans="1:8" s="17" customFormat="1" ht="14.25">
      <c r="A70" s="23"/>
      <c r="B70" s="586" t="s">
        <v>222</v>
      </c>
      <c r="C70" s="586"/>
      <c r="D70" s="586"/>
      <c r="E70" s="586"/>
      <c r="F70" s="586"/>
      <c r="G70" s="586"/>
      <c r="H70" s="55" t="s">
        <v>110</v>
      </c>
    </row>
    <row r="71" spans="1:8" s="17" customFormat="1" ht="14.25">
      <c r="A71" s="23"/>
      <c r="B71" s="586"/>
      <c r="C71" s="586"/>
      <c r="D71" s="586"/>
      <c r="E71" s="586"/>
      <c r="F71" s="586"/>
      <c r="G71" s="586"/>
      <c r="H71" s="55" t="s">
        <v>110</v>
      </c>
    </row>
    <row r="72" spans="1:8" s="17" customFormat="1" ht="14.25">
      <c r="A72" s="23"/>
      <c r="B72" s="318"/>
      <c r="C72" s="59" t="s">
        <v>121</v>
      </c>
      <c r="D72" s="50">
        <f>'2 Gas Data'!I8</f>
        <v>5.8439999999999999E-2</v>
      </c>
      <c r="E72" s="299" t="s">
        <v>284</v>
      </c>
      <c r="F72" s="413"/>
      <c r="G72" s="413"/>
      <c r="H72" s="290"/>
    </row>
    <row r="73" spans="1:8" s="17" customFormat="1" ht="14.25">
      <c r="A73" s="23"/>
      <c r="B73" s="318"/>
      <c r="C73" s="152" t="s">
        <v>174</v>
      </c>
      <c r="D73" s="54">
        <f>'2 Gas Data'!I9</f>
        <v>0</v>
      </c>
      <c r="E73" s="299" t="s">
        <v>284</v>
      </c>
      <c r="F73" s="416"/>
      <c r="G73" s="49"/>
      <c r="H73" s="49"/>
    </row>
    <row r="74" spans="1:8" s="17" customFormat="1" ht="14.25">
      <c r="A74" s="23"/>
      <c r="B74" s="318"/>
      <c r="C74" s="152" t="s">
        <v>156</v>
      </c>
      <c r="D74" s="53">
        <f>'4 Flare1'!$D$74</f>
        <v>0.99</v>
      </c>
      <c r="E74" s="299" t="s">
        <v>234</v>
      </c>
      <c r="F74" s="416"/>
      <c r="G74" s="49"/>
      <c r="H74" s="49"/>
    </row>
    <row r="75" spans="1:8" s="17" customFormat="1" ht="14.25">
      <c r="A75" s="23"/>
      <c r="B75" s="587" t="s">
        <v>223</v>
      </c>
      <c r="C75" s="587"/>
      <c r="D75" s="587"/>
      <c r="E75" s="587"/>
      <c r="F75" s="587"/>
      <c r="G75" s="587"/>
      <c r="H75" s="55" t="s">
        <v>110</v>
      </c>
    </row>
    <row r="76" spans="1:8" s="17" customFormat="1" ht="14.25">
      <c r="A76" s="23"/>
      <c r="B76" s="587"/>
      <c r="C76" s="587"/>
      <c r="D76" s="587"/>
      <c r="E76" s="587"/>
      <c r="F76" s="587"/>
      <c r="G76" s="587"/>
      <c r="H76" s="55" t="s">
        <v>110</v>
      </c>
    </row>
    <row r="77" spans="1:8" ht="14.25">
      <c r="B77" s="318"/>
      <c r="C77" s="9" t="s">
        <v>173</v>
      </c>
      <c r="D77" s="313">
        <f>'2 Gas Data'!I10</f>
        <v>1.0156311215023474E-3</v>
      </c>
      <c r="E77" s="299" t="s">
        <v>284</v>
      </c>
      <c r="F77" s="48"/>
      <c r="G77" s="413"/>
    </row>
    <row r="78" spans="1:8" ht="14.25">
      <c r="B78" s="580" t="s">
        <v>224</v>
      </c>
      <c r="C78" s="580"/>
      <c r="D78" s="580"/>
      <c r="E78" s="580"/>
      <c r="F78" s="580"/>
      <c r="G78" s="580"/>
      <c r="H78" s="55" t="s">
        <v>110</v>
      </c>
    </row>
    <row r="79" spans="1:8" ht="14.25">
      <c r="B79" s="580"/>
      <c r="C79" s="580"/>
      <c r="D79" s="580"/>
      <c r="E79" s="580"/>
      <c r="F79" s="580"/>
      <c r="G79" s="580"/>
      <c r="H79" s="55" t="s">
        <v>110</v>
      </c>
    </row>
    <row r="80" spans="1:8" ht="14.25">
      <c r="B80" s="318"/>
      <c r="C80" s="150" t="s">
        <v>177</v>
      </c>
      <c r="D80" s="151">
        <f>'2 Gas Data'!$I$11</f>
        <v>2980</v>
      </c>
      <c r="E80" s="299" t="s">
        <v>284</v>
      </c>
      <c r="F80" s="48"/>
      <c r="G80" s="413"/>
    </row>
    <row r="81" spans="1:10" ht="14.25">
      <c r="B81" s="318"/>
      <c r="C81" s="150" t="s">
        <v>178</v>
      </c>
      <c r="D81" s="151">
        <f>'2 Gas Data'!$I$12</f>
        <v>144</v>
      </c>
      <c r="E81" s="299" t="s">
        <v>284</v>
      </c>
      <c r="F81" s="48"/>
      <c r="G81" s="413"/>
    </row>
    <row r="82" spans="1:10" ht="14.25">
      <c r="B82" s="318"/>
      <c r="C82" s="150" t="s">
        <v>179</v>
      </c>
      <c r="D82" s="151">
        <f>'2 Gas Data'!$I$13</f>
        <v>986</v>
      </c>
      <c r="E82" s="299" t="s">
        <v>284</v>
      </c>
      <c r="F82" s="48"/>
      <c r="G82" s="413"/>
    </row>
    <row r="83" spans="1:10" ht="14.25">
      <c r="B83" s="318"/>
      <c r="C83" s="150" t="s">
        <v>180</v>
      </c>
      <c r="D83" s="151">
        <f>'2 Gas Data'!$I$14</f>
        <v>165</v>
      </c>
      <c r="E83" s="299" t="s">
        <v>284</v>
      </c>
      <c r="F83" s="48"/>
      <c r="G83" s="413"/>
    </row>
    <row r="84" spans="1:10" ht="14.25">
      <c r="B84" s="318"/>
      <c r="C84" s="150" t="s">
        <v>181</v>
      </c>
      <c r="D84" s="151">
        <f>'2 Gas Data'!$I$15</f>
        <v>2570</v>
      </c>
      <c r="E84" s="299" t="s">
        <v>284</v>
      </c>
      <c r="F84" s="48"/>
      <c r="G84" s="413"/>
    </row>
    <row r="85" spans="1:10" ht="14.25">
      <c r="B85" s="4"/>
      <c r="C85" s="152" t="s">
        <v>182</v>
      </c>
      <c r="D85" s="10">
        <f>'2 Gas Data'!$B$7</f>
        <v>1092.953013546987</v>
      </c>
      <c r="E85" s="299" t="s">
        <v>284</v>
      </c>
      <c r="F85" s="431"/>
      <c r="G85" s="79"/>
    </row>
    <row r="86" spans="1:10" ht="14.25">
      <c r="B86" s="586" t="s">
        <v>224</v>
      </c>
      <c r="C86" s="586"/>
      <c r="D86" s="586"/>
      <c r="E86" s="586"/>
      <c r="F86" s="586"/>
      <c r="G86" s="586"/>
      <c r="H86" s="55" t="s">
        <v>110</v>
      </c>
      <c r="I86" s="235"/>
      <c r="J86" s="235"/>
    </row>
    <row r="87" spans="1:10" ht="14.25">
      <c r="B87" s="586"/>
      <c r="C87" s="586"/>
      <c r="D87" s="586"/>
      <c r="E87" s="586"/>
      <c r="F87" s="586"/>
      <c r="G87" s="586"/>
      <c r="H87" s="55" t="s">
        <v>110</v>
      </c>
      <c r="I87" s="235"/>
      <c r="J87" s="235"/>
    </row>
    <row r="88" spans="1:10" s="166" customFormat="1" ht="6">
      <c r="A88" s="397"/>
      <c r="B88" s="167"/>
      <c r="C88" s="167"/>
      <c r="D88" s="167"/>
      <c r="E88" s="167"/>
      <c r="F88" s="167"/>
      <c r="G88" s="167"/>
      <c r="H88" s="168"/>
      <c r="I88" s="169"/>
      <c r="J88" s="169"/>
    </row>
    <row r="89" spans="1:10">
      <c r="B89" s="46" t="s">
        <v>32</v>
      </c>
      <c r="C89" s="46"/>
      <c r="D89" s="46"/>
      <c r="E89" s="47"/>
      <c r="F89" s="47"/>
      <c r="G89" s="46"/>
    </row>
    <row r="90" spans="1:10" ht="12" customHeight="1">
      <c r="B90" s="565" t="s">
        <v>236</v>
      </c>
      <c r="C90" s="565"/>
      <c r="D90" s="565"/>
      <c r="E90" s="565"/>
      <c r="F90" s="565"/>
      <c r="G90" s="565"/>
      <c r="H90" s="55" t="s">
        <v>110</v>
      </c>
    </row>
    <row r="91" spans="1:10">
      <c r="B91" s="565"/>
      <c r="C91" s="565"/>
      <c r="D91" s="565"/>
      <c r="E91" s="565"/>
      <c r="F91" s="565"/>
      <c r="G91" s="565"/>
    </row>
    <row r="92" spans="1:10" ht="12" customHeight="1">
      <c r="B92" s="565"/>
      <c r="C92" s="565"/>
      <c r="D92" s="565"/>
      <c r="E92" s="565"/>
      <c r="F92" s="565"/>
      <c r="G92" s="565"/>
    </row>
    <row r="93" spans="1:10" ht="12" customHeight="1">
      <c r="B93" s="565"/>
      <c r="C93" s="565"/>
      <c r="D93" s="565"/>
      <c r="E93" s="565"/>
      <c r="F93" s="565"/>
      <c r="G93" s="565"/>
    </row>
    <row r="94" spans="1:10" ht="13.9" customHeight="1">
      <c r="B94" s="565" t="s">
        <v>237</v>
      </c>
      <c r="C94" s="565"/>
      <c r="D94" s="565"/>
      <c r="E94" s="565"/>
      <c r="F94" s="565"/>
      <c r="G94" s="565"/>
      <c r="H94" s="55" t="s">
        <v>110</v>
      </c>
    </row>
    <row r="95" spans="1:10" s="324" customFormat="1" ht="14.25">
      <c r="A95" s="81"/>
      <c r="B95" s="566" t="s">
        <v>366</v>
      </c>
      <c r="C95" s="566"/>
      <c r="D95" s="566"/>
      <c r="E95" s="566"/>
      <c r="F95" s="566"/>
      <c r="G95" s="566"/>
      <c r="H95" s="55" t="s">
        <v>110</v>
      </c>
    </row>
    <row r="96" spans="1:10" s="324" customFormat="1">
      <c r="A96" s="81"/>
      <c r="B96" s="566"/>
      <c r="C96" s="566"/>
      <c r="D96" s="566"/>
      <c r="E96" s="566"/>
      <c r="F96" s="566"/>
      <c r="G96" s="566"/>
    </row>
    <row r="97" spans="1:8" s="324" customFormat="1">
      <c r="A97" s="81"/>
      <c r="B97" s="566"/>
      <c r="C97" s="566"/>
      <c r="D97" s="566"/>
      <c r="E97" s="566"/>
      <c r="F97" s="566"/>
      <c r="G97" s="566"/>
    </row>
    <row r="98" spans="1:8" ht="13.9" customHeight="1">
      <c r="B98" s="566" t="s">
        <v>355</v>
      </c>
      <c r="C98" s="565"/>
      <c r="D98" s="565"/>
      <c r="E98" s="565"/>
      <c r="F98" s="565"/>
      <c r="G98" s="565"/>
      <c r="H98" s="55" t="s">
        <v>110</v>
      </c>
    </row>
    <row r="99" spans="1:8">
      <c r="B99" s="565"/>
      <c r="C99" s="565"/>
      <c r="D99" s="565"/>
      <c r="E99" s="565"/>
      <c r="F99" s="565"/>
      <c r="G99" s="565"/>
    </row>
    <row r="100" spans="1:8">
      <c r="B100" s="565"/>
      <c r="C100" s="565"/>
      <c r="D100" s="565"/>
      <c r="E100" s="565"/>
      <c r="F100" s="565"/>
      <c r="G100" s="565"/>
    </row>
    <row r="101" spans="1:8">
      <c r="B101" s="565"/>
      <c r="C101" s="565"/>
      <c r="D101" s="565"/>
      <c r="E101" s="565"/>
      <c r="F101" s="565"/>
      <c r="G101" s="565"/>
    </row>
    <row r="102" spans="1:8" ht="14.25">
      <c r="B102" s="566" t="s">
        <v>357</v>
      </c>
      <c r="C102" s="565"/>
      <c r="D102" s="565"/>
      <c r="E102" s="565"/>
      <c r="F102" s="565"/>
      <c r="G102" s="565"/>
      <c r="H102" s="55" t="s">
        <v>110</v>
      </c>
    </row>
    <row r="103" spans="1:8">
      <c r="B103" s="565"/>
      <c r="C103" s="565"/>
      <c r="D103" s="565"/>
      <c r="E103" s="565"/>
      <c r="F103" s="565"/>
      <c r="G103" s="565"/>
      <c r="H103" s="63"/>
    </row>
    <row r="104" spans="1:8">
      <c r="B104" s="565"/>
      <c r="C104" s="565"/>
      <c r="D104" s="565"/>
      <c r="E104" s="565"/>
      <c r="F104" s="565"/>
      <c r="G104" s="565"/>
      <c r="H104" s="63"/>
    </row>
    <row r="105" spans="1:8">
      <c r="B105" s="565"/>
      <c r="C105" s="565"/>
      <c r="D105" s="565"/>
      <c r="E105" s="565"/>
      <c r="F105" s="565"/>
      <c r="G105" s="565"/>
      <c r="H105" s="63"/>
    </row>
    <row r="106" spans="1:8" ht="14.25">
      <c r="B106" s="582" t="s">
        <v>359</v>
      </c>
      <c r="C106" s="564"/>
      <c r="D106" s="564"/>
      <c r="E106" s="564"/>
      <c r="F106" s="564"/>
      <c r="G106" s="564"/>
      <c r="H106" s="55" t="s">
        <v>110</v>
      </c>
    </row>
    <row r="107" spans="1:8" ht="14.25">
      <c r="B107" s="582" t="s">
        <v>361</v>
      </c>
      <c r="C107" s="564"/>
      <c r="D107" s="564"/>
      <c r="E107" s="564"/>
      <c r="F107" s="564"/>
      <c r="G107" s="564"/>
      <c r="H107" s="55" t="s">
        <v>110</v>
      </c>
    </row>
  </sheetData>
  <mergeCells count="14">
    <mergeCell ref="B106:G106"/>
    <mergeCell ref="B107:G107"/>
    <mergeCell ref="C3:E4"/>
    <mergeCell ref="B63:G64"/>
    <mergeCell ref="B65:G66"/>
    <mergeCell ref="B70:G71"/>
    <mergeCell ref="B75:G76"/>
    <mergeCell ref="B78:G79"/>
    <mergeCell ref="B86:G87"/>
    <mergeCell ref="B90:G93"/>
    <mergeCell ref="B94:G94"/>
    <mergeCell ref="B98:G101"/>
    <mergeCell ref="B102:G105"/>
    <mergeCell ref="B95:G97"/>
  </mergeCells>
  <conditionalFormatting sqref="G8 G25:G30 G32:G53 G55">
    <cfRule type="cellIs" dxfId="131" priority="25" operator="greaterThan">
      <formula>#REF!</formula>
    </cfRule>
    <cfRule type="cellIs" dxfId="130" priority="26" operator="greaterThan">
      <formula>#REF!</formula>
    </cfRule>
  </conditionalFormatting>
  <conditionalFormatting sqref="G17 G19:G23">
    <cfRule type="cellIs" dxfId="129" priority="23" operator="greaterThan">
      <formula>#REF!</formula>
    </cfRule>
    <cfRule type="cellIs" dxfId="128" priority="24" operator="greaterThan">
      <formula>#REF!</formula>
    </cfRule>
  </conditionalFormatting>
  <conditionalFormatting sqref="G57">
    <cfRule type="cellIs" dxfId="127" priority="19" operator="greaterThan">
      <formula>#REF!</formula>
    </cfRule>
    <cfRule type="cellIs" dxfId="126" priority="20" operator="greaterThan">
      <formula>#REF!</formula>
    </cfRule>
  </conditionalFormatting>
  <conditionalFormatting sqref="G23">
    <cfRule type="cellIs" dxfId="125" priority="21" operator="greaterThan">
      <formula>#REF!</formula>
    </cfRule>
    <cfRule type="cellIs" dxfId="124" priority="22" operator="greaterThan">
      <formula>#REF!</formula>
    </cfRule>
  </conditionalFormatting>
  <conditionalFormatting sqref="G11">
    <cfRule type="cellIs" dxfId="123" priority="15" operator="greaterThan">
      <formula>#REF!</formula>
    </cfRule>
    <cfRule type="cellIs" dxfId="122" priority="16" operator="greaterThan">
      <formula>#REF!</formula>
    </cfRule>
  </conditionalFormatting>
  <conditionalFormatting sqref="G12">
    <cfRule type="cellIs" dxfId="121" priority="17" operator="greaterThan">
      <formula>#REF!</formula>
    </cfRule>
    <cfRule type="cellIs" dxfId="120" priority="18" operator="greaterThan">
      <formula>#REF!</formula>
    </cfRule>
  </conditionalFormatting>
  <conditionalFormatting sqref="G18">
    <cfRule type="cellIs" dxfId="119" priority="13" operator="greaterThan">
      <formula>#REF!</formula>
    </cfRule>
    <cfRule type="cellIs" dxfId="118" priority="14" operator="greaterThan">
      <formula>#REF!</formula>
    </cfRule>
  </conditionalFormatting>
  <conditionalFormatting sqref="G24">
    <cfRule type="cellIs" dxfId="117" priority="11" operator="greaterThan">
      <formula>#REF!</formula>
    </cfRule>
    <cfRule type="cellIs" dxfId="116" priority="12" operator="greaterThan">
      <formula>#REF!</formula>
    </cfRule>
  </conditionalFormatting>
  <conditionalFormatting sqref="G56">
    <cfRule type="cellIs" dxfId="115" priority="9" operator="greaterThan">
      <formula>#REF!</formula>
    </cfRule>
    <cfRule type="cellIs" dxfId="114" priority="10" operator="greaterThan">
      <formula>#REF!</formula>
    </cfRule>
  </conditionalFormatting>
  <conditionalFormatting sqref="G58:G59">
    <cfRule type="cellIs" dxfId="113" priority="7" operator="greaterThan">
      <formula>#REF!</formula>
    </cfRule>
    <cfRule type="cellIs" dxfId="112" priority="8" operator="greaterThan">
      <formula>#REF!</formula>
    </cfRule>
  </conditionalFormatting>
  <conditionalFormatting sqref="G14:G16">
    <cfRule type="cellIs" dxfId="111" priority="3" operator="greaterThan">
      <formula>#REF!</formula>
    </cfRule>
    <cfRule type="cellIs" dxfId="110" priority="4" operator="greaterThan">
      <formula>#REF!</formula>
    </cfRule>
  </conditionalFormatting>
  <conditionalFormatting sqref="G54">
    <cfRule type="cellIs" dxfId="109" priority="1" operator="greaterThan">
      <formula>#REF!</formula>
    </cfRule>
    <cfRule type="cellIs" dxfId="108" priority="2" operator="greaterThan">
      <formula>#REF!</formula>
    </cfRule>
  </conditionalFormatting>
  <printOptions horizontalCentered="1"/>
  <pageMargins left="0.75" right="0.75" top="1.6" bottom="1" header="0.75" footer="0.5"/>
  <pageSetup paperSize="119" orientation="portrait" r:id="rId1"/>
  <headerFooter>
    <oddHeader>&amp;C&amp;"-,Bold"Table B-10
LNG Transfer A1: Potential Emissions from Enclosed Ground Flare Burners
Puget Sound Energy – Liquefied Natural Gas Project
Tacoma, Washington&amp;R&amp;8Page &amp;P of &amp;N</oddHeader>
    <oddFooter>&amp;L&amp;6 May 2017  &amp;Z&amp;F  &amp;A&amp;R&amp;9Landau Associates</oddFooter>
  </headerFooter>
  <extLst>
    <ext xmlns:x14="http://schemas.microsoft.com/office/spreadsheetml/2009/9/main" uri="{78C0D931-6437-407d-A8EE-F0AAD7539E65}">
      <x14:conditionalFormattings>
        <x14:conditionalFormatting xmlns:xm="http://schemas.microsoft.com/office/excel/2006/main">
          <x14:cfRule type="cellIs" priority="5" operator="greaterThan" id="{E41080ED-41A6-440F-A978-3EF0BAAAED8F}">
            <xm:f>'7 Flare4'!#REF!</xm:f>
            <x14:dxf>
              <font>
                <condense val="0"/>
                <extend val="0"/>
                <color rgb="FF9C6500"/>
              </font>
              <fill>
                <patternFill>
                  <bgColor rgb="FFFFEB9C"/>
                </patternFill>
              </fill>
            </x14:dxf>
          </x14:cfRule>
          <x14:cfRule type="cellIs" priority="6" operator="greaterThan" id="{AE9812D5-7B23-47DE-A9EE-634B2F96EFBF}">
            <xm:f>'7 Flare4'!#REF!</xm:f>
            <x14:dxf>
              <font>
                <condense val="0"/>
                <extend val="0"/>
                <color rgb="FF9C0006"/>
              </font>
              <fill>
                <patternFill>
                  <bgColor rgb="FFFFC7CE"/>
                </patternFill>
              </fill>
            </x14:dxf>
          </x14:cfRule>
          <xm:sqref>G31:H31 H54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7"/>
  <sheetViews>
    <sheetView topLeftCell="B10" zoomScaleNormal="100" zoomScaleSheetLayoutView="100" zoomScalePageLayoutView="85" workbookViewId="0">
      <selection activeCell="F60" sqref="F60"/>
    </sheetView>
  </sheetViews>
  <sheetFormatPr defaultColWidth="9.140625" defaultRowHeight="12"/>
  <cols>
    <col min="1" max="1" width="0" style="81" hidden="1" customWidth="1"/>
    <col min="2" max="2" width="28" style="38" customWidth="1"/>
    <col min="3" max="3" width="12.140625" style="38" customWidth="1"/>
    <col min="4" max="4" width="10" style="38" bestFit="1" customWidth="1"/>
    <col min="5" max="5" width="1.7109375" style="8" bestFit="1" customWidth="1"/>
    <col min="6" max="6" width="13.85546875" style="8" customWidth="1"/>
    <col min="7" max="7" width="15.5703125" style="38" customWidth="1"/>
    <col min="8" max="8" width="1.28515625" style="17" bestFit="1" customWidth="1"/>
    <col min="9" max="16384" width="9.140625" style="63"/>
  </cols>
  <sheetData>
    <row r="1" spans="1:7">
      <c r="B1" s="161" t="s">
        <v>263</v>
      </c>
      <c r="C1" s="161"/>
      <c r="D1" s="161"/>
      <c r="E1" s="161"/>
      <c r="F1" s="161"/>
      <c r="G1" s="161"/>
    </row>
    <row r="3" spans="1:7" s="17" customFormat="1">
      <c r="A3" s="23"/>
      <c r="B3" s="236"/>
      <c r="C3" s="583" t="s">
        <v>31</v>
      </c>
      <c r="D3" s="583"/>
      <c r="E3" s="583"/>
      <c r="F3" s="244" t="s">
        <v>98</v>
      </c>
      <c r="G3" s="244"/>
    </row>
    <row r="4" spans="1:7" s="17" customFormat="1" ht="14.25">
      <c r="A4" s="23"/>
      <c r="B4" s="238"/>
      <c r="C4" s="584"/>
      <c r="D4" s="584"/>
      <c r="E4" s="584"/>
      <c r="F4" s="245" t="s">
        <v>210</v>
      </c>
      <c r="G4" s="245" t="s">
        <v>211</v>
      </c>
    </row>
    <row r="5" spans="1:7" s="17" customFormat="1" ht="12.75" thickBot="1">
      <c r="A5" s="395" t="s">
        <v>302</v>
      </c>
      <c r="B5" s="418" t="s">
        <v>30</v>
      </c>
      <c r="C5" s="419" t="s">
        <v>168</v>
      </c>
      <c r="D5" s="419"/>
      <c r="E5" s="419"/>
      <c r="F5" s="242" t="s">
        <v>113</v>
      </c>
      <c r="G5" s="242" t="s">
        <v>114</v>
      </c>
    </row>
    <row r="6" spans="1:7" s="17" customFormat="1" ht="12.75" thickTop="1">
      <c r="A6" s="23"/>
      <c r="B6" s="82" t="s">
        <v>77</v>
      </c>
      <c r="C6" s="420"/>
      <c r="D6" s="420"/>
      <c r="E6" s="93"/>
      <c r="F6" s="421"/>
      <c r="G6" s="421"/>
    </row>
    <row r="7" spans="1:7" s="17" customFormat="1" ht="14.25">
      <c r="A7" s="395" t="s">
        <v>300</v>
      </c>
      <c r="B7" s="83" t="s">
        <v>185</v>
      </c>
      <c r="C7" s="122">
        <f>INDEX('4 Flare1'!C:C,MATCH($A7,'4 Flare1'!$A:$A,0))</f>
        <v>7.4509803921568628E-3</v>
      </c>
      <c r="D7" s="122" t="str">
        <f>'4 Flare1'!D7</f>
        <v>lb/MMBtu</v>
      </c>
      <c r="E7" s="243">
        <f>'3 Vapor'!D7</f>
        <v>1</v>
      </c>
      <c r="F7" s="85">
        <f>C7*$D$67</f>
        <v>1.5709150326797386E-2</v>
      </c>
      <c r="G7" s="87">
        <f>C7*$D$67*$D$68/2000</f>
        <v>3.8035780228758173E-3</v>
      </c>
    </row>
    <row r="8" spans="1:7" s="17" customFormat="1" ht="14.25">
      <c r="A8" s="395">
        <v>2025884</v>
      </c>
      <c r="B8" s="83" t="s">
        <v>184</v>
      </c>
      <c r="C8" s="96">
        <f>D72*D73/10^6*2*10^6*D74</f>
        <v>0</v>
      </c>
      <c r="D8" s="97" t="s">
        <v>169</v>
      </c>
      <c r="E8" s="243" t="s">
        <v>212</v>
      </c>
      <c r="F8" s="88">
        <f>C8*$D$69/1000000</f>
        <v>0</v>
      </c>
      <c r="G8" s="88">
        <f>C8*$D$69/1000000*$D$68/2000</f>
        <v>0</v>
      </c>
    </row>
    <row r="9" spans="1:7" s="17" customFormat="1" ht="14.25">
      <c r="A9" s="398" t="s">
        <v>311</v>
      </c>
      <c r="B9" s="83" t="s">
        <v>213</v>
      </c>
      <c r="C9" s="311">
        <v>6.0237154150197626E-2</v>
      </c>
      <c r="D9" s="95" t="s">
        <v>102</v>
      </c>
      <c r="E9" s="246" t="s">
        <v>234</v>
      </c>
      <c r="F9" s="84">
        <f>C9*$D$67</f>
        <v>0.127</v>
      </c>
      <c r="G9" s="85">
        <f>C9*$D$67*$D$68/2000</f>
        <v>3.0749874999999999E-2</v>
      </c>
    </row>
    <row r="10" spans="1:7" s="17" customFormat="1" ht="14.25">
      <c r="A10" s="395" t="s">
        <v>73</v>
      </c>
      <c r="B10" s="83" t="s">
        <v>0</v>
      </c>
      <c r="C10" s="311">
        <v>0.18023715415019761</v>
      </c>
      <c r="D10" s="95" t="s">
        <v>102</v>
      </c>
      <c r="E10" s="246" t="s">
        <v>234</v>
      </c>
      <c r="F10" s="84">
        <f>C10*$D$67</f>
        <v>0.38</v>
      </c>
      <c r="G10" s="85">
        <f>C10*$D$67*$D$68/2000</f>
        <v>9.2007500000000006E-2</v>
      </c>
    </row>
    <row r="11" spans="1:7" s="17" customFormat="1" ht="14.25">
      <c r="A11" s="395" t="s">
        <v>1</v>
      </c>
      <c r="B11" s="83" t="s">
        <v>101</v>
      </c>
      <c r="C11" s="312">
        <f>$D$72*$D$77*(1-$D$74)*10^6</f>
        <v>0.5947535847517752</v>
      </c>
      <c r="D11" s="97" t="s">
        <v>169</v>
      </c>
      <c r="E11" s="243" t="s">
        <v>218</v>
      </c>
      <c r="F11" s="87">
        <f>$C$11*$D$69/1000000</f>
        <v>2.4781399364657299E-3</v>
      </c>
      <c r="G11" s="294">
        <f>C11*$D$69/1000000*$D$68/2000</f>
        <v>6.0001963211676489E-4</v>
      </c>
    </row>
    <row r="12" spans="1:7" s="17" customFormat="1" ht="14.25">
      <c r="A12" s="395" t="s">
        <v>306</v>
      </c>
      <c r="B12" s="98" t="s">
        <v>78</v>
      </c>
      <c r="C12" s="410">
        <f>INDEX('4 Flare1'!C:C,MATCH($A12,'4 Flare1'!$A:$A,0))</f>
        <v>4.9019607843137254E-7</v>
      </c>
      <c r="D12" s="125" t="str">
        <f>'4 Flare1'!D12</f>
        <v>lb/MMBtu</v>
      </c>
      <c r="E12" s="297">
        <f>'3 Vapor'!D12</f>
        <v>1</v>
      </c>
      <c r="F12" s="90">
        <f>$C$12*$D$67</f>
        <v>1.0334967320261438E-6</v>
      </c>
      <c r="G12" s="90">
        <f>C12*$D$67*$D$68/2000</f>
        <v>2.5023539624183005E-7</v>
      </c>
    </row>
    <row r="13" spans="1:7" s="17" customFormat="1">
      <c r="A13" s="395"/>
      <c r="B13" s="101" t="s">
        <v>158</v>
      </c>
      <c r="C13" s="127"/>
      <c r="D13" s="102"/>
      <c r="E13" s="383"/>
      <c r="F13" s="103"/>
      <c r="G13" s="103"/>
    </row>
    <row r="14" spans="1:7" s="17" customFormat="1" ht="14.25">
      <c r="A14" s="395" t="s">
        <v>56</v>
      </c>
      <c r="B14" s="83" t="s">
        <v>9</v>
      </c>
      <c r="C14" s="129">
        <f>INDEX('4 Flare1'!C:C,MATCH($A14,'4 Flare1'!$A:$A,0))</f>
        <v>8.3039215686274504E-6</v>
      </c>
      <c r="D14" s="122" t="str">
        <f>'4 Flare1'!D15</f>
        <v>lb/MMBtu</v>
      </c>
      <c r="E14" s="243" t="s">
        <v>235</v>
      </c>
      <c r="F14" s="90">
        <f>C14*$D$67</f>
        <v>1.7507434640522877E-5</v>
      </c>
      <c r="G14" s="90">
        <f t="shared" ref="G14:G16" si="0">C14*$D$67*$D$68/2000</f>
        <v>4.2389876123366015E-6</v>
      </c>
    </row>
    <row r="15" spans="1:7" s="17" customFormat="1" ht="14.25">
      <c r="A15" s="395" t="s">
        <v>57</v>
      </c>
      <c r="B15" s="83" t="s">
        <v>10</v>
      </c>
      <c r="C15" s="129">
        <f>INDEX('4 Flare1'!C:C,MATCH($A15,'4 Flare1'!$A:$A,0))</f>
        <v>2.647058823529412E-6</v>
      </c>
      <c r="D15" s="122" t="str">
        <f>'4 Flare1'!D16</f>
        <v>lb/MMBtu</v>
      </c>
      <c r="E15" s="243" t="s">
        <v>235</v>
      </c>
      <c r="F15" s="90">
        <f>C15*$D$67</f>
        <v>5.580882352941177E-6</v>
      </c>
      <c r="G15" s="90">
        <f t="shared" si="0"/>
        <v>1.3512711397058824E-6</v>
      </c>
    </row>
    <row r="16" spans="1:7" s="17" customFormat="1" ht="14.25">
      <c r="A16" s="395" t="s">
        <v>153</v>
      </c>
      <c r="B16" s="83" t="s">
        <v>152</v>
      </c>
      <c r="C16" s="129">
        <f>INDEX('4 Flare1'!C:C,MATCH($A16,'4 Flare1'!$A:$A,0))</f>
        <v>3.1372549019607846E-3</v>
      </c>
      <c r="D16" s="122" t="str">
        <f>'4 Flare1'!D17</f>
        <v>lb/MMBtu</v>
      </c>
      <c r="E16" s="243" t="s">
        <v>235</v>
      </c>
      <c r="F16" s="90">
        <f>C16*$D$68</f>
        <v>1.5192156862745099</v>
      </c>
      <c r="G16" s="90">
        <f t="shared" si="0"/>
        <v>1.6015065359477128E-3</v>
      </c>
    </row>
    <row r="17" spans="1:10" s="17" customFormat="1" ht="14.25">
      <c r="A17" s="395" t="s">
        <v>308</v>
      </c>
      <c r="B17" s="83" t="s">
        <v>33</v>
      </c>
      <c r="C17" s="129">
        <f>INDEX('4 Flare1'!C:C,MATCH($A17,'4 Flare1'!$A:$A,0))</f>
        <v>1.9607843137254904E-7</v>
      </c>
      <c r="D17" s="122" t="str">
        <f>'4 Flare1'!D18</f>
        <v>lb/MMBtu</v>
      </c>
      <c r="E17" s="243">
        <v>4</v>
      </c>
      <c r="F17" s="90">
        <f t="shared" ref="F17:F26" si="1">C17*$D$67</f>
        <v>4.1339869281045759E-7</v>
      </c>
      <c r="G17" s="90">
        <f t="shared" ref="G17:G26" si="2">C17*$D$67*$D$68/2000</f>
        <v>1.0009415849673206E-7</v>
      </c>
    </row>
    <row r="18" spans="1:10" s="17" customFormat="1" ht="14.25">
      <c r="A18" s="395" t="s">
        <v>59</v>
      </c>
      <c r="B18" s="83" t="s">
        <v>12</v>
      </c>
      <c r="C18" s="129">
        <f>$D$80/(453.6*10^6)/35.31*10^6/$D$85*(1-$D$74)</f>
        <v>1.702331003508745E-6</v>
      </c>
      <c r="D18" s="122" t="str">
        <f>'4 Flare1'!D19</f>
        <v>lb/MMBtu</v>
      </c>
      <c r="E18" s="243">
        <v>5</v>
      </c>
      <c r="F18" s="90">
        <f t="shared" si="1"/>
        <v>3.5890811990642709E-6</v>
      </c>
      <c r="G18" s="90">
        <f t="shared" si="2"/>
        <v>8.6900628532343656E-7</v>
      </c>
    </row>
    <row r="19" spans="1:10" s="17" customFormat="1" ht="14.25">
      <c r="A19" s="395" t="s">
        <v>307</v>
      </c>
      <c r="B19" s="83" t="s">
        <v>34</v>
      </c>
      <c r="C19" s="129">
        <f>INDEX('4 Flare1'!C:C,MATCH($A19,'4 Flare1'!$A:$A,0))</f>
        <v>1.1764705882352941E-8</v>
      </c>
      <c r="D19" s="122" t="str">
        <f>'4 Flare1'!D20</f>
        <v>lb/MMBtu</v>
      </c>
      <c r="E19" s="246" t="s">
        <v>239</v>
      </c>
      <c r="F19" s="90">
        <f t="shared" si="1"/>
        <v>2.4803921568627451E-8</v>
      </c>
      <c r="G19" s="90">
        <f t="shared" si="2"/>
        <v>6.0056495098039217E-9</v>
      </c>
    </row>
    <row r="20" spans="1:10" s="17" customFormat="1" ht="14.25">
      <c r="A20" s="395" t="s">
        <v>69</v>
      </c>
      <c r="B20" s="83" t="s">
        <v>35</v>
      </c>
      <c r="C20" s="129">
        <f>INDEX('4 Flare1'!C:C,MATCH($A20,'4 Flare1'!$A:$A,0))</f>
        <v>1.0784313725490197E-6</v>
      </c>
      <c r="D20" s="122" t="str">
        <f>'4 Flare1'!D21</f>
        <v>lb/MMBtu</v>
      </c>
      <c r="E20" s="246" t="s">
        <v>239</v>
      </c>
      <c r="F20" s="90">
        <f t="shared" si="1"/>
        <v>2.2736928104575167E-6</v>
      </c>
      <c r="G20" s="90">
        <f t="shared" si="2"/>
        <v>5.5051787173202619E-7</v>
      </c>
    </row>
    <row r="21" spans="1:10" s="17" customFormat="1" ht="14.25">
      <c r="A21" s="395" t="s">
        <v>290</v>
      </c>
      <c r="B21" s="83" t="s">
        <v>80</v>
      </c>
      <c r="C21" s="129">
        <f>INDEX('4 Flare1'!C:C,MATCH($A21,'4 Flare1'!$A:$A,0))</f>
        <v>1.3725490196078432E-6</v>
      </c>
      <c r="D21" s="122" t="str">
        <f>'4 Flare1'!D22</f>
        <v>lb/MMBtu</v>
      </c>
      <c r="E21" s="246" t="s">
        <v>239</v>
      </c>
      <c r="F21" s="90">
        <f t="shared" si="1"/>
        <v>2.8937908496732026E-6</v>
      </c>
      <c r="G21" s="90">
        <f t="shared" si="2"/>
        <v>7.0065910947712416E-7</v>
      </c>
    </row>
    <row r="22" spans="1:10" s="17" customFormat="1" ht="14.25">
      <c r="A22" s="395" t="s">
        <v>70</v>
      </c>
      <c r="B22" s="83" t="s">
        <v>36</v>
      </c>
      <c r="C22" s="129">
        <f>INDEX('4 Flare1'!C:C,MATCH($A22,'4 Flare1'!$A:$A,0))</f>
        <v>8.2352941176470587E-8</v>
      </c>
      <c r="D22" s="122" t="str">
        <f>'4 Flare1'!D23</f>
        <v>lb/MMBtu</v>
      </c>
      <c r="E22" s="246" t="s">
        <v>239</v>
      </c>
      <c r="F22" s="90">
        <f t="shared" si="1"/>
        <v>1.7362745098039216E-7</v>
      </c>
      <c r="G22" s="90">
        <f t="shared" si="2"/>
        <v>4.203954656862745E-8</v>
      </c>
    </row>
    <row r="23" spans="1:10" s="17" customFormat="1" ht="14.25">
      <c r="A23" s="395" t="s">
        <v>299</v>
      </c>
      <c r="B23" s="83" t="s">
        <v>37</v>
      </c>
      <c r="C23" s="129">
        <f>INDEX('4 Flare1'!C:C,MATCH($A23,'4 Flare1'!$A:$A,0))</f>
        <v>8.3333333333333333E-7</v>
      </c>
      <c r="D23" s="122" t="str">
        <f>'4 Flare1'!D24</f>
        <v>lb/MMBtu</v>
      </c>
      <c r="E23" s="246" t="s">
        <v>239</v>
      </c>
      <c r="F23" s="90">
        <f t="shared" si="1"/>
        <v>1.7569444444444445E-6</v>
      </c>
      <c r="G23" s="90">
        <f t="shared" si="2"/>
        <v>4.2540017361111111E-7</v>
      </c>
    </row>
    <row r="24" spans="1:10" s="17" customFormat="1" ht="14.25">
      <c r="A24" s="395" t="s">
        <v>150</v>
      </c>
      <c r="B24" s="83" t="s">
        <v>19</v>
      </c>
      <c r="C24" s="129">
        <f>$D$81/(453.6*10^6)/35.31*10^6/$D$85*(1-$D$74)</f>
        <v>8.2260290102436012E-8</v>
      </c>
      <c r="D24" s="122" t="str">
        <f>'4 Flare1'!D25</f>
        <v>lb/MMBtu</v>
      </c>
      <c r="E24" s="246" t="s">
        <v>240</v>
      </c>
      <c r="F24" s="90">
        <f t="shared" si="1"/>
        <v>1.7343211163263593E-7</v>
      </c>
      <c r="G24" s="90">
        <f t="shared" si="2"/>
        <v>4.1992250029051976E-8</v>
      </c>
    </row>
    <row r="25" spans="1:10" s="17" customFormat="1" ht="14.25">
      <c r="A25" s="395" t="s">
        <v>65</v>
      </c>
      <c r="B25" s="83" t="s">
        <v>22</v>
      </c>
      <c r="C25" s="129">
        <f>INDEX('4 Flare1'!C:C,MATCH($A25,'4 Flare1'!$A:$A,0))</f>
        <v>7.3529411764705876E-5</v>
      </c>
      <c r="D25" s="122" t="str">
        <f>'4 Flare1'!D26</f>
        <v>lb/MMBtu</v>
      </c>
      <c r="E25" s="243">
        <v>5</v>
      </c>
      <c r="F25" s="90">
        <f t="shared" si="1"/>
        <v>1.5502450980392157E-4</v>
      </c>
      <c r="G25" s="90">
        <f t="shared" si="2"/>
        <v>3.7535309436274515E-5</v>
      </c>
    </row>
    <row r="26" spans="1:10" s="17" customFormat="1" ht="14.25">
      <c r="A26" s="395" t="s">
        <v>154</v>
      </c>
      <c r="B26" s="83" t="s">
        <v>23</v>
      </c>
      <c r="C26" s="129">
        <f>INDEX('4 Flare1'!C:C,MATCH($A26,'4 Flare1'!$A:$A,0))</f>
        <v>1.7647058823529412E-3</v>
      </c>
      <c r="D26" s="122" t="str">
        <f>'4 Flare1'!D27</f>
        <v>lb/MMBtu</v>
      </c>
      <c r="E26" s="246" t="s">
        <v>240</v>
      </c>
      <c r="F26" s="90">
        <f t="shared" si="1"/>
        <v>3.7205882352941179E-3</v>
      </c>
      <c r="G26" s="90">
        <f t="shared" si="2"/>
        <v>9.008474264705882E-4</v>
      </c>
    </row>
    <row r="27" spans="1:10" s="17" customFormat="1" ht="14.25" hidden="1">
      <c r="A27" s="395"/>
      <c r="B27" s="83"/>
      <c r="C27" s="129"/>
      <c r="D27" s="122"/>
      <c r="E27" s="246"/>
      <c r="F27" s="90"/>
      <c r="G27" s="90"/>
    </row>
    <row r="28" spans="1:10" s="17" customFormat="1" ht="14.25">
      <c r="A28" s="395" t="s">
        <v>306</v>
      </c>
      <c r="B28" s="83" t="s">
        <v>81</v>
      </c>
      <c r="C28" s="129">
        <f>INDEX('4 Flare1'!C:C,MATCH($A28,'4 Flare1'!$A:$A,0))</f>
        <v>4.9019607843137254E-7</v>
      </c>
      <c r="D28" s="122" t="str">
        <f>'4 Flare1'!D28</f>
        <v>lb/MMBtu</v>
      </c>
      <c r="E28" s="243">
        <v>1</v>
      </c>
      <c r="F28" s="90">
        <f>C28*$D$67</f>
        <v>1.0334967320261438E-6</v>
      </c>
      <c r="G28" s="90">
        <f>C28*$D$67*$D$68/2000</f>
        <v>2.5023539624183005E-7</v>
      </c>
    </row>
    <row r="29" spans="1:10" s="17" customFormat="1" ht="14.25">
      <c r="A29" s="395" t="s">
        <v>305</v>
      </c>
      <c r="B29" s="83" t="s">
        <v>38</v>
      </c>
      <c r="C29" s="129">
        <f>INDEX('4 Flare1'!C:C,MATCH($A29,'4 Flare1'!$A:$A,0))</f>
        <v>3.7254901960784315E-7</v>
      </c>
      <c r="D29" s="122" t="str">
        <f>'4 Flare1'!D29</f>
        <v>lb/MMBtu</v>
      </c>
      <c r="E29" s="246" t="s">
        <v>239</v>
      </c>
      <c r="F29" s="90">
        <f>C29*$D$67</f>
        <v>7.8545751633986931E-7</v>
      </c>
      <c r="G29" s="90">
        <f>C29*$D$67*$D$68/2000</f>
        <v>1.9017890114379084E-7</v>
      </c>
    </row>
    <row r="30" spans="1:10" s="17" customFormat="1" ht="14.25">
      <c r="A30" s="395" t="s">
        <v>71</v>
      </c>
      <c r="B30" s="83" t="s">
        <v>39</v>
      </c>
      <c r="C30" s="129">
        <f>INDEX('4 Flare1'!C:C,MATCH($A30,'4 Flare1'!$A:$A,0))</f>
        <v>2.5490196078431371E-7</v>
      </c>
      <c r="D30" s="122" t="str">
        <f>'4 Flare1'!D30</f>
        <v>lb/MMBtu</v>
      </c>
      <c r="E30" s="246" t="s">
        <v>239</v>
      </c>
      <c r="F30" s="90">
        <f>C30*$D$67</f>
        <v>5.3741830065359479E-7</v>
      </c>
      <c r="G30" s="90">
        <f>C30*$D$67*$D$68/2000</f>
        <v>1.3012240604575163E-7</v>
      </c>
    </row>
    <row r="31" spans="1:10" s="17" customFormat="1" ht="14.25">
      <c r="A31" s="395" t="s">
        <v>67</v>
      </c>
      <c r="B31" s="83" t="s">
        <v>24</v>
      </c>
      <c r="C31" s="129">
        <f>C51</f>
        <v>5.9803921568627444E-7</v>
      </c>
      <c r="D31" s="122" t="str">
        <f>'4 Flare1'!D54</f>
        <v>lb/MMBtu</v>
      </c>
      <c r="E31" s="246" t="str">
        <f>E51</f>
        <v>5</v>
      </c>
      <c r="F31" s="90">
        <f>F51</f>
        <v>1.2608660130718952E-6</v>
      </c>
      <c r="G31" s="90">
        <f>G51</f>
        <v>3.0528718341503265E-7</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47" si="3">C32*$D$67</f>
        <v>4.3406862745098035E-6</v>
      </c>
      <c r="G32" s="90">
        <f t="shared" ref="G32:G47" si="4">C32*$D$67*$D$68/2000</f>
        <v>1.0509886642156863E-6</v>
      </c>
      <c r="H32" s="210"/>
    </row>
    <row r="33" spans="1:7" s="17" customFormat="1" ht="14.25">
      <c r="A33" s="395" t="s">
        <v>296</v>
      </c>
      <c r="B33" s="83" t="s">
        <v>82</v>
      </c>
      <c r="C33" s="104">
        <f>SUM(C34:C53)</f>
        <v>1.8609803921568625E-6</v>
      </c>
      <c r="D33" s="122" t="str">
        <f>'4 Flare1'!D33</f>
        <v>lb/MMBtu</v>
      </c>
      <c r="E33" s="246" t="s">
        <v>240</v>
      </c>
      <c r="F33" s="90">
        <f t="shared" si="3"/>
        <v>3.9235669934640521E-6</v>
      </c>
      <c r="G33" s="90">
        <f t="shared" si="4"/>
        <v>9.4999365829248353E-7</v>
      </c>
    </row>
    <row r="34" spans="1:7" s="17" customFormat="1" ht="14.25">
      <c r="A34" s="395" t="s">
        <v>285</v>
      </c>
      <c r="B34" s="105" t="s">
        <v>4</v>
      </c>
      <c r="C34" s="411">
        <f>INDEX('4 Flare1'!C:C,MATCH($A34,'4 Flare1'!$A:$A,0))</f>
        <v>2.3529411764705881E-8</v>
      </c>
      <c r="D34" s="131" t="str">
        <f>'4 Flare1'!D34</f>
        <v>lb/MMBtu</v>
      </c>
      <c r="E34" s="246" t="s">
        <v>240</v>
      </c>
      <c r="F34" s="107">
        <f t="shared" si="3"/>
        <v>4.9607843137254902E-8</v>
      </c>
      <c r="G34" s="107">
        <f t="shared" si="4"/>
        <v>1.2011299019607843E-8</v>
      </c>
    </row>
    <row r="35" spans="1:7" s="17" customFormat="1" ht="14.25">
      <c r="A35" s="395" t="s">
        <v>54</v>
      </c>
      <c r="B35" s="105" t="s">
        <v>5</v>
      </c>
      <c r="C35" s="411">
        <f>INDEX('4 Flare1'!C:C,MATCH($A35,'4 Flare1'!$A:$A,0))</f>
        <v>1.7647058823529412E-9</v>
      </c>
      <c r="D35" s="131" t="str">
        <f>'4 Flare1'!D35</f>
        <v>lb/MMBtu</v>
      </c>
      <c r="E35" s="246" t="s">
        <v>240</v>
      </c>
      <c r="F35" s="107">
        <f t="shared" si="3"/>
        <v>3.7205882352941177E-9</v>
      </c>
      <c r="G35" s="107">
        <f t="shared" si="4"/>
        <v>9.0084742647058822E-10</v>
      </c>
    </row>
    <row r="36" spans="1:7" s="17" customFormat="1" ht="14.25">
      <c r="A36" s="395" t="s">
        <v>55</v>
      </c>
      <c r="B36" s="105" t="s">
        <v>6</v>
      </c>
      <c r="C36" s="411">
        <f>INDEX('4 Flare1'!C:C,MATCH($A36,'4 Flare1'!$A:$A,0))</f>
        <v>1.5686274509803922E-8</v>
      </c>
      <c r="D36" s="131" t="str">
        <f>'4 Flare1'!D36</f>
        <v>lb/MMBtu</v>
      </c>
      <c r="E36" s="246" t="s">
        <v>240</v>
      </c>
      <c r="F36" s="107">
        <f t="shared" si="3"/>
        <v>3.3071895424836604E-8</v>
      </c>
      <c r="G36" s="107">
        <f t="shared" si="4"/>
        <v>8.0075326797385628E-9</v>
      </c>
    </row>
    <row r="37" spans="1:7" s="17" customFormat="1" ht="14.25">
      <c r="A37" s="395" t="s">
        <v>287</v>
      </c>
      <c r="B37" s="105" t="s">
        <v>7</v>
      </c>
      <c r="C37" s="411">
        <f>INDEX('4 Flare1'!C:C,MATCH($A37,'4 Flare1'!$A:$A,0))</f>
        <v>1.7647058823529412E-9</v>
      </c>
      <c r="D37" s="131" t="str">
        <f>'4 Flare1'!D37</f>
        <v>lb/MMBtu</v>
      </c>
      <c r="E37" s="246" t="s">
        <v>240</v>
      </c>
      <c r="F37" s="107">
        <f t="shared" si="3"/>
        <v>3.7205882352941177E-9</v>
      </c>
      <c r="G37" s="107">
        <f t="shared" si="4"/>
        <v>9.0084742647058822E-10</v>
      </c>
    </row>
    <row r="38" spans="1:7" s="17" customFormat="1" ht="14.25">
      <c r="A38" s="395" t="s">
        <v>286</v>
      </c>
      <c r="B38" s="105" t="s">
        <v>8</v>
      </c>
      <c r="C38" s="411">
        <f>INDEX('4 Flare1'!C:C,MATCH($A38,'4 Flare1'!$A:$A,0))</f>
        <v>1.7647058823529412E-9</v>
      </c>
      <c r="D38" s="131" t="str">
        <f>'4 Flare1'!D38</f>
        <v>lb/MMBtu</v>
      </c>
      <c r="E38" s="246" t="s">
        <v>240</v>
      </c>
      <c r="F38" s="107">
        <f t="shared" si="3"/>
        <v>3.7205882352941177E-9</v>
      </c>
      <c r="G38" s="107">
        <f t="shared" si="4"/>
        <v>9.0084742647058822E-10</v>
      </c>
    </row>
    <row r="39" spans="1:7" s="17" customFormat="1" ht="14.25">
      <c r="A39" s="395" t="s">
        <v>288</v>
      </c>
      <c r="B39" s="105" t="s">
        <v>11</v>
      </c>
      <c r="C39" s="411">
        <f>INDEX('4 Flare1'!C:C,MATCH($A39,'4 Flare1'!$A:$A,0))</f>
        <v>2.3529411764705881E-9</v>
      </c>
      <c r="D39" s="131" t="str">
        <f>'4 Flare1'!D39</f>
        <v>lb/MMBtu</v>
      </c>
      <c r="E39" s="246" t="s">
        <v>240</v>
      </c>
      <c r="F39" s="107">
        <f t="shared" si="3"/>
        <v>4.9607843137254902E-9</v>
      </c>
      <c r="G39" s="107">
        <f t="shared" si="4"/>
        <v>1.2011299019607844E-9</v>
      </c>
    </row>
    <row r="40" spans="1:7" s="17" customFormat="1" ht="14.25">
      <c r="A40" s="395" t="s">
        <v>58</v>
      </c>
      <c r="B40" s="105" t="s">
        <v>83</v>
      </c>
      <c r="C40" s="411">
        <f>INDEX('4 Flare1'!C:C,MATCH($A40,'4 Flare1'!$A:$A,0))</f>
        <v>1.7647058823529412E-9</v>
      </c>
      <c r="D40" s="131" t="str">
        <f>'4 Flare1'!D40</f>
        <v>lb/MMBtu</v>
      </c>
      <c r="E40" s="246" t="s">
        <v>240</v>
      </c>
      <c r="F40" s="107">
        <f t="shared" si="3"/>
        <v>3.7205882352941177E-9</v>
      </c>
      <c r="G40" s="107">
        <f t="shared" si="4"/>
        <v>9.0084742647058822E-10</v>
      </c>
    </row>
    <row r="41" spans="1:7" s="17" customFormat="1" ht="14.25">
      <c r="A41" s="395" t="s">
        <v>60</v>
      </c>
      <c r="B41" s="105" t="s">
        <v>13</v>
      </c>
      <c r="C41" s="411">
        <f>INDEX('4 Flare1'!C:C,MATCH($A41,'4 Flare1'!$A:$A,0))</f>
        <v>1.176470588235294E-9</v>
      </c>
      <c r="D41" s="131" t="str">
        <f>'4 Flare1'!D41</f>
        <v>lb/MMBtu</v>
      </c>
      <c r="E41" s="246" t="s">
        <v>240</v>
      </c>
      <c r="F41" s="107">
        <f t="shared" si="3"/>
        <v>2.4803921568627451E-9</v>
      </c>
      <c r="G41" s="107">
        <f t="shared" si="4"/>
        <v>6.0056495098039221E-10</v>
      </c>
    </row>
    <row r="42" spans="1:7" s="17" customFormat="1" ht="14.25">
      <c r="A42" s="395" t="s">
        <v>61</v>
      </c>
      <c r="B42" s="105" t="s">
        <v>14</v>
      </c>
      <c r="C42" s="411">
        <f>INDEX('4 Flare1'!C:C,MATCH($A42,'4 Flare1'!$A:$A,0))</f>
        <v>1.7647058823529412E-9</v>
      </c>
      <c r="D42" s="131" t="str">
        <f>'4 Flare1'!D42</f>
        <v>lb/MMBtu</v>
      </c>
      <c r="E42" s="246" t="s">
        <v>240</v>
      </c>
      <c r="F42" s="107">
        <f t="shared" si="3"/>
        <v>3.7205882352941177E-9</v>
      </c>
      <c r="G42" s="107">
        <f t="shared" si="4"/>
        <v>9.0084742647058822E-10</v>
      </c>
    </row>
    <row r="43" spans="1:7" s="17" customFormat="1" ht="14.25">
      <c r="A43" s="395" t="s">
        <v>289</v>
      </c>
      <c r="B43" s="105" t="s">
        <v>15</v>
      </c>
      <c r="C43" s="411">
        <f>INDEX('4 Flare1'!C:C,MATCH($A43,'4 Flare1'!$A:$A,0))</f>
        <v>1.176470588235294E-9</v>
      </c>
      <c r="D43" s="131" t="str">
        <f>'4 Flare1'!D43</f>
        <v>lb/MMBtu</v>
      </c>
      <c r="E43" s="246" t="s">
        <v>240</v>
      </c>
      <c r="F43" s="107">
        <f t="shared" si="3"/>
        <v>2.4803921568627451E-9</v>
      </c>
      <c r="G43" s="107">
        <f t="shared" si="4"/>
        <v>6.0056495098039221E-10</v>
      </c>
    </row>
    <row r="44" spans="1:7" s="17" customFormat="1" ht="14.25">
      <c r="A44" s="395" t="s">
        <v>62</v>
      </c>
      <c r="B44" s="105" t="s">
        <v>16</v>
      </c>
      <c r="C44" s="411">
        <f>INDEX('4 Flare1'!C:C,MATCH($A44,'4 Flare1'!$A:$A,0))</f>
        <v>1.7647058823529412E-9</v>
      </c>
      <c r="D44" s="131" t="str">
        <f>'4 Flare1'!D44</f>
        <v>lb/MMBtu</v>
      </c>
      <c r="E44" s="246" t="s">
        <v>240</v>
      </c>
      <c r="F44" s="107">
        <f t="shared" si="3"/>
        <v>3.7205882352941177E-9</v>
      </c>
      <c r="G44" s="107">
        <f t="shared" si="4"/>
        <v>9.0084742647058822E-10</v>
      </c>
    </row>
    <row r="45" spans="1:7" s="17" customFormat="1" ht="14.25">
      <c r="A45" s="395" t="s">
        <v>63</v>
      </c>
      <c r="B45" s="109" t="s">
        <v>17</v>
      </c>
      <c r="C45" s="411">
        <f>INDEX('4 Flare1'!C:C,MATCH($A45,'4 Flare1'!$A:$A,0))</f>
        <v>1.7647058823529412E-9</v>
      </c>
      <c r="D45" s="131" t="str">
        <f>'4 Flare1'!D45</f>
        <v>lb/MMBtu</v>
      </c>
      <c r="E45" s="246" t="s">
        <v>240</v>
      </c>
      <c r="F45" s="107">
        <f t="shared" si="3"/>
        <v>3.7205882352941177E-9</v>
      </c>
      <c r="G45" s="107">
        <f t="shared" si="4"/>
        <v>9.0084742647058822E-10</v>
      </c>
    </row>
    <row r="46" spans="1:7" s="17" customFormat="1" ht="14.25">
      <c r="A46" s="395" t="s">
        <v>64</v>
      </c>
      <c r="B46" s="109" t="s">
        <v>84</v>
      </c>
      <c r="C46" s="411">
        <f>INDEX('4 Flare1'!C:C,MATCH($A46,'4 Flare1'!$A:$A,0))</f>
        <v>1.176470588235294E-9</v>
      </c>
      <c r="D46" s="131" t="str">
        <f>'4 Flare1'!D46</f>
        <v>lb/MMBtu</v>
      </c>
      <c r="E46" s="246" t="s">
        <v>240</v>
      </c>
      <c r="F46" s="107">
        <f t="shared" si="3"/>
        <v>2.4803921568627451E-9</v>
      </c>
      <c r="G46" s="107">
        <f t="shared" si="4"/>
        <v>6.0056495098039221E-10</v>
      </c>
    </row>
    <row r="47" spans="1:7" s="17" customFormat="1" ht="14.25">
      <c r="A47" s="395" t="s">
        <v>151</v>
      </c>
      <c r="B47" s="109" t="s">
        <v>283</v>
      </c>
      <c r="C47" s="411">
        <f>INDEX('4 Flare1'!C:C,MATCH($A47,'4 Flare1'!$A:$A,0))</f>
        <v>1.176470588235294E-6</v>
      </c>
      <c r="D47" s="131" t="str">
        <f>'4 Flare1'!D47</f>
        <v>lb/MMBtu</v>
      </c>
      <c r="E47" s="246" t="s">
        <v>240</v>
      </c>
      <c r="F47" s="107">
        <f t="shared" si="3"/>
        <v>2.4803921568627449E-6</v>
      </c>
      <c r="G47" s="107">
        <f t="shared" si="4"/>
        <v>6.0056495098039218E-7</v>
      </c>
    </row>
    <row r="48" spans="1:7" ht="14.25">
      <c r="A48" s="396" t="s">
        <v>291</v>
      </c>
      <c r="B48" s="109" t="s">
        <v>20</v>
      </c>
      <c r="C48" s="411">
        <f>INDEX('4 Flare1'!C:C,MATCH($A48,'4 Flare1'!$A:$A,0))</f>
        <v>2.9411764705882352E-9</v>
      </c>
      <c r="D48" s="131" t="str">
        <f>'4 Flare1'!D48</f>
        <v>lb/MMBtu</v>
      </c>
      <c r="E48" s="246" t="s">
        <v>240</v>
      </c>
      <c r="F48" s="107">
        <f t="shared" ref="F48:F59" si="5">C48*$D$67</f>
        <v>6.2009803921568628E-9</v>
      </c>
      <c r="G48" s="107">
        <f t="shared" ref="G48:G59" si="6">C48*$D$67*$D$68/2000</f>
        <v>1.5014123774509804E-9</v>
      </c>
    </row>
    <row r="49" spans="1:10" ht="14.25">
      <c r="A49" s="396" t="s">
        <v>292</v>
      </c>
      <c r="B49" s="109" t="s">
        <v>21</v>
      </c>
      <c r="C49" s="411">
        <f>INDEX('4 Flare1'!C:C,MATCH($A49,'4 Flare1'!$A:$A,0))</f>
        <v>2.7450980392156863E-9</v>
      </c>
      <c r="D49" s="131" t="str">
        <f>'4 Flare1'!D49</f>
        <v>lb/MMBtu</v>
      </c>
      <c r="E49" s="246" t="s">
        <v>240</v>
      </c>
      <c r="F49" s="107">
        <f t="shared" si="5"/>
        <v>5.787581699346405E-9</v>
      </c>
      <c r="G49" s="107">
        <f t="shared" si="6"/>
        <v>1.4013182189542483E-9</v>
      </c>
    </row>
    <row r="50" spans="1:10" ht="14.25">
      <c r="A50" s="396" t="s">
        <v>66</v>
      </c>
      <c r="B50" s="109" t="s">
        <v>52</v>
      </c>
      <c r="C50" s="411">
        <f>INDEX('4 Flare1'!C:C,MATCH($A50,'4 Flare1'!$A:$A,0))</f>
        <v>1.7647058823529412E-9</v>
      </c>
      <c r="D50" s="131" t="str">
        <f>'4 Flare1'!D50</f>
        <v>lb/MMBtu</v>
      </c>
      <c r="E50" s="246" t="s">
        <v>240</v>
      </c>
      <c r="F50" s="107">
        <f t="shared" si="5"/>
        <v>3.7205882352941177E-9</v>
      </c>
      <c r="G50" s="107">
        <f t="shared" si="6"/>
        <v>9.0084742647058822E-10</v>
      </c>
    </row>
    <row r="51" spans="1:10" ht="14.25">
      <c r="A51" s="396" t="s">
        <v>67</v>
      </c>
      <c r="B51" s="109" t="s">
        <v>24</v>
      </c>
      <c r="C51" s="411">
        <f>INDEX('4 Flare1'!C:C,MATCH($A51,'4 Flare1'!$A:$A,0))</f>
        <v>5.9803921568627444E-7</v>
      </c>
      <c r="D51" s="131" t="str">
        <f>'4 Flare1'!D51</f>
        <v>lb/MMBtu</v>
      </c>
      <c r="E51" s="246" t="s">
        <v>240</v>
      </c>
      <c r="F51" s="107">
        <f t="shared" si="5"/>
        <v>1.2608660130718952E-6</v>
      </c>
      <c r="G51" s="107">
        <f t="shared" si="6"/>
        <v>3.0528718341503265E-7</v>
      </c>
    </row>
    <row r="52" spans="1:10" ht="14.25">
      <c r="A52" s="396" t="s">
        <v>294</v>
      </c>
      <c r="B52" s="109" t="s">
        <v>85</v>
      </c>
      <c r="C52" s="411">
        <f>INDEX('4 Flare1'!C:C,MATCH($A52,'4 Flare1'!$A:$A,0))</f>
        <v>1.6666666666666667E-8</v>
      </c>
      <c r="D52" s="131" t="str">
        <f>'4 Flare1'!D52</f>
        <v>lb/MMBtu</v>
      </c>
      <c r="E52" s="246" t="s">
        <v>240</v>
      </c>
      <c r="F52" s="107">
        <f t="shared" si="5"/>
        <v>3.5138888888888894E-8</v>
      </c>
      <c r="G52" s="107">
        <f t="shared" si="6"/>
        <v>8.5080034722222231E-9</v>
      </c>
    </row>
    <row r="53" spans="1:10" ht="14.25">
      <c r="A53" s="396" t="s">
        <v>295</v>
      </c>
      <c r="B53" s="109" t="s">
        <v>26</v>
      </c>
      <c r="C53" s="411">
        <f>INDEX('4 Flare1'!C:C,MATCH($A53,'4 Flare1'!$A:$A,0))</f>
        <v>4.9019607843137263E-9</v>
      </c>
      <c r="D53" s="131" t="str">
        <f>'4 Flare1'!D53</f>
        <v>lb/MMBtu</v>
      </c>
      <c r="E53" s="246" t="s">
        <v>240</v>
      </c>
      <c r="F53" s="107">
        <f t="shared" si="5"/>
        <v>1.0334967320261439E-8</v>
      </c>
      <c r="G53" s="107">
        <f t="shared" si="6"/>
        <v>2.502353962418301E-9</v>
      </c>
      <c r="H53" s="136"/>
    </row>
    <row r="54" spans="1:10" s="17" customFormat="1" ht="14.25">
      <c r="A54" s="395" t="s">
        <v>68</v>
      </c>
      <c r="B54" s="83" t="s">
        <v>51</v>
      </c>
      <c r="C54" s="129">
        <f>INDEX('4 Flare1'!C:C,MATCH($A54,'4 Flare1'!$A:$A,0))</f>
        <v>5.1960784313725495E-4</v>
      </c>
      <c r="D54" s="122" t="str">
        <f>'4 Flare1'!D31</f>
        <v>lb/MMBtu</v>
      </c>
      <c r="E54" s="246" t="s">
        <v>235</v>
      </c>
      <c r="F54" s="90">
        <f>F52</f>
        <v>3.5138888888888894E-8</v>
      </c>
      <c r="G54" s="90">
        <f t="shared" si="6"/>
        <v>2.6524952001633995E-4</v>
      </c>
      <c r="H54" s="126"/>
      <c r="I54" s="318"/>
      <c r="J54" s="318"/>
    </row>
    <row r="55" spans="1:10" ht="14.25">
      <c r="A55" s="396" t="s">
        <v>304</v>
      </c>
      <c r="B55" s="83" t="s">
        <v>41</v>
      </c>
      <c r="C55" s="411">
        <f>INDEX('4 Flare1'!C:C,MATCH($A55,'4 Flare1'!$A:$A,0))</f>
        <v>2.3529411764705881E-8</v>
      </c>
      <c r="D55" s="122" t="str">
        <f>'4 Flare1'!D55</f>
        <v>lb/MMBtu</v>
      </c>
      <c r="E55" s="246" t="s">
        <v>239</v>
      </c>
      <c r="F55" s="90">
        <f t="shared" si="5"/>
        <v>4.9607843137254902E-8</v>
      </c>
      <c r="G55" s="90">
        <f t="shared" si="6"/>
        <v>1.2011299019607843E-8</v>
      </c>
    </row>
    <row r="56" spans="1:10" ht="14.25">
      <c r="A56" s="396" t="s">
        <v>303</v>
      </c>
      <c r="B56" s="83" t="s">
        <v>27</v>
      </c>
      <c r="C56" s="129">
        <f>'4 Flare1'!C56</f>
        <v>1.468117677522642E-6</v>
      </c>
      <c r="D56" s="122" t="str">
        <f>'4 Flare1'!D56</f>
        <v>lb/MMBtu</v>
      </c>
      <c r="E56" s="246" t="s">
        <v>240</v>
      </c>
      <c r="F56" s="90">
        <f t="shared" si="5"/>
        <v>3.0952814367769035E-6</v>
      </c>
      <c r="G56" s="90">
        <f t="shared" si="6"/>
        <v>7.4944501787960783E-7</v>
      </c>
    </row>
    <row r="57" spans="1:10" ht="14.25">
      <c r="A57" s="396" t="s">
        <v>72</v>
      </c>
      <c r="B57" s="83" t="s">
        <v>42</v>
      </c>
      <c r="C57" s="411">
        <f>$D$84/(453.6*10^6)/35.31*10^6/$D$85*(1-$D$74)</f>
        <v>1.468117677522642E-6</v>
      </c>
      <c r="D57" s="122" t="str">
        <f>'4 Flare1'!D57</f>
        <v>lb/MMBtu</v>
      </c>
      <c r="E57" s="246" t="s">
        <v>239</v>
      </c>
      <c r="F57" s="90">
        <f t="shared" si="5"/>
        <v>3.0952814367769035E-6</v>
      </c>
      <c r="G57" s="90">
        <f t="shared" si="6"/>
        <v>7.4944501787960783E-7</v>
      </c>
    </row>
    <row r="58" spans="1:10" ht="14.25">
      <c r="A58" s="396" t="s">
        <v>147</v>
      </c>
      <c r="B58" s="83" t="s">
        <v>140</v>
      </c>
      <c r="C58" s="129">
        <f>'4 Flare1'!C58</f>
        <v>5.6325448639584649E-7</v>
      </c>
      <c r="D58" s="122" t="str">
        <f>'4 Flare1'!D58</f>
        <v>lb/MMBtu</v>
      </c>
      <c r="E58" s="243" t="s">
        <v>219</v>
      </c>
      <c r="F58" s="90">
        <f t="shared" si="5"/>
        <v>1.1875282088179097E-6</v>
      </c>
      <c r="G58" s="90">
        <f t="shared" si="6"/>
        <v>2.8753026756003637E-7</v>
      </c>
    </row>
    <row r="59" spans="1:10" ht="14.25">
      <c r="A59" s="396" t="s">
        <v>146</v>
      </c>
      <c r="B59" s="83" t="s">
        <v>141</v>
      </c>
      <c r="C59" s="129">
        <f>D82/(453.6*10^6)/35.31*10^6/$D$85*(1-$D$74)</f>
        <v>5.6325448639584649E-7</v>
      </c>
      <c r="D59" s="122" t="str">
        <f>'4 Flare1'!D59</f>
        <v>lb/MMBtu</v>
      </c>
      <c r="E59" s="243" t="s">
        <v>219</v>
      </c>
      <c r="F59" s="90">
        <f t="shared" si="5"/>
        <v>1.1875282088179097E-6</v>
      </c>
      <c r="G59" s="90">
        <f t="shared" si="6"/>
        <v>2.8753026756003637E-7</v>
      </c>
    </row>
    <row r="60" spans="1:10" ht="14.25">
      <c r="A60" s="396" t="s">
        <v>301</v>
      </c>
      <c r="B60" s="111" t="s">
        <v>49</v>
      </c>
      <c r="C60" s="133">
        <f>D83/(453.6*10^6)/35.31*10^6/$D$85*(1-$D$74)</f>
        <v>9.4256582409041224E-8</v>
      </c>
      <c r="D60" s="112"/>
      <c r="E60" s="303"/>
      <c r="F60" s="114">
        <f>SUM(F14:F33,F54:F59)-SUM(F23,F57,F27,F31,F54,F16)</f>
        <v>3.9243834606423889E-3</v>
      </c>
      <c r="G60" s="550">
        <f>SUM(G14:G33,G54:G59)-SUM(G23,G57,G27,G31,G54,G16)</f>
        <v>9.5019134540800143E-4</v>
      </c>
    </row>
    <row r="61" spans="1:10" s="166" customFormat="1" ht="6">
      <c r="A61" s="397"/>
      <c r="B61" s="422"/>
      <c r="C61" s="422"/>
      <c r="D61" s="422"/>
      <c r="E61" s="423"/>
      <c r="F61" s="535"/>
      <c r="G61" s="535"/>
      <c r="H61" s="165"/>
    </row>
    <row r="62" spans="1:10">
      <c r="B62" s="7" t="s">
        <v>86</v>
      </c>
      <c r="C62" s="7"/>
      <c r="D62" s="7"/>
      <c r="G62" s="7"/>
    </row>
    <row r="63" spans="1:10" ht="14.25">
      <c r="B63" s="585" t="s">
        <v>221</v>
      </c>
      <c r="C63" s="585"/>
      <c r="D63" s="585"/>
      <c r="E63" s="585"/>
      <c r="F63" s="585"/>
      <c r="G63" s="585"/>
      <c r="H63" s="55" t="s">
        <v>110</v>
      </c>
    </row>
    <row r="64" spans="1:10">
      <c r="B64" s="585"/>
      <c r="C64" s="585"/>
      <c r="D64" s="585"/>
      <c r="E64" s="585"/>
      <c r="F64" s="585"/>
      <c r="G64" s="585"/>
    </row>
    <row r="65" spans="1:8" s="17" customFormat="1" ht="14.1" customHeight="1">
      <c r="A65" s="23"/>
      <c r="B65" s="586" t="s">
        <v>215</v>
      </c>
      <c r="C65" s="586"/>
      <c r="D65" s="586"/>
      <c r="E65" s="586"/>
      <c r="F65" s="586"/>
      <c r="G65" s="586"/>
      <c r="H65" s="55" t="s">
        <v>110</v>
      </c>
    </row>
    <row r="66" spans="1:8" s="17" customFormat="1" ht="14.1" customHeight="1">
      <c r="A66" s="23"/>
      <c r="B66" s="586"/>
      <c r="C66" s="586"/>
      <c r="D66" s="586"/>
      <c r="E66" s="586"/>
      <c r="F66" s="586"/>
      <c r="G66" s="586"/>
    </row>
    <row r="67" spans="1:8" s="17" customFormat="1" ht="14.25">
      <c r="A67" s="23"/>
      <c r="B67" s="318"/>
      <c r="C67" s="42" t="s">
        <v>170</v>
      </c>
      <c r="D67" s="57">
        <f>'1 Rates'!B33</f>
        <v>2.1083333333333334</v>
      </c>
      <c r="E67" s="299" t="s">
        <v>241</v>
      </c>
      <c r="F67" s="4"/>
      <c r="G67" s="42"/>
    </row>
    <row r="68" spans="1:8" s="17" customFormat="1" ht="14.25">
      <c r="A68" s="23"/>
      <c r="B68" s="318"/>
      <c r="C68" s="44" t="s">
        <v>87</v>
      </c>
      <c r="D68" s="45">
        <f>'1 Rates'!D32</f>
        <v>484.25</v>
      </c>
      <c r="E68" s="299" t="s">
        <v>241</v>
      </c>
      <c r="F68" s="4"/>
      <c r="G68" s="44"/>
    </row>
    <row r="69" spans="1:8" s="17" customFormat="1" ht="14.25">
      <c r="A69" s="23"/>
      <c r="B69" s="318"/>
      <c r="C69" s="42" t="s">
        <v>171</v>
      </c>
      <c r="D69" s="45">
        <f>'1 Rates'!B32*60</f>
        <v>4166.666666666667</v>
      </c>
      <c r="E69" s="299" t="s">
        <v>241</v>
      </c>
      <c r="F69" s="4"/>
      <c r="G69" s="44"/>
    </row>
    <row r="70" spans="1:8" s="17" customFormat="1" ht="14.25">
      <c r="A70" s="23"/>
      <c r="B70" s="586" t="s">
        <v>222</v>
      </c>
      <c r="C70" s="586"/>
      <c r="D70" s="586"/>
      <c r="E70" s="586"/>
      <c r="F70" s="586"/>
      <c r="G70" s="586"/>
      <c r="H70" s="55" t="s">
        <v>110</v>
      </c>
    </row>
    <row r="71" spans="1:8" s="17" customFormat="1" ht="14.25">
      <c r="A71" s="23"/>
      <c r="B71" s="586"/>
      <c r="C71" s="586"/>
      <c r="D71" s="586"/>
      <c r="E71" s="586"/>
      <c r="F71" s="586"/>
      <c r="G71" s="586"/>
      <c r="H71" s="55" t="s">
        <v>110</v>
      </c>
    </row>
    <row r="72" spans="1:8" s="17" customFormat="1" ht="14.25">
      <c r="A72" s="23"/>
      <c r="B72" s="318"/>
      <c r="C72" s="59" t="s">
        <v>121</v>
      </c>
      <c r="D72" s="50">
        <f>'2 Gas Data'!J8</f>
        <v>5.8560000000000001E-2</v>
      </c>
      <c r="E72" s="299" t="s">
        <v>284</v>
      </c>
      <c r="F72" s="413"/>
      <c r="G72" s="413"/>
      <c r="H72" s="309"/>
    </row>
    <row r="73" spans="1:8" s="17" customFormat="1" ht="14.25">
      <c r="A73" s="23"/>
      <c r="B73" s="318"/>
      <c r="C73" s="152" t="s">
        <v>174</v>
      </c>
      <c r="D73" s="54">
        <f>'2 Gas Data'!J9</f>
        <v>0</v>
      </c>
      <c r="E73" s="299" t="s">
        <v>284</v>
      </c>
      <c r="F73" s="416"/>
      <c r="G73" s="49"/>
      <c r="H73" s="49"/>
    </row>
    <row r="74" spans="1:8" s="17" customFormat="1" ht="14.25">
      <c r="A74" s="23"/>
      <c r="B74" s="318"/>
      <c r="C74" s="152" t="s">
        <v>156</v>
      </c>
      <c r="D74" s="53">
        <f>'4 Flare1'!$D$74</f>
        <v>0.99</v>
      </c>
      <c r="E74" s="299" t="s">
        <v>234</v>
      </c>
      <c r="F74" s="416"/>
      <c r="G74" s="49"/>
      <c r="H74" s="49"/>
    </row>
    <row r="75" spans="1:8" s="17" customFormat="1" ht="14.25">
      <c r="A75" s="23"/>
      <c r="B75" s="587" t="s">
        <v>223</v>
      </c>
      <c r="C75" s="587"/>
      <c r="D75" s="587"/>
      <c r="E75" s="587"/>
      <c r="F75" s="587"/>
      <c r="G75" s="587"/>
      <c r="H75" s="55" t="s">
        <v>110</v>
      </c>
    </row>
    <row r="76" spans="1:8" s="17" customFormat="1" ht="14.25">
      <c r="A76" s="23"/>
      <c r="B76" s="587"/>
      <c r="C76" s="587"/>
      <c r="D76" s="587"/>
      <c r="E76" s="587"/>
      <c r="F76" s="587"/>
      <c r="G76" s="587"/>
      <c r="H76" s="55" t="s">
        <v>110</v>
      </c>
    </row>
    <row r="77" spans="1:8" ht="14.25">
      <c r="B77" s="318"/>
      <c r="C77" s="9" t="s">
        <v>173</v>
      </c>
      <c r="D77" s="313">
        <f>'2 Gas Data'!J10</f>
        <v>1.0156311215023474E-3</v>
      </c>
      <c r="E77" s="299" t="s">
        <v>284</v>
      </c>
      <c r="F77" s="48"/>
      <c r="G77" s="413"/>
    </row>
    <row r="78" spans="1:8" ht="14.25">
      <c r="B78" s="580" t="s">
        <v>224</v>
      </c>
      <c r="C78" s="580"/>
      <c r="D78" s="580"/>
      <c r="E78" s="580"/>
      <c r="F78" s="580"/>
      <c r="G78" s="580"/>
      <c r="H78" s="55" t="s">
        <v>110</v>
      </c>
    </row>
    <row r="79" spans="1:8" ht="14.25">
      <c r="B79" s="580"/>
      <c r="C79" s="580"/>
      <c r="D79" s="580"/>
      <c r="E79" s="580"/>
      <c r="F79" s="580"/>
      <c r="G79" s="580"/>
      <c r="H79" s="55" t="s">
        <v>110</v>
      </c>
    </row>
    <row r="80" spans="1:8" ht="14.25">
      <c r="B80" s="318"/>
      <c r="C80" s="150" t="s">
        <v>177</v>
      </c>
      <c r="D80" s="151">
        <f>'2 Gas Data'!J11</f>
        <v>2980</v>
      </c>
      <c r="E80" s="299" t="s">
        <v>284</v>
      </c>
      <c r="F80" s="48"/>
      <c r="G80" s="413"/>
    </row>
    <row r="81" spans="1:8" ht="14.25">
      <c r="B81" s="318"/>
      <c r="C81" s="150" t="s">
        <v>178</v>
      </c>
      <c r="D81" s="151">
        <f>'2 Gas Data'!J12</f>
        <v>144</v>
      </c>
      <c r="E81" s="299" t="s">
        <v>284</v>
      </c>
      <c r="F81" s="48"/>
      <c r="G81" s="413"/>
    </row>
    <row r="82" spans="1:8" ht="14.25">
      <c r="B82" s="318"/>
      <c r="C82" s="150" t="s">
        <v>179</v>
      </c>
      <c r="D82" s="151">
        <f>'2 Gas Data'!J13</f>
        <v>986</v>
      </c>
      <c r="E82" s="299" t="s">
        <v>284</v>
      </c>
      <c r="F82" s="48"/>
      <c r="G82" s="413"/>
    </row>
    <row r="83" spans="1:8" ht="14.25">
      <c r="B83" s="318"/>
      <c r="C83" s="150" t="s">
        <v>180</v>
      </c>
      <c r="D83" s="151">
        <f>'2 Gas Data'!J14</f>
        <v>165</v>
      </c>
      <c r="E83" s="299" t="s">
        <v>284</v>
      </c>
      <c r="F83" s="48"/>
      <c r="G83" s="413"/>
    </row>
    <row r="84" spans="1:8" ht="14.25">
      <c r="B84" s="318"/>
      <c r="C84" s="150" t="s">
        <v>181</v>
      </c>
      <c r="D84" s="151">
        <f>'2 Gas Data'!J15</f>
        <v>2570</v>
      </c>
      <c r="E84" s="299" t="s">
        <v>284</v>
      </c>
      <c r="F84" s="48"/>
      <c r="G84" s="413"/>
    </row>
    <row r="85" spans="1:8" ht="14.25">
      <c r="B85" s="4"/>
      <c r="C85" s="152" t="s">
        <v>182</v>
      </c>
      <c r="D85" s="10">
        <f>'2 Gas Data'!$B$7</f>
        <v>1092.953013546987</v>
      </c>
      <c r="E85" s="299" t="s">
        <v>284</v>
      </c>
      <c r="F85" s="431"/>
      <c r="G85" s="79"/>
    </row>
    <row r="86" spans="1:8" ht="14.25">
      <c r="B86" s="586" t="s">
        <v>224</v>
      </c>
      <c r="C86" s="586"/>
      <c r="D86" s="586"/>
      <c r="E86" s="586"/>
      <c r="F86" s="586"/>
      <c r="G86" s="586"/>
      <c r="H86" s="55" t="s">
        <v>110</v>
      </c>
    </row>
    <row r="87" spans="1:8" ht="14.25">
      <c r="B87" s="586"/>
      <c r="C87" s="586"/>
      <c r="D87" s="586"/>
      <c r="E87" s="586"/>
      <c r="F87" s="586"/>
      <c r="G87" s="586"/>
      <c r="H87" s="55" t="s">
        <v>110</v>
      </c>
    </row>
    <row r="88" spans="1:8" s="166" customFormat="1" ht="6">
      <c r="A88" s="397"/>
      <c r="B88" s="167"/>
      <c r="C88" s="167"/>
      <c r="D88" s="167"/>
      <c r="E88" s="167"/>
      <c r="F88" s="167"/>
      <c r="G88" s="167"/>
      <c r="H88" s="168"/>
    </row>
    <row r="89" spans="1:8">
      <c r="B89" s="46" t="s">
        <v>32</v>
      </c>
      <c r="C89" s="46"/>
      <c r="D89" s="46"/>
      <c r="E89" s="47"/>
      <c r="F89" s="47"/>
      <c r="G89" s="46"/>
    </row>
    <row r="90" spans="1:8" ht="12" customHeight="1">
      <c r="B90" s="565" t="s">
        <v>236</v>
      </c>
      <c r="C90" s="565"/>
      <c r="D90" s="565"/>
      <c r="E90" s="565"/>
      <c r="F90" s="565"/>
      <c r="G90" s="565"/>
      <c r="H90" s="55" t="s">
        <v>110</v>
      </c>
    </row>
    <row r="91" spans="1:8">
      <c r="B91" s="565"/>
      <c r="C91" s="565"/>
      <c r="D91" s="565"/>
      <c r="E91" s="565"/>
      <c r="F91" s="565"/>
      <c r="G91" s="565"/>
    </row>
    <row r="92" spans="1:8" ht="12" customHeight="1">
      <c r="B92" s="565"/>
      <c r="C92" s="565"/>
      <c r="D92" s="565"/>
      <c r="E92" s="565"/>
      <c r="F92" s="565"/>
      <c r="G92" s="565"/>
    </row>
    <row r="93" spans="1:8" ht="12" customHeight="1">
      <c r="B93" s="565"/>
      <c r="C93" s="565"/>
      <c r="D93" s="565"/>
      <c r="E93" s="565"/>
      <c r="F93" s="565"/>
      <c r="G93" s="565"/>
    </row>
    <row r="94" spans="1:8" ht="13.9" customHeight="1">
      <c r="B94" s="565" t="s">
        <v>237</v>
      </c>
      <c r="C94" s="565"/>
      <c r="D94" s="565"/>
      <c r="E94" s="565"/>
      <c r="F94" s="565"/>
      <c r="G94" s="565"/>
      <c r="H94" s="55" t="s">
        <v>110</v>
      </c>
    </row>
    <row r="95" spans="1:8" s="324" customFormat="1" ht="14.25">
      <c r="A95" s="81"/>
      <c r="B95" s="566" t="s">
        <v>366</v>
      </c>
      <c r="C95" s="566"/>
      <c r="D95" s="566"/>
      <c r="E95" s="566"/>
      <c r="F95" s="566"/>
      <c r="G95" s="566"/>
      <c r="H95" s="55" t="s">
        <v>110</v>
      </c>
    </row>
    <row r="96" spans="1:8" s="324" customFormat="1">
      <c r="A96" s="81"/>
      <c r="B96" s="566"/>
      <c r="C96" s="566"/>
      <c r="D96" s="566"/>
      <c r="E96" s="566"/>
      <c r="F96" s="566"/>
      <c r="G96" s="566"/>
    </row>
    <row r="97" spans="1:8" s="324" customFormat="1">
      <c r="A97" s="81"/>
      <c r="B97" s="566"/>
      <c r="C97" s="566"/>
      <c r="D97" s="566"/>
      <c r="E97" s="566"/>
      <c r="F97" s="566"/>
      <c r="G97" s="566"/>
    </row>
    <row r="98" spans="1:8" ht="13.9" customHeight="1">
      <c r="B98" s="566" t="s">
        <v>355</v>
      </c>
      <c r="C98" s="565"/>
      <c r="D98" s="565"/>
      <c r="E98" s="565"/>
      <c r="F98" s="565"/>
      <c r="G98" s="565"/>
      <c r="H98" s="55" t="s">
        <v>110</v>
      </c>
    </row>
    <row r="99" spans="1:8">
      <c r="B99" s="565"/>
      <c r="C99" s="565"/>
      <c r="D99" s="565"/>
      <c r="E99" s="565"/>
      <c r="F99" s="565"/>
      <c r="G99" s="565"/>
    </row>
    <row r="100" spans="1:8">
      <c r="B100" s="565"/>
      <c r="C100" s="565"/>
      <c r="D100" s="565"/>
      <c r="E100" s="565"/>
      <c r="F100" s="565"/>
      <c r="G100" s="565"/>
    </row>
    <row r="101" spans="1:8">
      <c r="B101" s="565"/>
      <c r="C101" s="565"/>
      <c r="D101" s="565"/>
      <c r="E101" s="565"/>
      <c r="F101" s="565"/>
      <c r="G101" s="565"/>
    </row>
    <row r="102" spans="1:8" ht="14.25">
      <c r="B102" s="566" t="s">
        <v>357</v>
      </c>
      <c r="C102" s="565"/>
      <c r="D102" s="565"/>
      <c r="E102" s="565"/>
      <c r="F102" s="565"/>
      <c r="G102" s="565"/>
      <c r="H102" s="55" t="s">
        <v>110</v>
      </c>
    </row>
    <row r="103" spans="1:8">
      <c r="B103" s="565"/>
      <c r="C103" s="565"/>
      <c r="D103" s="565"/>
      <c r="E103" s="565"/>
      <c r="F103" s="565"/>
      <c r="G103" s="565"/>
      <c r="H103" s="63"/>
    </row>
    <row r="104" spans="1:8">
      <c r="B104" s="565"/>
      <c r="C104" s="565"/>
      <c r="D104" s="565"/>
      <c r="E104" s="565"/>
      <c r="F104" s="565"/>
      <c r="G104" s="565"/>
      <c r="H104" s="63"/>
    </row>
    <row r="105" spans="1:8">
      <c r="B105" s="565"/>
      <c r="C105" s="565"/>
      <c r="D105" s="565"/>
      <c r="E105" s="565"/>
      <c r="F105" s="565"/>
      <c r="G105" s="565"/>
      <c r="H105" s="63"/>
    </row>
    <row r="106" spans="1:8" ht="14.25">
      <c r="B106" s="582" t="s">
        <v>359</v>
      </c>
      <c r="C106" s="564"/>
      <c r="D106" s="564"/>
      <c r="E106" s="564"/>
      <c r="F106" s="564"/>
      <c r="G106" s="564"/>
      <c r="H106" s="55" t="s">
        <v>110</v>
      </c>
    </row>
    <row r="107" spans="1:8" ht="14.25">
      <c r="B107" s="582" t="s">
        <v>361</v>
      </c>
      <c r="C107" s="564"/>
      <c r="D107" s="564"/>
      <c r="E107" s="564"/>
      <c r="F107" s="564"/>
      <c r="G107" s="564"/>
      <c r="H107" s="55" t="s">
        <v>110</v>
      </c>
    </row>
  </sheetData>
  <mergeCells count="14">
    <mergeCell ref="B106:G106"/>
    <mergeCell ref="B107:G107"/>
    <mergeCell ref="C3:E4"/>
    <mergeCell ref="B63:G64"/>
    <mergeCell ref="B65:G66"/>
    <mergeCell ref="B70:G71"/>
    <mergeCell ref="B75:G76"/>
    <mergeCell ref="B78:G79"/>
    <mergeCell ref="B86:G87"/>
    <mergeCell ref="B90:G93"/>
    <mergeCell ref="B94:G94"/>
    <mergeCell ref="B98:G101"/>
    <mergeCell ref="B102:G105"/>
    <mergeCell ref="B95:G97"/>
  </mergeCells>
  <conditionalFormatting sqref="G8 G25:G30 G32:G53 G55">
    <cfRule type="cellIs" dxfId="105" priority="25" operator="greaterThan">
      <formula>#REF!</formula>
    </cfRule>
    <cfRule type="cellIs" dxfId="104" priority="26" operator="greaterThan">
      <formula>#REF!</formula>
    </cfRule>
  </conditionalFormatting>
  <conditionalFormatting sqref="G17 G19:G23">
    <cfRule type="cellIs" dxfId="103" priority="23" operator="greaterThan">
      <formula>#REF!</formula>
    </cfRule>
    <cfRule type="cellIs" dxfId="102" priority="24" operator="greaterThan">
      <formula>#REF!</formula>
    </cfRule>
  </conditionalFormatting>
  <conditionalFormatting sqref="G57">
    <cfRule type="cellIs" dxfId="101" priority="21" operator="greaterThan">
      <formula>#REF!</formula>
    </cfRule>
    <cfRule type="cellIs" dxfId="100" priority="22" operator="greaterThan">
      <formula>#REF!</formula>
    </cfRule>
  </conditionalFormatting>
  <conditionalFormatting sqref="G23">
    <cfRule type="cellIs" dxfId="99" priority="19" operator="greaterThan">
      <formula>#REF!</formula>
    </cfRule>
    <cfRule type="cellIs" dxfId="98" priority="20" operator="greaterThan">
      <formula>#REF!</formula>
    </cfRule>
  </conditionalFormatting>
  <conditionalFormatting sqref="G11">
    <cfRule type="cellIs" dxfId="97" priority="17" operator="greaterThan">
      <formula>#REF!</formula>
    </cfRule>
    <cfRule type="cellIs" dxfId="96" priority="18" operator="greaterThan">
      <formula>#REF!</formula>
    </cfRule>
  </conditionalFormatting>
  <conditionalFormatting sqref="G12">
    <cfRule type="cellIs" dxfId="95" priority="15" operator="greaterThan">
      <formula>#REF!</formula>
    </cfRule>
    <cfRule type="cellIs" dxfId="94" priority="16" operator="greaterThan">
      <formula>#REF!</formula>
    </cfRule>
  </conditionalFormatting>
  <conditionalFormatting sqref="G18">
    <cfRule type="cellIs" dxfId="93" priority="13" operator="greaterThan">
      <formula>#REF!</formula>
    </cfRule>
    <cfRule type="cellIs" dxfId="92" priority="14" operator="greaterThan">
      <formula>#REF!</formula>
    </cfRule>
  </conditionalFormatting>
  <conditionalFormatting sqref="G24">
    <cfRule type="cellIs" dxfId="91" priority="11" operator="greaterThan">
      <formula>#REF!</formula>
    </cfRule>
    <cfRule type="cellIs" dxfId="90" priority="12" operator="greaterThan">
      <formula>#REF!</formula>
    </cfRule>
  </conditionalFormatting>
  <conditionalFormatting sqref="G56">
    <cfRule type="cellIs" dxfId="89" priority="9" operator="greaterThan">
      <formula>#REF!</formula>
    </cfRule>
    <cfRule type="cellIs" dxfId="88" priority="10" operator="greaterThan">
      <formula>#REF!</formula>
    </cfRule>
  </conditionalFormatting>
  <conditionalFormatting sqref="G58:G59">
    <cfRule type="cellIs" dxfId="87" priority="7" operator="greaterThan">
      <formula>#REF!</formula>
    </cfRule>
    <cfRule type="cellIs" dxfId="86" priority="8" operator="greaterThan">
      <formula>#REF!</formula>
    </cfRule>
  </conditionalFormatting>
  <conditionalFormatting sqref="G14:G16">
    <cfRule type="cellIs" dxfId="85" priority="3" operator="greaterThan">
      <formula>#REF!</formula>
    </cfRule>
    <cfRule type="cellIs" dxfId="84" priority="4" operator="greaterThan">
      <formula>#REF!</formula>
    </cfRule>
  </conditionalFormatting>
  <conditionalFormatting sqref="G54">
    <cfRule type="cellIs" dxfId="83" priority="1" operator="greaterThan">
      <formula>#REF!</formula>
    </cfRule>
    <cfRule type="cellIs" dxfId="82" priority="2" operator="greaterThan">
      <formula>#REF!</formula>
    </cfRule>
  </conditionalFormatting>
  <printOptions horizontalCentered="1"/>
  <pageMargins left="0.75" right="0.75" top="1.6" bottom="1" header="0.75" footer="0.5"/>
  <pageSetup paperSize="119" orientation="portrait" r:id="rId1"/>
  <headerFooter>
    <oddHeader>&amp;C&amp;"-,Bold"Table B-11
LNG Transfer A2: Potential Emissions from Enclosed Ground Flare Burners
Puget Sound Energy – Liquefied Natural Gas Project
Tacoma, Washington&amp;R&amp;8Page &amp;P of &amp;N</oddHeader>
    <oddFooter>&amp;L&amp;6 May 2017  &amp;Z&amp;F  &amp;A&amp;R&amp;9Landau Associates</oddFooter>
  </headerFooter>
  <extLst>
    <ext xmlns:x14="http://schemas.microsoft.com/office/spreadsheetml/2009/9/main" uri="{78C0D931-6437-407d-A8EE-F0AAD7539E65}">
      <x14:conditionalFormattings>
        <x14:conditionalFormatting xmlns:xm="http://schemas.microsoft.com/office/excel/2006/main">
          <x14:cfRule type="cellIs" priority="5" operator="greaterThan" id="{023AE290-F2BE-44F6-AD83-DD701EB0A726}">
            <xm:f>'7 Flare4'!#REF!</xm:f>
            <x14:dxf>
              <font>
                <condense val="0"/>
                <extend val="0"/>
                <color rgb="FF9C6500"/>
              </font>
              <fill>
                <patternFill>
                  <bgColor rgb="FFFFEB9C"/>
                </patternFill>
              </fill>
            </x14:dxf>
          </x14:cfRule>
          <x14:cfRule type="cellIs" priority="6" operator="greaterThan" id="{9F2FD36F-87A0-4179-949D-D1E6D4EACD3F}">
            <xm:f>'7 Flare4'!#REF!</xm:f>
            <x14:dxf>
              <font>
                <condense val="0"/>
                <extend val="0"/>
                <color rgb="FF9C0006"/>
              </font>
              <fill>
                <patternFill>
                  <bgColor rgb="FFFFC7CE"/>
                </patternFill>
              </fill>
            </x14:dxf>
          </x14:cfRule>
          <xm:sqref>G31:H31 H54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7"/>
  <sheetViews>
    <sheetView topLeftCell="B21" zoomScaleNormal="100" zoomScaleSheetLayoutView="100" zoomScalePageLayoutView="85" workbookViewId="0">
      <selection activeCell="M50" sqref="M50"/>
    </sheetView>
  </sheetViews>
  <sheetFormatPr defaultColWidth="9.140625" defaultRowHeight="12"/>
  <cols>
    <col min="1" max="1" width="0" style="81" hidden="1" customWidth="1"/>
    <col min="2" max="2" width="28" style="38" customWidth="1"/>
    <col min="3" max="3" width="12.140625" style="38" customWidth="1"/>
    <col min="4" max="4" width="10" style="38" bestFit="1" customWidth="1"/>
    <col min="5" max="5" width="1.7109375" style="8" bestFit="1" customWidth="1"/>
    <col min="6" max="6" width="13.85546875" style="8" customWidth="1"/>
    <col min="7" max="7" width="15.5703125" style="38" customWidth="1"/>
    <col min="8" max="8" width="1.28515625" style="17" bestFit="1" customWidth="1"/>
    <col min="9" max="9" width="9.140625" style="17"/>
    <col min="10" max="16384" width="9.140625" style="63"/>
  </cols>
  <sheetData>
    <row r="1" spans="1:7">
      <c r="B1" s="161" t="s">
        <v>264</v>
      </c>
      <c r="C1" s="161"/>
      <c r="D1" s="161"/>
      <c r="E1" s="161"/>
      <c r="F1" s="161"/>
      <c r="G1" s="161"/>
    </row>
    <row r="3" spans="1:7" s="17" customFormat="1">
      <c r="A3" s="23"/>
      <c r="B3" s="236"/>
      <c r="C3" s="583" t="s">
        <v>31</v>
      </c>
      <c r="D3" s="583"/>
      <c r="E3" s="583"/>
      <c r="F3" s="244" t="s">
        <v>98</v>
      </c>
      <c r="G3" s="244"/>
    </row>
    <row r="4" spans="1:7" s="17" customFormat="1" ht="14.25">
      <c r="A4" s="23"/>
      <c r="B4" s="238"/>
      <c r="C4" s="584"/>
      <c r="D4" s="584"/>
      <c r="E4" s="584"/>
      <c r="F4" s="245" t="s">
        <v>210</v>
      </c>
      <c r="G4" s="245" t="s">
        <v>211</v>
      </c>
    </row>
    <row r="5" spans="1:7" s="17" customFormat="1" ht="12.75" thickBot="1">
      <c r="A5" s="395" t="s">
        <v>302</v>
      </c>
      <c r="B5" s="418" t="s">
        <v>30</v>
      </c>
      <c r="C5" s="419" t="s">
        <v>168</v>
      </c>
      <c r="D5" s="419"/>
      <c r="E5" s="419"/>
      <c r="F5" s="242" t="s">
        <v>113</v>
      </c>
      <c r="G5" s="242" t="s">
        <v>114</v>
      </c>
    </row>
    <row r="6" spans="1:7" s="17" customFormat="1" ht="12.75" thickTop="1">
      <c r="A6" s="23"/>
      <c r="B6" s="82" t="s">
        <v>77</v>
      </c>
      <c r="C6" s="420"/>
      <c r="D6" s="420"/>
      <c r="E6" s="93"/>
      <c r="F6" s="421"/>
      <c r="G6" s="421"/>
    </row>
    <row r="7" spans="1:7" s="17" customFormat="1" ht="14.25">
      <c r="A7" s="395" t="s">
        <v>300</v>
      </c>
      <c r="B7" s="83" t="s">
        <v>185</v>
      </c>
      <c r="C7" s="122">
        <f>INDEX('4 Flare1'!C:C,MATCH($A7,'4 Flare1'!$A:$A,0))</f>
        <v>7.4509803921568628E-3</v>
      </c>
      <c r="D7" s="122" t="str">
        <f>'4 Flare1'!D7</f>
        <v>lb/MMBtu</v>
      </c>
      <c r="E7" s="243">
        <f>'3 Vapor'!D7</f>
        <v>1</v>
      </c>
      <c r="F7" s="87">
        <f>C7*$D$67</f>
        <v>6.9120261437908498E-3</v>
      </c>
      <c r="G7" s="294">
        <f>C7*$D$67*$D$68/2000</f>
        <v>3.594253594771242E-4</v>
      </c>
    </row>
    <row r="8" spans="1:7" s="17" customFormat="1" ht="14.25">
      <c r="A8" s="395">
        <v>2025884</v>
      </c>
      <c r="B8" s="83" t="s">
        <v>184</v>
      </c>
      <c r="C8" s="96">
        <f>D72*D73/10^6*2*10^6*D74</f>
        <v>0</v>
      </c>
      <c r="D8" s="97" t="s">
        <v>169</v>
      </c>
      <c r="E8" s="243" t="s">
        <v>212</v>
      </c>
      <c r="F8" s="88">
        <f>C8*$D$69/1000000</f>
        <v>0</v>
      </c>
      <c r="G8" s="88">
        <f>C8*$D$69/1000000*$D$68/2000</f>
        <v>0</v>
      </c>
    </row>
    <row r="9" spans="1:7" s="17" customFormat="1" ht="14.25">
      <c r="A9" s="398" t="s">
        <v>311</v>
      </c>
      <c r="B9" s="83" t="s">
        <v>213</v>
      </c>
      <c r="C9" s="311">
        <v>6.0366510959396338E-2</v>
      </c>
      <c r="D9" s="95" t="s">
        <v>102</v>
      </c>
      <c r="E9" s="246" t="s">
        <v>234</v>
      </c>
      <c r="F9" s="85">
        <f>C9*$D$67</f>
        <v>5.6000000000000001E-2</v>
      </c>
      <c r="G9" s="87">
        <f>C9*$D$67*$D$68/2000</f>
        <v>2.9120000000000001E-3</v>
      </c>
    </row>
    <row r="10" spans="1:7" s="17" customFormat="1" ht="14.25">
      <c r="A10" s="395" t="s">
        <v>73</v>
      </c>
      <c r="B10" s="83" t="s">
        <v>0</v>
      </c>
      <c r="C10" s="311">
        <v>0.18002155946819981</v>
      </c>
      <c r="D10" s="95" t="s">
        <v>102</v>
      </c>
      <c r="E10" s="246" t="s">
        <v>234</v>
      </c>
      <c r="F10" s="84">
        <f>C10*$D$67</f>
        <v>0.16700000000000001</v>
      </c>
      <c r="G10" s="85">
        <f>C10*$D$67*$D$68/2000</f>
        <v>8.6840000000000007E-3</v>
      </c>
    </row>
    <row r="11" spans="1:7" s="17" customFormat="1" ht="14.25">
      <c r="A11" s="395" t="s">
        <v>1</v>
      </c>
      <c r="B11" s="83" t="s">
        <v>101</v>
      </c>
      <c r="C11" s="312">
        <f>$D$72*$D$77*(1-$D$74)*10^6</f>
        <v>0.68494162834118377</v>
      </c>
      <c r="D11" s="97" t="s">
        <v>169</v>
      </c>
      <c r="E11" s="243" t="s">
        <v>218</v>
      </c>
      <c r="F11" s="87">
        <f>$C$11*$D$69/1000000</f>
        <v>2.8539234514215993E-3</v>
      </c>
      <c r="G11" s="294">
        <f>C11*$D$69/1000000*$D$68/2000</f>
        <v>1.4840401947392316E-4</v>
      </c>
    </row>
    <row r="12" spans="1:7" s="17" customFormat="1" ht="14.25">
      <c r="A12" s="395" t="s">
        <v>306</v>
      </c>
      <c r="B12" s="98" t="s">
        <v>78</v>
      </c>
      <c r="C12" s="410">
        <f>INDEX('4 Flare1'!C:C,MATCH($A12,'4 Flare1'!$A:$A,0))</f>
        <v>4.9019607843137254E-7</v>
      </c>
      <c r="D12" s="125" t="str">
        <f>'4 Flare1'!D12</f>
        <v>lb/MMBtu</v>
      </c>
      <c r="E12" s="297">
        <f>'3 Vapor'!D12</f>
        <v>1</v>
      </c>
      <c r="F12" s="90">
        <f>$C$12*$D$67</f>
        <v>4.5473856209150325E-7</v>
      </c>
      <c r="G12" s="90">
        <f>C12*$D$67*$D$68/2000</f>
        <v>2.364640522875817E-8</v>
      </c>
    </row>
    <row r="13" spans="1:7" s="17" customFormat="1">
      <c r="A13" s="395"/>
      <c r="B13" s="101" t="s">
        <v>158</v>
      </c>
      <c r="C13" s="127"/>
      <c r="D13" s="102"/>
      <c r="E13" s="383"/>
      <c r="F13" s="103"/>
      <c r="G13" s="103"/>
    </row>
    <row r="14" spans="1:7" s="17" customFormat="1" ht="14.25">
      <c r="A14" s="395" t="s">
        <v>56</v>
      </c>
      <c r="B14" s="83" t="s">
        <v>9</v>
      </c>
      <c r="C14" s="129">
        <f>INDEX('4 Flare1'!C:C,MATCH($A14,'4 Flare1'!$A:$A,0))</f>
        <v>8.3039215686274504E-6</v>
      </c>
      <c r="D14" s="122" t="str">
        <f>'4 Flare1'!D15</f>
        <v>lb/MMBtu</v>
      </c>
      <c r="E14" s="243" t="s">
        <v>235</v>
      </c>
      <c r="F14" s="90">
        <f>C14*$D$67</f>
        <v>7.7032712418300649E-6</v>
      </c>
      <c r="G14" s="90">
        <f>C14*$D$67*$D$68/2000</f>
        <v>4.0057010457516338E-7</v>
      </c>
    </row>
    <row r="15" spans="1:7" s="17" customFormat="1" ht="14.25">
      <c r="A15" s="395" t="s">
        <v>57</v>
      </c>
      <c r="B15" s="83" t="s">
        <v>10</v>
      </c>
      <c r="C15" s="129">
        <f>INDEX('4 Flare1'!C:C,MATCH($A15,'4 Flare1'!$A:$A,0))</f>
        <v>2.647058823529412E-6</v>
      </c>
      <c r="D15" s="122" t="str">
        <f>'4 Flare1'!D16</f>
        <v>lb/MMBtu</v>
      </c>
      <c r="E15" s="243" t="s">
        <v>235</v>
      </c>
      <c r="F15" s="90">
        <f>C15*$D$67</f>
        <v>2.4555882352941178E-6</v>
      </c>
      <c r="G15" s="90">
        <f>C15*$D$67*$D$68/2000</f>
        <v>1.2769058823529412E-7</v>
      </c>
    </row>
    <row r="16" spans="1:7" s="17" customFormat="1" ht="14.25">
      <c r="A16" s="395" t="s">
        <v>153</v>
      </c>
      <c r="B16" s="83" t="s">
        <v>152</v>
      </c>
      <c r="C16" s="129">
        <f>INDEX('4 Flare1'!C:C,MATCH($A16,'4 Flare1'!$A:$A,0))</f>
        <v>3.1372549019607846E-3</v>
      </c>
      <c r="D16" s="122" t="str">
        <f>'4 Flare1'!D17</f>
        <v>lb/MMBtu</v>
      </c>
      <c r="E16" s="243" t="s">
        <v>235</v>
      </c>
      <c r="F16" s="90">
        <f>C16*$D$68</f>
        <v>0.32627450980392159</v>
      </c>
      <c r="G16" s="90">
        <f>C16*$D$67*$D$68/2000</f>
        <v>1.513369934640523E-4</v>
      </c>
    </row>
    <row r="17" spans="1:10" s="17" customFormat="1" ht="14.25">
      <c r="A17" s="395" t="s">
        <v>308</v>
      </c>
      <c r="B17" s="83" t="s">
        <v>33</v>
      </c>
      <c r="C17" s="129">
        <f>INDEX('4 Flare1'!C:C,MATCH($A17,'4 Flare1'!$A:$A,0))</f>
        <v>1.9607843137254904E-7</v>
      </c>
      <c r="D17" s="122" t="str">
        <f>'4 Flare1'!D18</f>
        <v>lb/MMBtu</v>
      </c>
      <c r="E17" s="243">
        <v>4</v>
      </c>
      <c r="F17" s="90">
        <f t="shared" ref="F17:F26" si="0">C17*$D$67</f>
        <v>1.8189542483660132E-7</v>
      </c>
      <c r="G17" s="90">
        <f t="shared" ref="G17:G26" si="1">C17*$D$67*$D$68/2000</f>
        <v>9.4585620915032685E-9</v>
      </c>
    </row>
    <row r="18" spans="1:10" s="17" customFormat="1" ht="14.25">
      <c r="A18" s="395" t="s">
        <v>59</v>
      </c>
      <c r="B18" s="83" t="s">
        <v>12</v>
      </c>
      <c r="C18" s="129">
        <f>$D$80/(453.6*10^6)/35.31*10^6/$D$85*(1-$D$74)</f>
        <v>1.702331003508745E-6</v>
      </c>
      <c r="D18" s="122" t="str">
        <f>'4 Flare1'!D19</f>
        <v>lb/MMBtu</v>
      </c>
      <c r="E18" s="243">
        <v>5</v>
      </c>
      <c r="F18" s="90">
        <f t="shared" si="0"/>
        <v>1.5791957275882791E-6</v>
      </c>
      <c r="G18" s="90">
        <f t="shared" si="1"/>
        <v>8.2118177834590511E-8</v>
      </c>
    </row>
    <row r="19" spans="1:10" s="17" customFormat="1" ht="14.25">
      <c r="A19" s="395" t="s">
        <v>307</v>
      </c>
      <c r="B19" s="83" t="s">
        <v>34</v>
      </c>
      <c r="C19" s="129">
        <f>INDEX('4 Flare1'!C:C,MATCH($A19,'4 Flare1'!$A:$A,0))</f>
        <v>1.1764705882352941E-8</v>
      </c>
      <c r="D19" s="122" t="str">
        <f>'4 Flare1'!D20</f>
        <v>lb/MMBtu</v>
      </c>
      <c r="E19" s="246" t="s">
        <v>239</v>
      </c>
      <c r="F19" s="90">
        <f t="shared" si="0"/>
        <v>1.0913725490196078E-8</v>
      </c>
      <c r="G19" s="90">
        <f t="shared" si="1"/>
        <v>5.6751372549019611E-10</v>
      </c>
    </row>
    <row r="20" spans="1:10" s="17" customFormat="1" ht="14.25">
      <c r="A20" s="395" t="s">
        <v>69</v>
      </c>
      <c r="B20" s="83" t="s">
        <v>35</v>
      </c>
      <c r="C20" s="129">
        <f>INDEX('4 Flare1'!C:C,MATCH($A20,'4 Flare1'!$A:$A,0))</f>
        <v>1.0784313725490197E-6</v>
      </c>
      <c r="D20" s="122" t="str">
        <f>'4 Flare1'!D21</f>
        <v>lb/MMBtu</v>
      </c>
      <c r="E20" s="246" t="s">
        <v>239</v>
      </c>
      <c r="F20" s="90">
        <f t="shared" si="0"/>
        <v>1.0004248366013073E-6</v>
      </c>
      <c r="G20" s="90">
        <f t="shared" si="1"/>
        <v>5.2022091503267981E-8</v>
      </c>
    </row>
    <row r="21" spans="1:10" s="17" customFormat="1" ht="14.25">
      <c r="A21" s="395" t="s">
        <v>290</v>
      </c>
      <c r="B21" s="83" t="s">
        <v>80</v>
      </c>
      <c r="C21" s="129">
        <f>INDEX('4 Flare1'!C:C,MATCH($A21,'4 Flare1'!$A:$A,0))</f>
        <v>1.3725490196078432E-6</v>
      </c>
      <c r="D21" s="122" t="str">
        <f>'4 Flare1'!D22</f>
        <v>lb/MMBtu</v>
      </c>
      <c r="E21" s="246" t="s">
        <v>239</v>
      </c>
      <c r="F21" s="90">
        <f t="shared" si="0"/>
        <v>1.2732679738562092E-6</v>
      </c>
      <c r="G21" s="90">
        <f t="shared" si="1"/>
        <v>6.6209934640522881E-8</v>
      </c>
    </row>
    <row r="22" spans="1:10" s="17" customFormat="1" ht="14.25">
      <c r="A22" s="395" t="s">
        <v>70</v>
      </c>
      <c r="B22" s="83" t="s">
        <v>36</v>
      </c>
      <c r="C22" s="129">
        <f>INDEX('4 Flare1'!C:C,MATCH($A22,'4 Flare1'!$A:$A,0))</f>
        <v>8.2352941176470587E-8</v>
      </c>
      <c r="D22" s="122" t="str">
        <f>'4 Flare1'!D23</f>
        <v>lb/MMBtu</v>
      </c>
      <c r="E22" s="246" t="s">
        <v>239</v>
      </c>
      <c r="F22" s="90">
        <f t="shared" si="0"/>
        <v>7.6396078431372542E-8</v>
      </c>
      <c r="G22" s="90">
        <f t="shared" si="1"/>
        <v>3.9725960784313719E-9</v>
      </c>
    </row>
    <row r="23" spans="1:10" s="17" customFormat="1" ht="14.25">
      <c r="A23" s="395" t="s">
        <v>299</v>
      </c>
      <c r="B23" s="83" t="s">
        <v>37</v>
      </c>
      <c r="C23" s="129">
        <f>INDEX('4 Flare1'!C:C,MATCH($A23,'4 Flare1'!$A:$A,0))</f>
        <v>8.3333333333333333E-7</v>
      </c>
      <c r="D23" s="122" t="str">
        <f>'4 Flare1'!D24</f>
        <v>lb/MMBtu</v>
      </c>
      <c r="E23" s="246" t="s">
        <v>239</v>
      </c>
      <c r="F23" s="90">
        <f t="shared" si="0"/>
        <v>7.7305555555555555E-7</v>
      </c>
      <c r="G23" s="90">
        <f t="shared" si="1"/>
        <v>4.0198888888888887E-8</v>
      </c>
    </row>
    <row r="24" spans="1:10" s="17" customFormat="1" ht="14.25">
      <c r="A24" s="395" t="s">
        <v>150</v>
      </c>
      <c r="B24" s="83" t="s">
        <v>19</v>
      </c>
      <c r="C24" s="129">
        <f>$D$81/(453.6*10^6)/35.31*10^6/$D$85*(1-$D$74)</f>
        <v>8.2260290102436012E-8</v>
      </c>
      <c r="D24" s="122" t="str">
        <f>'4 Flare1'!D25</f>
        <v>lb/MMBtu</v>
      </c>
      <c r="E24" s="246" t="s">
        <v>240</v>
      </c>
      <c r="F24" s="90">
        <f t="shared" si="0"/>
        <v>7.6310129118359809E-8</v>
      </c>
      <c r="G24" s="90">
        <f t="shared" si="1"/>
        <v>3.9681267141547099E-9</v>
      </c>
    </row>
    <row r="25" spans="1:10" s="17" customFormat="1" ht="14.25">
      <c r="A25" s="395" t="s">
        <v>65</v>
      </c>
      <c r="B25" s="83" t="s">
        <v>22</v>
      </c>
      <c r="C25" s="129">
        <f>INDEX('4 Flare1'!C:C,MATCH($A25,'4 Flare1'!$A:$A,0))</f>
        <v>7.3529411764705876E-5</v>
      </c>
      <c r="D25" s="122" t="str">
        <f>'4 Flare1'!D26</f>
        <v>lb/MMBtu</v>
      </c>
      <c r="E25" s="243">
        <v>5</v>
      </c>
      <c r="F25" s="90">
        <f t="shared" si="0"/>
        <v>6.8210784313725483E-5</v>
      </c>
      <c r="G25" s="90">
        <f t="shared" si="1"/>
        <v>3.546960784313725E-6</v>
      </c>
    </row>
    <row r="26" spans="1:10" s="17" customFormat="1" ht="14.25">
      <c r="A26" s="395" t="s">
        <v>154</v>
      </c>
      <c r="B26" s="83" t="s">
        <v>23</v>
      </c>
      <c r="C26" s="129">
        <f>INDEX('4 Flare1'!C:C,MATCH($A26,'4 Flare1'!$A:$A,0))</f>
        <v>1.7647058823529412E-3</v>
      </c>
      <c r="D26" s="122" t="str">
        <f>'4 Flare1'!D27</f>
        <v>lb/MMBtu</v>
      </c>
      <c r="E26" s="246" t="s">
        <v>240</v>
      </c>
      <c r="F26" s="90">
        <f t="shared" si="0"/>
        <v>1.6370588235294118E-3</v>
      </c>
      <c r="G26" s="90">
        <f t="shared" si="1"/>
        <v>8.5127058823529421E-5</v>
      </c>
    </row>
    <row r="27" spans="1:10" s="17" customFormat="1" ht="14.25" hidden="1">
      <c r="A27" s="395"/>
      <c r="B27" s="83"/>
      <c r="C27" s="129"/>
      <c r="D27" s="122"/>
      <c r="E27" s="246"/>
      <c r="F27" s="90"/>
      <c r="G27" s="90"/>
    </row>
    <row r="28" spans="1:10" s="17" customFormat="1" ht="14.25">
      <c r="A28" s="395" t="s">
        <v>306</v>
      </c>
      <c r="B28" s="83" t="s">
        <v>81</v>
      </c>
      <c r="C28" s="129">
        <f>INDEX('4 Flare1'!C:C,MATCH($A28,'4 Flare1'!$A:$A,0))</f>
        <v>4.9019607843137254E-7</v>
      </c>
      <c r="D28" s="122" t="str">
        <f>'4 Flare1'!D28</f>
        <v>lb/MMBtu</v>
      </c>
      <c r="E28" s="243">
        <v>1</v>
      </c>
      <c r="F28" s="90">
        <f>C28*$D$67</f>
        <v>4.5473856209150325E-7</v>
      </c>
      <c r="G28" s="90">
        <f>C28*$D$67*$D$68/2000</f>
        <v>2.364640522875817E-8</v>
      </c>
    </row>
    <row r="29" spans="1:10" s="17" customFormat="1" ht="14.25">
      <c r="A29" s="395" t="s">
        <v>305</v>
      </c>
      <c r="B29" s="83" t="s">
        <v>38</v>
      </c>
      <c r="C29" s="129">
        <f>INDEX('4 Flare1'!C:C,MATCH($A29,'4 Flare1'!$A:$A,0))</f>
        <v>3.7254901960784315E-7</v>
      </c>
      <c r="D29" s="122" t="str">
        <f>'4 Flare1'!D29</f>
        <v>lb/MMBtu</v>
      </c>
      <c r="E29" s="246" t="s">
        <v>239</v>
      </c>
      <c r="F29" s="90">
        <f>C29*$D$67</f>
        <v>3.4560130718954247E-7</v>
      </c>
      <c r="G29" s="90">
        <f>C29*$D$67*$D$68/2000</f>
        <v>1.7971267973856208E-8</v>
      </c>
    </row>
    <row r="30" spans="1:10" s="17" customFormat="1" ht="14.25">
      <c r="A30" s="395" t="s">
        <v>71</v>
      </c>
      <c r="B30" s="83" t="s">
        <v>39</v>
      </c>
      <c r="C30" s="129">
        <f>INDEX('4 Flare1'!C:C,MATCH($A30,'4 Flare1'!$A:$A,0))</f>
        <v>2.5490196078431371E-7</v>
      </c>
      <c r="D30" s="122" t="str">
        <f>'4 Flare1'!D30</f>
        <v>lb/MMBtu</v>
      </c>
      <c r="E30" s="246" t="s">
        <v>239</v>
      </c>
      <c r="F30" s="90">
        <f>C30*$D$67</f>
        <v>2.3646405228758168E-7</v>
      </c>
      <c r="G30" s="90">
        <f>C30*$D$67*$D$68/2000</f>
        <v>1.2296130718954248E-8</v>
      </c>
    </row>
    <row r="31" spans="1:10" s="17" customFormat="1" ht="14.25">
      <c r="A31" s="395" t="s">
        <v>67</v>
      </c>
      <c r="B31" s="83" t="s">
        <v>24</v>
      </c>
      <c r="C31" s="129">
        <f>C51</f>
        <v>5.9803921568627444E-7</v>
      </c>
      <c r="D31" s="122" t="str">
        <f>'4 Flare1'!D54</f>
        <v>lb/MMBtu</v>
      </c>
      <c r="E31" s="246" t="str">
        <f>E51</f>
        <v>5</v>
      </c>
      <c r="F31" s="90">
        <f>F51</f>
        <v>5.5478104575163388E-7</v>
      </c>
      <c r="G31" s="90">
        <f>G51</f>
        <v>2.8848614379084962E-8</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53" si="2">C32*$D$67</f>
        <v>1.9099019607843136E-6</v>
      </c>
      <c r="G32" s="90">
        <f t="shared" ref="G32:G53" si="3">C32*$D$67*$D$68/2000</f>
        <v>9.9314901960784308E-8</v>
      </c>
      <c r="H32" s="210"/>
    </row>
    <row r="33" spans="1:7" s="17" customFormat="1" ht="14.25">
      <c r="A33" s="395" t="s">
        <v>296</v>
      </c>
      <c r="B33" s="83" t="s">
        <v>82</v>
      </c>
      <c r="C33" s="104">
        <f>SUM(C34:C53)</f>
        <v>1.8609803921568625E-6</v>
      </c>
      <c r="D33" s="122" t="str">
        <f>'4 Flare1'!D33</f>
        <v>lb/MMBtu</v>
      </c>
      <c r="E33" s="246" t="s">
        <v>240</v>
      </c>
      <c r="F33" s="90">
        <f t="shared" si="2"/>
        <v>1.7263694771241827E-6</v>
      </c>
      <c r="G33" s="90">
        <f t="shared" si="3"/>
        <v>8.9771212810457487E-8</v>
      </c>
    </row>
    <row r="34" spans="1:7" s="17" customFormat="1" ht="14.25">
      <c r="A34" s="395" t="s">
        <v>285</v>
      </c>
      <c r="B34" s="105" t="s">
        <v>4</v>
      </c>
      <c r="C34" s="411">
        <f>INDEX('4 Flare1'!C:C,MATCH($A34,'4 Flare1'!$A:$A,0))</f>
        <v>2.3529411764705881E-8</v>
      </c>
      <c r="D34" s="131" t="str">
        <f>'4 Flare1'!D34</f>
        <v>lb/MMBtu</v>
      </c>
      <c r="E34" s="246" t="s">
        <v>240</v>
      </c>
      <c r="F34" s="107">
        <f t="shared" si="2"/>
        <v>2.1827450980392156E-8</v>
      </c>
      <c r="G34" s="107">
        <f t="shared" si="3"/>
        <v>1.1350274509803922E-9</v>
      </c>
    </row>
    <row r="35" spans="1:7" s="17" customFormat="1" ht="14.25">
      <c r="A35" s="395" t="s">
        <v>54</v>
      </c>
      <c r="B35" s="105" t="s">
        <v>5</v>
      </c>
      <c r="C35" s="411">
        <f>INDEX('4 Flare1'!C:C,MATCH($A35,'4 Flare1'!$A:$A,0))</f>
        <v>1.7647058823529412E-9</v>
      </c>
      <c r="D35" s="131" t="str">
        <f>'4 Flare1'!D35</f>
        <v>lb/MMBtu</v>
      </c>
      <c r="E35" s="246" t="s">
        <v>240</v>
      </c>
      <c r="F35" s="107">
        <f t="shared" si="2"/>
        <v>1.6370588235294116E-9</v>
      </c>
      <c r="G35" s="107">
        <f t="shared" si="3"/>
        <v>8.5127058823529401E-11</v>
      </c>
    </row>
    <row r="36" spans="1:7" s="17" customFormat="1" ht="14.25">
      <c r="A36" s="395" t="s">
        <v>55</v>
      </c>
      <c r="B36" s="105" t="s">
        <v>6</v>
      </c>
      <c r="C36" s="411">
        <f>INDEX('4 Flare1'!C:C,MATCH($A36,'4 Flare1'!$A:$A,0))</f>
        <v>1.5686274509803922E-8</v>
      </c>
      <c r="D36" s="131" t="str">
        <f>'4 Flare1'!D36</f>
        <v>lb/MMBtu</v>
      </c>
      <c r="E36" s="246" t="s">
        <v>240</v>
      </c>
      <c r="F36" s="107">
        <f t="shared" si="2"/>
        <v>1.4551633986928104E-8</v>
      </c>
      <c r="G36" s="107">
        <f t="shared" si="3"/>
        <v>7.5668496732026137E-10</v>
      </c>
    </row>
    <row r="37" spans="1:7" s="17" customFormat="1" ht="14.25">
      <c r="A37" s="395" t="s">
        <v>287</v>
      </c>
      <c r="B37" s="105" t="s">
        <v>7</v>
      </c>
      <c r="C37" s="411">
        <f>INDEX('4 Flare1'!C:C,MATCH($A37,'4 Flare1'!$A:$A,0))</f>
        <v>1.7647058823529412E-9</v>
      </c>
      <c r="D37" s="131" t="str">
        <f>'4 Flare1'!D37</f>
        <v>lb/MMBtu</v>
      </c>
      <c r="E37" s="246" t="s">
        <v>240</v>
      </c>
      <c r="F37" s="107">
        <f t="shared" si="2"/>
        <v>1.6370588235294116E-9</v>
      </c>
      <c r="G37" s="107">
        <f t="shared" si="3"/>
        <v>8.5127058823529401E-11</v>
      </c>
    </row>
    <row r="38" spans="1:7" s="17" customFormat="1" ht="14.25">
      <c r="A38" s="395" t="s">
        <v>286</v>
      </c>
      <c r="B38" s="105" t="s">
        <v>8</v>
      </c>
      <c r="C38" s="411">
        <f>INDEX('4 Flare1'!C:C,MATCH($A38,'4 Flare1'!$A:$A,0))</f>
        <v>1.7647058823529412E-9</v>
      </c>
      <c r="D38" s="131" t="str">
        <f>'4 Flare1'!D38</f>
        <v>lb/MMBtu</v>
      </c>
      <c r="E38" s="246" t="s">
        <v>240</v>
      </c>
      <c r="F38" s="107">
        <f t="shared" si="2"/>
        <v>1.6370588235294116E-9</v>
      </c>
      <c r="G38" s="107">
        <f t="shared" si="3"/>
        <v>8.5127058823529401E-11</v>
      </c>
    </row>
    <row r="39" spans="1:7" s="17" customFormat="1" ht="14.25">
      <c r="A39" s="395" t="s">
        <v>288</v>
      </c>
      <c r="B39" s="105" t="s">
        <v>11</v>
      </c>
      <c r="C39" s="411">
        <f>INDEX('4 Flare1'!C:C,MATCH($A39,'4 Flare1'!$A:$A,0))</f>
        <v>2.3529411764705881E-9</v>
      </c>
      <c r="D39" s="131" t="str">
        <f>'4 Flare1'!D39</f>
        <v>lb/MMBtu</v>
      </c>
      <c r="E39" s="246" t="s">
        <v>240</v>
      </c>
      <c r="F39" s="107">
        <f t="shared" si="2"/>
        <v>2.1827450980392153E-9</v>
      </c>
      <c r="G39" s="107">
        <f t="shared" si="3"/>
        <v>1.135027450980392E-10</v>
      </c>
    </row>
    <row r="40" spans="1:7" s="17" customFormat="1" ht="14.25">
      <c r="A40" s="395" t="s">
        <v>58</v>
      </c>
      <c r="B40" s="105" t="s">
        <v>83</v>
      </c>
      <c r="C40" s="411">
        <f>INDEX('4 Flare1'!C:C,MATCH($A40,'4 Flare1'!$A:$A,0))</f>
        <v>1.7647058823529412E-9</v>
      </c>
      <c r="D40" s="131" t="str">
        <f>'4 Flare1'!D40</f>
        <v>lb/MMBtu</v>
      </c>
      <c r="E40" s="246" t="s">
        <v>240</v>
      </c>
      <c r="F40" s="107">
        <f t="shared" si="2"/>
        <v>1.6370588235294116E-9</v>
      </c>
      <c r="G40" s="107">
        <f t="shared" si="3"/>
        <v>8.5127058823529401E-11</v>
      </c>
    </row>
    <row r="41" spans="1:7" s="17" customFormat="1" ht="14.25">
      <c r="A41" s="395" t="s">
        <v>60</v>
      </c>
      <c r="B41" s="105" t="s">
        <v>13</v>
      </c>
      <c r="C41" s="411">
        <f>INDEX('4 Flare1'!C:C,MATCH($A41,'4 Flare1'!$A:$A,0))</f>
        <v>1.176470588235294E-9</v>
      </c>
      <c r="D41" s="131" t="str">
        <f>'4 Flare1'!D41</f>
        <v>lb/MMBtu</v>
      </c>
      <c r="E41" s="246" t="s">
        <v>240</v>
      </c>
      <c r="F41" s="107">
        <f t="shared" si="2"/>
        <v>1.0913725490196077E-9</v>
      </c>
      <c r="G41" s="107">
        <f t="shared" si="3"/>
        <v>5.6751372549019601E-11</v>
      </c>
    </row>
    <row r="42" spans="1:7" s="17" customFormat="1" ht="14.25">
      <c r="A42" s="395" t="s">
        <v>61</v>
      </c>
      <c r="B42" s="105" t="s">
        <v>14</v>
      </c>
      <c r="C42" s="411">
        <f>INDEX('4 Flare1'!C:C,MATCH($A42,'4 Flare1'!$A:$A,0))</f>
        <v>1.7647058823529412E-9</v>
      </c>
      <c r="D42" s="131" t="str">
        <f>'4 Flare1'!D42</f>
        <v>lb/MMBtu</v>
      </c>
      <c r="E42" s="246" t="s">
        <v>240</v>
      </c>
      <c r="F42" s="107">
        <f t="shared" si="2"/>
        <v>1.6370588235294116E-9</v>
      </c>
      <c r="G42" s="107">
        <f t="shared" si="3"/>
        <v>8.5127058823529401E-11</v>
      </c>
    </row>
    <row r="43" spans="1:7" s="17" customFormat="1" ht="14.25">
      <c r="A43" s="395" t="s">
        <v>289</v>
      </c>
      <c r="B43" s="105" t="s">
        <v>15</v>
      </c>
      <c r="C43" s="411">
        <f>INDEX('4 Flare1'!C:C,MATCH($A43,'4 Flare1'!$A:$A,0))</f>
        <v>1.176470588235294E-9</v>
      </c>
      <c r="D43" s="131" t="str">
        <f>'4 Flare1'!D43</f>
        <v>lb/MMBtu</v>
      </c>
      <c r="E43" s="246" t="s">
        <v>240</v>
      </c>
      <c r="F43" s="107">
        <f t="shared" si="2"/>
        <v>1.0913725490196077E-9</v>
      </c>
      <c r="G43" s="107">
        <f t="shared" si="3"/>
        <v>5.6751372549019601E-11</v>
      </c>
    </row>
    <row r="44" spans="1:7" s="17" customFormat="1" ht="14.25">
      <c r="A44" s="395" t="s">
        <v>62</v>
      </c>
      <c r="B44" s="105" t="s">
        <v>16</v>
      </c>
      <c r="C44" s="411">
        <f>INDEX('4 Flare1'!C:C,MATCH($A44,'4 Flare1'!$A:$A,0))</f>
        <v>1.7647058823529412E-9</v>
      </c>
      <c r="D44" s="131" t="str">
        <f>'4 Flare1'!D44</f>
        <v>lb/MMBtu</v>
      </c>
      <c r="E44" s="246" t="s">
        <v>240</v>
      </c>
      <c r="F44" s="107">
        <f t="shared" si="2"/>
        <v>1.6370588235294116E-9</v>
      </c>
      <c r="G44" s="107">
        <f t="shared" si="3"/>
        <v>8.5127058823529401E-11</v>
      </c>
    </row>
    <row r="45" spans="1:7" s="17" customFormat="1" ht="14.25">
      <c r="A45" s="395" t="s">
        <v>63</v>
      </c>
      <c r="B45" s="109" t="s">
        <v>17</v>
      </c>
      <c r="C45" s="411">
        <f>INDEX('4 Flare1'!C:C,MATCH($A45,'4 Flare1'!$A:$A,0))</f>
        <v>1.7647058823529412E-9</v>
      </c>
      <c r="D45" s="131" t="str">
        <f>'4 Flare1'!D45</f>
        <v>lb/MMBtu</v>
      </c>
      <c r="E45" s="246" t="s">
        <v>240</v>
      </c>
      <c r="F45" s="107">
        <f t="shared" si="2"/>
        <v>1.6370588235294116E-9</v>
      </c>
      <c r="G45" s="107">
        <f t="shared" si="3"/>
        <v>8.5127058823529401E-11</v>
      </c>
    </row>
    <row r="46" spans="1:7" s="17" customFormat="1" ht="14.25">
      <c r="A46" s="395" t="s">
        <v>64</v>
      </c>
      <c r="B46" s="109" t="s">
        <v>84</v>
      </c>
      <c r="C46" s="411">
        <f>INDEX('4 Flare1'!C:C,MATCH($A46,'4 Flare1'!$A:$A,0))</f>
        <v>1.176470588235294E-9</v>
      </c>
      <c r="D46" s="131" t="str">
        <f>'4 Flare1'!D46</f>
        <v>lb/MMBtu</v>
      </c>
      <c r="E46" s="246" t="s">
        <v>240</v>
      </c>
      <c r="F46" s="107">
        <f t="shared" si="2"/>
        <v>1.0913725490196077E-9</v>
      </c>
      <c r="G46" s="107">
        <f t="shared" si="3"/>
        <v>5.6751372549019601E-11</v>
      </c>
    </row>
    <row r="47" spans="1:7" s="17" customFormat="1" ht="14.25">
      <c r="A47" s="395" t="s">
        <v>151</v>
      </c>
      <c r="B47" s="109" t="s">
        <v>283</v>
      </c>
      <c r="C47" s="411">
        <f>INDEX('4 Flare1'!C:C,MATCH($A47,'4 Flare1'!$A:$A,0))</f>
        <v>1.176470588235294E-6</v>
      </c>
      <c r="D47" s="131" t="str">
        <f>'4 Flare1'!D47</f>
        <v>lb/MMBtu</v>
      </c>
      <c r="E47" s="246" t="s">
        <v>240</v>
      </c>
      <c r="F47" s="107">
        <f t="shared" si="2"/>
        <v>1.0913725490196076E-6</v>
      </c>
      <c r="G47" s="107">
        <f t="shared" si="3"/>
        <v>5.6751372549019601E-8</v>
      </c>
    </row>
    <row r="48" spans="1:7" ht="14.25">
      <c r="A48" s="396" t="s">
        <v>291</v>
      </c>
      <c r="B48" s="109" t="s">
        <v>20</v>
      </c>
      <c r="C48" s="411">
        <f>INDEX('4 Flare1'!C:C,MATCH($A48,'4 Flare1'!$A:$A,0))</f>
        <v>2.9411764705882352E-9</v>
      </c>
      <c r="D48" s="131" t="str">
        <f>'4 Flare1'!D48</f>
        <v>lb/MMBtu</v>
      </c>
      <c r="E48" s="246" t="s">
        <v>240</v>
      </c>
      <c r="F48" s="107">
        <f t="shared" si="2"/>
        <v>2.7284313725490195E-9</v>
      </c>
      <c r="G48" s="107">
        <f t="shared" si="3"/>
        <v>1.4187843137254903E-10</v>
      </c>
    </row>
    <row r="49" spans="1:10" ht="14.25">
      <c r="A49" s="396" t="s">
        <v>292</v>
      </c>
      <c r="B49" s="109" t="s">
        <v>21</v>
      </c>
      <c r="C49" s="411">
        <f>INDEX('4 Flare1'!C:C,MATCH($A49,'4 Flare1'!$A:$A,0))</f>
        <v>2.7450980392156863E-9</v>
      </c>
      <c r="D49" s="131" t="str">
        <f>'4 Flare1'!D49</f>
        <v>lb/MMBtu</v>
      </c>
      <c r="E49" s="246" t="s">
        <v>240</v>
      </c>
      <c r="F49" s="107">
        <f t="shared" si="2"/>
        <v>2.5465359477124181E-9</v>
      </c>
      <c r="G49" s="107">
        <f t="shared" si="3"/>
        <v>1.3241986928104574E-10</v>
      </c>
    </row>
    <row r="50" spans="1:10" ht="14.25">
      <c r="A50" s="396" t="s">
        <v>66</v>
      </c>
      <c r="B50" s="109" t="s">
        <v>52</v>
      </c>
      <c r="C50" s="411">
        <f>INDEX('4 Flare1'!C:C,MATCH($A50,'4 Flare1'!$A:$A,0))</f>
        <v>1.7647058823529412E-9</v>
      </c>
      <c r="D50" s="131" t="str">
        <f>'4 Flare1'!D50</f>
        <v>lb/MMBtu</v>
      </c>
      <c r="E50" s="246" t="s">
        <v>240</v>
      </c>
      <c r="F50" s="107">
        <f t="shared" si="2"/>
        <v>1.6370588235294116E-9</v>
      </c>
      <c r="G50" s="107">
        <f t="shared" si="3"/>
        <v>8.5127058823529401E-11</v>
      </c>
    </row>
    <row r="51" spans="1:10" ht="14.25">
      <c r="A51" s="396" t="s">
        <v>67</v>
      </c>
      <c r="B51" s="109" t="s">
        <v>24</v>
      </c>
      <c r="C51" s="411">
        <f>INDEX('4 Flare1'!C:C,MATCH($A51,'4 Flare1'!$A:$A,0))</f>
        <v>5.9803921568627444E-7</v>
      </c>
      <c r="D51" s="131" t="str">
        <f>'4 Flare1'!D51</f>
        <v>lb/MMBtu</v>
      </c>
      <c r="E51" s="246" t="s">
        <v>240</v>
      </c>
      <c r="F51" s="107">
        <f t="shared" si="2"/>
        <v>5.5478104575163388E-7</v>
      </c>
      <c r="G51" s="107">
        <f t="shared" si="3"/>
        <v>2.8848614379084962E-8</v>
      </c>
    </row>
    <row r="52" spans="1:10" ht="14.25">
      <c r="A52" s="396" t="s">
        <v>294</v>
      </c>
      <c r="B52" s="109" t="s">
        <v>85</v>
      </c>
      <c r="C52" s="411">
        <f>INDEX('4 Flare1'!C:C,MATCH($A52,'4 Flare1'!$A:$A,0))</f>
        <v>1.6666666666666667E-8</v>
      </c>
      <c r="D52" s="131" t="str">
        <f>'4 Flare1'!D52</f>
        <v>lb/MMBtu</v>
      </c>
      <c r="E52" s="246" t="s">
        <v>240</v>
      </c>
      <c r="F52" s="107">
        <f t="shared" si="2"/>
        <v>1.5461111111111109E-8</v>
      </c>
      <c r="G52" s="107">
        <f t="shared" si="3"/>
        <v>8.0397777777777761E-10</v>
      </c>
    </row>
    <row r="53" spans="1:10" ht="14.25">
      <c r="A53" s="396" t="s">
        <v>295</v>
      </c>
      <c r="B53" s="109" t="s">
        <v>26</v>
      </c>
      <c r="C53" s="411">
        <f>INDEX('4 Flare1'!C:C,MATCH($A53,'4 Flare1'!$A:$A,0))</f>
        <v>4.9019607843137263E-9</v>
      </c>
      <c r="D53" s="131" t="str">
        <f>'4 Flare1'!D53</f>
        <v>lb/MMBtu</v>
      </c>
      <c r="E53" s="246" t="s">
        <v>240</v>
      </c>
      <c r="F53" s="107">
        <f t="shared" si="2"/>
        <v>4.5473856209150333E-9</v>
      </c>
      <c r="G53" s="107">
        <f t="shared" si="3"/>
        <v>2.3646405228758171E-10</v>
      </c>
      <c r="H53" s="136"/>
    </row>
    <row r="54" spans="1:10" s="17" customFormat="1" ht="14.25">
      <c r="A54" s="395" t="s">
        <v>68</v>
      </c>
      <c r="B54" s="83" t="s">
        <v>51</v>
      </c>
      <c r="C54" s="129">
        <f>INDEX('4 Flare1'!C:C,MATCH($A54,'4 Flare1'!$A:$A,0))</f>
        <v>5.1960784313725495E-4</v>
      </c>
      <c r="D54" s="122" t="str">
        <f>'4 Flare1'!D31</f>
        <v>lb/MMBtu</v>
      </c>
      <c r="E54" s="246" t="s">
        <v>235</v>
      </c>
      <c r="F54" s="90">
        <f>F52</f>
        <v>1.5461111111111109E-8</v>
      </c>
      <c r="G54" s="90">
        <f t="shared" ref="G54:G59" si="4">C54*$D$67*$D$68/2000</f>
        <v>2.5065189542483662E-5</v>
      </c>
      <c r="H54" s="126"/>
      <c r="I54" s="318"/>
      <c r="J54" s="318"/>
    </row>
    <row r="55" spans="1:10" ht="14.25">
      <c r="A55" s="396" t="s">
        <v>304</v>
      </c>
      <c r="B55" s="83" t="s">
        <v>41</v>
      </c>
      <c r="C55" s="411">
        <f>INDEX('4 Flare1'!C:C,MATCH($A55,'4 Flare1'!$A:$A,0))</f>
        <v>2.3529411764705881E-8</v>
      </c>
      <c r="D55" s="122" t="str">
        <f>'4 Flare1'!D55</f>
        <v>lb/MMBtu</v>
      </c>
      <c r="E55" s="246" t="s">
        <v>239</v>
      </c>
      <c r="F55" s="90">
        <f>C55*$D$67</f>
        <v>2.1827450980392156E-8</v>
      </c>
      <c r="G55" s="90">
        <f t="shared" si="4"/>
        <v>1.1350274509803922E-9</v>
      </c>
    </row>
    <row r="56" spans="1:10" ht="14.25">
      <c r="A56" s="396" t="s">
        <v>303</v>
      </c>
      <c r="B56" s="83" t="s">
        <v>27</v>
      </c>
      <c r="C56" s="129">
        <f>'4 Flare1'!C56</f>
        <v>1.468117677522642E-6</v>
      </c>
      <c r="D56" s="122" t="str">
        <f>'4 Flare1'!D56</f>
        <v>lb/MMBtu</v>
      </c>
      <c r="E56" s="246" t="s">
        <v>240</v>
      </c>
      <c r="F56" s="90">
        <f>C56*$D$67</f>
        <v>1.3619238321818375E-6</v>
      </c>
      <c r="G56" s="90">
        <f t="shared" si="4"/>
        <v>7.0820039273455552E-8</v>
      </c>
    </row>
    <row r="57" spans="1:10" ht="14.25">
      <c r="A57" s="396" t="s">
        <v>72</v>
      </c>
      <c r="B57" s="83" t="s">
        <v>42</v>
      </c>
      <c r="C57" s="411">
        <f>$D$84/(453.6*10^6)/35.31*10^6/$D$85*(1-$D$74)</f>
        <v>1.468117677522642E-6</v>
      </c>
      <c r="D57" s="122" t="str">
        <f>'4 Flare1'!D57</f>
        <v>lb/MMBtu</v>
      </c>
      <c r="E57" s="246" t="s">
        <v>239</v>
      </c>
      <c r="F57" s="90">
        <f>C57*$D$67</f>
        <v>1.3619238321818375E-6</v>
      </c>
      <c r="G57" s="90">
        <f t="shared" si="4"/>
        <v>7.0820039273455552E-8</v>
      </c>
    </row>
    <row r="58" spans="1:10" ht="14.25">
      <c r="A58" s="396" t="s">
        <v>147</v>
      </c>
      <c r="B58" s="83" t="s">
        <v>140</v>
      </c>
      <c r="C58" s="129">
        <f>'4 Flare1'!C58</f>
        <v>5.6325448639584649E-7</v>
      </c>
      <c r="D58" s="122" t="str">
        <f>'4 Flare1'!D58</f>
        <v>lb/MMBtu</v>
      </c>
      <c r="E58" s="243" t="s">
        <v>219</v>
      </c>
      <c r="F58" s="90">
        <f>C58*$D$67</f>
        <v>5.2251241187988025E-7</v>
      </c>
      <c r="G58" s="90">
        <f t="shared" si="4"/>
        <v>2.7170645417753773E-8</v>
      </c>
    </row>
    <row r="59" spans="1:10" ht="14.25">
      <c r="A59" s="396" t="s">
        <v>146</v>
      </c>
      <c r="B59" s="83" t="s">
        <v>141</v>
      </c>
      <c r="C59" s="129">
        <f>D82/(453.6*10^6)/35.31*10^6/$D$85*(1-$D$74)</f>
        <v>5.6325448639584649E-7</v>
      </c>
      <c r="D59" s="122" t="str">
        <f>'4 Flare1'!D59</f>
        <v>lb/MMBtu</v>
      </c>
      <c r="E59" s="243" t="s">
        <v>219</v>
      </c>
      <c r="F59" s="90">
        <f>C59*$D$67</f>
        <v>5.2251241187988025E-7</v>
      </c>
      <c r="G59" s="90">
        <f t="shared" si="4"/>
        <v>2.7170645417753773E-8</v>
      </c>
    </row>
    <row r="60" spans="1:10" ht="14.25">
      <c r="A60" s="396" t="s">
        <v>301</v>
      </c>
      <c r="B60" s="111" t="s">
        <v>49</v>
      </c>
      <c r="C60" s="133">
        <f>D83/(453.6*10^6)/35.31*10^6/$D$85*(1-$D$74)</f>
        <v>9.4256582409041224E-8</v>
      </c>
      <c r="D60" s="112"/>
      <c r="E60" s="303"/>
      <c r="F60" s="114">
        <f>SUM(F14:F33,F54:F59)-SUM(F23,F57,F27,F31,F54,F16)</f>
        <v>1.7267287226825356E-3</v>
      </c>
      <c r="G60" s="550">
        <f>SUM(G14:G33,G54:G59)-SUM(G23,G57,G27,G31,G54,G16)</f>
        <v>8.9789893579494338E-5</v>
      </c>
    </row>
    <row r="61" spans="1:10" s="166" customFormat="1" ht="6">
      <c r="A61" s="397"/>
      <c r="B61" s="422"/>
      <c r="C61" s="422"/>
      <c r="D61" s="422"/>
      <c r="E61" s="423"/>
      <c r="F61" s="535"/>
      <c r="G61" s="535"/>
      <c r="H61" s="165"/>
      <c r="I61" s="165"/>
    </row>
    <row r="62" spans="1:10">
      <c r="B62" s="7" t="s">
        <v>86</v>
      </c>
      <c r="C62" s="7"/>
      <c r="D62" s="7"/>
      <c r="G62" s="7"/>
    </row>
    <row r="63" spans="1:10" ht="14.25">
      <c r="B63" s="585" t="s">
        <v>221</v>
      </c>
      <c r="C63" s="585"/>
      <c r="D63" s="585"/>
      <c r="E63" s="585"/>
      <c r="F63" s="585"/>
      <c r="G63" s="585"/>
      <c r="H63" s="55" t="s">
        <v>110</v>
      </c>
    </row>
    <row r="64" spans="1:10">
      <c r="B64" s="585"/>
      <c r="C64" s="585"/>
      <c r="D64" s="585"/>
      <c r="E64" s="585"/>
      <c r="F64" s="585"/>
      <c r="G64" s="585"/>
    </row>
    <row r="65" spans="1:8" s="17" customFormat="1" ht="14.1" customHeight="1">
      <c r="A65" s="23"/>
      <c r="B65" s="586" t="s">
        <v>215</v>
      </c>
      <c r="C65" s="586"/>
      <c r="D65" s="586"/>
      <c r="E65" s="586"/>
      <c r="F65" s="586"/>
      <c r="G65" s="586"/>
      <c r="H65" s="55" t="s">
        <v>110</v>
      </c>
    </row>
    <row r="66" spans="1:8" s="17" customFormat="1" ht="14.1" customHeight="1">
      <c r="A66" s="23"/>
      <c r="B66" s="586"/>
      <c r="C66" s="586"/>
      <c r="D66" s="586"/>
      <c r="E66" s="586"/>
      <c r="F66" s="586"/>
      <c r="G66" s="586"/>
    </row>
    <row r="67" spans="1:8" s="17" customFormat="1" ht="14.25">
      <c r="A67" s="23"/>
      <c r="B67" s="318"/>
      <c r="C67" s="42" t="s">
        <v>170</v>
      </c>
      <c r="D67" s="332">
        <f>'1 Rates'!B36</f>
        <v>0.92766666666666664</v>
      </c>
      <c r="E67" s="299" t="s">
        <v>241</v>
      </c>
      <c r="F67" s="4"/>
      <c r="G67" s="42"/>
    </row>
    <row r="68" spans="1:8" s="17" customFormat="1" ht="14.25">
      <c r="A68" s="23"/>
      <c r="B68" s="318"/>
      <c r="C68" s="44" t="s">
        <v>87</v>
      </c>
      <c r="D68" s="45">
        <f>'1 Rates'!D35</f>
        <v>104</v>
      </c>
      <c r="E68" s="299" t="s">
        <v>241</v>
      </c>
      <c r="F68" s="4"/>
      <c r="G68" s="44"/>
    </row>
    <row r="69" spans="1:8" s="17" customFormat="1" ht="14.25">
      <c r="A69" s="23"/>
      <c r="B69" s="318"/>
      <c r="C69" s="42" t="s">
        <v>171</v>
      </c>
      <c r="D69" s="45">
        <f>'1 Rates'!B35*60</f>
        <v>4166.666666666667</v>
      </c>
      <c r="E69" s="299" t="s">
        <v>241</v>
      </c>
      <c r="F69" s="4"/>
      <c r="G69" s="44"/>
    </row>
    <row r="70" spans="1:8" s="17" customFormat="1" ht="14.25">
      <c r="A70" s="23"/>
      <c r="B70" s="586" t="s">
        <v>222</v>
      </c>
      <c r="C70" s="586"/>
      <c r="D70" s="586"/>
      <c r="E70" s="586"/>
      <c r="F70" s="586"/>
      <c r="G70" s="586"/>
      <c r="H70" s="55" t="s">
        <v>110</v>
      </c>
    </row>
    <row r="71" spans="1:8" s="17" customFormat="1" ht="14.25">
      <c r="A71" s="23"/>
      <c r="B71" s="586"/>
      <c r="C71" s="586"/>
      <c r="D71" s="586"/>
      <c r="E71" s="586"/>
      <c r="F71" s="586"/>
      <c r="G71" s="586"/>
      <c r="H71" s="55" t="s">
        <v>110</v>
      </c>
    </row>
    <row r="72" spans="1:8" s="17" customFormat="1" ht="14.25">
      <c r="A72" s="23"/>
      <c r="B72" s="318"/>
      <c r="C72" s="59" t="s">
        <v>121</v>
      </c>
      <c r="D72" s="50">
        <f>'2 Gas Data'!K8</f>
        <v>6.744E-2</v>
      </c>
      <c r="E72" s="299" t="s">
        <v>284</v>
      </c>
      <c r="F72" s="413"/>
      <c r="G72" s="413"/>
      <c r="H72" s="309"/>
    </row>
    <row r="73" spans="1:8" s="17" customFormat="1" ht="14.25">
      <c r="A73" s="23"/>
      <c r="B73" s="318"/>
      <c r="C73" s="152" t="s">
        <v>174</v>
      </c>
      <c r="D73" s="54">
        <f>'2 Gas Data'!K9</f>
        <v>0</v>
      </c>
      <c r="E73" s="299" t="s">
        <v>284</v>
      </c>
      <c r="F73" s="416"/>
      <c r="G73" s="49"/>
      <c r="H73" s="49"/>
    </row>
    <row r="74" spans="1:8" s="17" customFormat="1" ht="14.25">
      <c r="A74" s="23"/>
      <c r="B74" s="318"/>
      <c r="C74" s="152" t="s">
        <v>156</v>
      </c>
      <c r="D74" s="53">
        <f>'4 Flare1'!$D$74</f>
        <v>0.99</v>
      </c>
      <c r="E74" s="299" t="s">
        <v>234</v>
      </c>
      <c r="F74" s="416"/>
      <c r="G74" s="49"/>
      <c r="H74" s="49"/>
    </row>
    <row r="75" spans="1:8" s="17" customFormat="1" ht="14.25">
      <c r="A75" s="23"/>
      <c r="B75" s="587" t="s">
        <v>223</v>
      </c>
      <c r="C75" s="587"/>
      <c r="D75" s="587"/>
      <c r="E75" s="587"/>
      <c r="F75" s="587"/>
      <c r="G75" s="587"/>
      <c r="H75" s="55" t="s">
        <v>110</v>
      </c>
    </row>
    <row r="76" spans="1:8" s="17" customFormat="1" ht="14.25">
      <c r="A76" s="23"/>
      <c r="B76" s="587"/>
      <c r="C76" s="587"/>
      <c r="D76" s="587"/>
      <c r="E76" s="587"/>
      <c r="F76" s="587"/>
      <c r="G76" s="587"/>
      <c r="H76" s="55" t="s">
        <v>110</v>
      </c>
    </row>
    <row r="77" spans="1:8" ht="14.25">
      <c r="B77" s="318"/>
      <c r="C77" s="9" t="s">
        <v>173</v>
      </c>
      <c r="D77" s="313">
        <f>'2 Gas Data'!K10</f>
        <v>1.0156311215023474E-3</v>
      </c>
      <c r="E77" s="299" t="s">
        <v>284</v>
      </c>
      <c r="F77" s="48"/>
      <c r="G77" s="413"/>
    </row>
    <row r="78" spans="1:8" ht="14.25">
      <c r="B78" s="580" t="s">
        <v>224</v>
      </c>
      <c r="C78" s="580"/>
      <c r="D78" s="580"/>
      <c r="E78" s="580"/>
      <c r="F78" s="580"/>
      <c r="G78" s="580"/>
      <c r="H78" s="55" t="s">
        <v>110</v>
      </c>
    </row>
    <row r="79" spans="1:8" ht="14.25">
      <c r="B79" s="580"/>
      <c r="C79" s="580"/>
      <c r="D79" s="580"/>
      <c r="E79" s="580"/>
      <c r="F79" s="580"/>
      <c r="G79" s="580"/>
      <c r="H79" s="55" t="s">
        <v>110</v>
      </c>
    </row>
    <row r="80" spans="1:8" ht="14.25">
      <c r="B80" s="318"/>
      <c r="C80" s="150" t="s">
        <v>177</v>
      </c>
      <c r="D80" s="151">
        <f>'2 Gas Data'!K11</f>
        <v>2980</v>
      </c>
      <c r="E80" s="299" t="s">
        <v>284</v>
      </c>
      <c r="F80" s="48"/>
      <c r="G80" s="413"/>
    </row>
    <row r="81" spans="1:9" ht="14.25">
      <c r="B81" s="318"/>
      <c r="C81" s="150" t="s">
        <v>178</v>
      </c>
      <c r="D81" s="151">
        <f>'2 Gas Data'!K12</f>
        <v>144</v>
      </c>
      <c r="E81" s="299" t="s">
        <v>284</v>
      </c>
      <c r="F81" s="48"/>
      <c r="G81" s="413"/>
    </row>
    <row r="82" spans="1:9" ht="14.25">
      <c r="B82" s="318"/>
      <c r="C82" s="150" t="s">
        <v>179</v>
      </c>
      <c r="D82" s="151">
        <f>'2 Gas Data'!K13</f>
        <v>986</v>
      </c>
      <c r="E82" s="299" t="s">
        <v>284</v>
      </c>
      <c r="F82" s="48"/>
      <c r="G82" s="413"/>
    </row>
    <row r="83" spans="1:9" ht="14.25">
      <c r="B83" s="318"/>
      <c r="C83" s="150" t="s">
        <v>180</v>
      </c>
      <c r="D83" s="151">
        <f>'2 Gas Data'!K14</f>
        <v>165</v>
      </c>
      <c r="E83" s="299" t="s">
        <v>284</v>
      </c>
      <c r="F83" s="48"/>
      <c r="G83" s="413"/>
    </row>
    <row r="84" spans="1:9" ht="14.25">
      <c r="B84" s="318"/>
      <c r="C84" s="150" t="s">
        <v>181</v>
      </c>
      <c r="D84" s="151">
        <f>'2 Gas Data'!K15</f>
        <v>2570</v>
      </c>
      <c r="E84" s="299" t="s">
        <v>284</v>
      </c>
      <c r="F84" s="48"/>
      <c r="G84" s="413"/>
    </row>
    <row r="85" spans="1:9" ht="14.25">
      <c r="B85" s="4"/>
      <c r="C85" s="152" t="s">
        <v>182</v>
      </c>
      <c r="D85" s="10">
        <f>'2 Gas Data'!$B$7</f>
        <v>1092.953013546987</v>
      </c>
      <c r="E85" s="299" t="s">
        <v>284</v>
      </c>
      <c r="F85" s="431"/>
      <c r="G85" s="79"/>
    </row>
    <row r="86" spans="1:9" ht="14.25">
      <c r="B86" s="586" t="s">
        <v>224</v>
      </c>
      <c r="C86" s="586"/>
      <c r="D86" s="586"/>
      <c r="E86" s="586"/>
      <c r="F86" s="586"/>
      <c r="G86" s="586"/>
      <c r="H86" s="55" t="s">
        <v>110</v>
      </c>
      <c r="I86" s="235"/>
    </row>
    <row r="87" spans="1:9" ht="14.25">
      <c r="B87" s="586"/>
      <c r="C87" s="586"/>
      <c r="D87" s="586"/>
      <c r="E87" s="586"/>
      <c r="F87" s="586"/>
      <c r="G87" s="586"/>
      <c r="H87" s="55" t="s">
        <v>110</v>
      </c>
      <c r="I87" s="235"/>
    </row>
    <row r="88" spans="1:9" s="166" customFormat="1" ht="6">
      <c r="A88" s="397"/>
      <c r="B88" s="167"/>
      <c r="C88" s="167"/>
      <c r="D88" s="167"/>
      <c r="E88" s="167"/>
      <c r="F88" s="167"/>
      <c r="G88" s="167"/>
      <c r="H88" s="168"/>
      <c r="I88" s="169"/>
    </row>
    <row r="89" spans="1:9">
      <c r="B89" s="46" t="s">
        <v>32</v>
      </c>
      <c r="C89" s="46"/>
      <c r="D89" s="46"/>
      <c r="E89" s="47"/>
      <c r="F89" s="47"/>
      <c r="G89" s="46"/>
    </row>
    <row r="90" spans="1:9" ht="12" customHeight="1">
      <c r="B90" s="565" t="s">
        <v>236</v>
      </c>
      <c r="C90" s="565"/>
      <c r="D90" s="565"/>
      <c r="E90" s="565"/>
      <c r="F90" s="565"/>
      <c r="G90" s="565"/>
      <c r="H90" s="55" t="s">
        <v>110</v>
      </c>
    </row>
    <row r="91" spans="1:9">
      <c r="B91" s="565"/>
      <c r="C91" s="565"/>
      <c r="D91" s="565"/>
      <c r="E91" s="565"/>
      <c r="F91" s="565"/>
      <c r="G91" s="565"/>
    </row>
    <row r="92" spans="1:9" ht="12" customHeight="1">
      <c r="B92" s="565"/>
      <c r="C92" s="565"/>
      <c r="D92" s="565"/>
      <c r="E92" s="565"/>
      <c r="F92" s="565"/>
      <c r="G92" s="565"/>
    </row>
    <row r="93" spans="1:9" ht="12" customHeight="1">
      <c r="B93" s="565"/>
      <c r="C93" s="565"/>
      <c r="D93" s="565"/>
      <c r="E93" s="565"/>
      <c r="F93" s="565"/>
      <c r="G93" s="565"/>
    </row>
    <row r="94" spans="1:9" ht="13.9" customHeight="1">
      <c r="B94" s="565" t="s">
        <v>237</v>
      </c>
      <c r="C94" s="565"/>
      <c r="D94" s="565"/>
      <c r="E94" s="565"/>
      <c r="F94" s="565"/>
      <c r="G94" s="565"/>
      <c r="H94" s="55" t="s">
        <v>110</v>
      </c>
    </row>
    <row r="95" spans="1:9" s="324" customFormat="1" ht="14.25">
      <c r="A95" s="81"/>
      <c r="B95" s="566" t="s">
        <v>366</v>
      </c>
      <c r="C95" s="566"/>
      <c r="D95" s="566"/>
      <c r="E95" s="566"/>
      <c r="F95" s="566"/>
      <c r="G95" s="566"/>
      <c r="H95" s="55" t="s">
        <v>110</v>
      </c>
    </row>
    <row r="96" spans="1:9" s="324" customFormat="1">
      <c r="A96" s="81"/>
      <c r="B96" s="566"/>
      <c r="C96" s="566"/>
      <c r="D96" s="566"/>
      <c r="E96" s="566"/>
      <c r="F96" s="566"/>
      <c r="G96" s="566"/>
    </row>
    <row r="97" spans="1:8" s="324" customFormat="1">
      <c r="A97" s="81"/>
      <c r="B97" s="566"/>
      <c r="C97" s="566"/>
      <c r="D97" s="566"/>
      <c r="E97" s="566"/>
      <c r="F97" s="566"/>
      <c r="G97" s="566"/>
    </row>
    <row r="98" spans="1:8" ht="13.9" customHeight="1">
      <c r="B98" s="566" t="s">
        <v>355</v>
      </c>
      <c r="C98" s="565"/>
      <c r="D98" s="565"/>
      <c r="E98" s="565"/>
      <c r="F98" s="565"/>
      <c r="G98" s="565"/>
      <c r="H98" s="55" t="s">
        <v>110</v>
      </c>
    </row>
    <row r="99" spans="1:8">
      <c r="B99" s="565"/>
      <c r="C99" s="565"/>
      <c r="D99" s="565"/>
      <c r="E99" s="565"/>
      <c r="F99" s="565"/>
      <c r="G99" s="565"/>
    </row>
    <row r="100" spans="1:8">
      <c r="B100" s="565"/>
      <c r="C100" s="565"/>
      <c r="D100" s="565"/>
      <c r="E100" s="565"/>
      <c r="F100" s="565"/>
      <c r="G100" s="565"/>
    </row>
    <row r="101" spans="1:8">
      <c r="B101" s="565"/>
      <c r="C101" s="565"/>
      <c r="D101" s="565"/>
      <c r="E101" s="565"/>
      <c r="F101" s="565"/>
      <c r="G101" s="565"/>
    </row>
    <row r="102" spans="1:8" ht="13.9" customHeight="1">
      <c r="B102" s="582" t="s">
        <v>357</v>
      </c>
      <c r="C102" s="564"/>
      <c r="D102" s="564"/>
      <c r="E102" s="564"/>
      <c r="F102" s="564"/>
      <c r="G102" s="564"/>
      <c r="H102" s="55" t="s">
        <v>110</v>
      </c>
    </row>
    <row r="103" spans="1:8" ht="14.25">
      <c r="B103" s="564" t="s">
        <v>315</v>
      </c>
      <c r="C103" s="564"/>
      <c r="D103" s="564"/>
      <c r="E103" s="564"/>
      <c r="F103" s="564"/>
      <c r="G103" s="564"/>
      <c r="H103" s="63"/>
    </row>
    <row r="104" spans="1:8">
      <c r="B104" s="2"/>
      <c r="C104" s="5"/>
      <c r="D104" s="5"/>
      <c r="F104" s="5"/>
      <c r="H104" s="63"/>
    </row>
    <row r="105" spans="1:8">
      <c r="B105" s="2"/>
      <c r="C105" s="2"/>
      <c r="D105" s="2"/>
      <c r="F105" s="2"/>
      <c r="H105" s="63"/>
    </row>
    <row r="106" spans="1:8" ht="14.25">
      <c r="B106" s="536" t="s">
        <v>359</v>
      </c>
      <c r="C106" s="2"/>
      <c r="D106" s="2"/>
      <c r="F106" s="2"/>
      <c r="H106" s="55" t="s">
        <v>110</v>
      </c>
    </row>
    <row r="107" spans="1:8" ht="14.25">
      <c r="B107" s="536" t="s">
        <v>361</v>
      </c>
      <c r="C107" s="3"/>
      <c r="D107" s="3"/>
      <c r="F107" s="3"/>
      <c r="H107" s="55" t="s">
        <v>110</v>
      </c>
    </row>
  </sheetData>
  <mergeCells count="13">
    <mergeCell ref="B103:G103"/>
    <mergeCell ref="C3:E4"/>
    <mergeCell ref="B63:G64"/>
    <mergeCell ref="B65:G66"/>
    <mergeCell ref="B70:G71"/>
    <mergeCell ref="B75:G76"/>
    <mergeCell ref="B78:G79"/>
    <mergeCell ref="B86:G87"/>
    <mergeCell ref="B90:G93"/>
    <mergeCell ref="B94:G94"/>
    <mergeCell ref="B98:G101"/>
    <mergeCell ref="B102:G102"/>
    <mergeCell ref="B95:G97"/>
  </mergeCells>
  <conditionalFormatting sqref="G8 G25:G30 G32:G53 G55">
    <cfRule type="cellIs" dxfId="79" priority="25" operator="greaterThan">
      <formula>#REF!</formula>
    </cfRule>
    <cfRule type="cellIs" dxfId="78" priority="26" operator="greaterThan">
      <formula>#REF!</formula>
    </cfRule>
  </conditionalFormatting>
  <conditionalFormatting sqref="G17 G19:G23">
    <cfRule type="cellIs" dxfId="77" priority="23" operator="greaterThan">
      <formula>#REF!</formula>
    </cfRule>
    <cfRule type="cellIs" dxfId="76" priority="24" operator="greaterThan">
      <formula>#REF!</formula>
    </cfRule>
  </conditionalFormatting>
  <conditionalFormatting sqref="G57">
    <cfRule type="cellIs" dxfId="75" priority="21" operator="greaterThan">
      <formula>#REF!</formula>
    </cfRule>
    <cfRule type="cellIs" dxfId="74" priority="22" operator="greaterThan">
      <formula>#REF!</formula>
    </cfRule>
  </conditionalFormatting>
  <conditionalFormatting sqref="G23">
    <cfRule type="cellIs" dxfId="73" priority="19" operator="greaterThan">
      <formula>#REF!</formula>
    </cfRule>
    <cfRule type="cellIs" dxfId="72" priority="20" operator="greaterThan">
      <formula>#REF!</formula>
    </cfRule>
  </conditionalFormatting>
  <conditionalFormatting sqref="G11">
    <cfRule type="cellIs" dxfId="71" priority="17" operator="greaterThan">
      <formula>#REF!</formula>
    </cfRule>
    <cfRule type="cellIs" dxfId="70" priority="18" operator="greaterThan">
      <formula>#REF!</formula>
    </cfRule>
  </conditionalFormatting>
  <conditionalFormatting sqref="G12">
    <cfRule type="cellIs" dxfId="69" priority="15" operator="greaterThan">
      <formula>#REF!</formula>
    </cfRule>
    <cfRule type="cellIs" dxfId="68" priority="16" operator="greaterThan">
      <formula>#REF!</formula>
    </cfRule>
  </conditionalFormatting>
  <conditionalFormatting sqref="G18">
    <cfRule type="cellIs" dxfId="67" priority="13" operator="greaterThan">
      <formula>#REF!</formula>
    </cfRule>
    <cfRule type="cellIs" dxfId="66" priority="14" operator="greaterThan">
      <formula>#REF!</formula>
    </cfRule>
  </conditionalFormatting>
  <conditionalFormatting sqref="G24">
    <cfRule type="cellIs" dxfId="65" priority="11" operator="greaterThan">
      <formula>#REF!</formula>
    </cfRule>
    <cfRule type="cellIs" dxfId="64" priority="12" operator="greaterThan">
      <formula>#REF!</formula>
    </cfRule>
  </conditionalFormatting>
  <conditionalFormatting sqref="G56">
    <cfRule type="cellIs" dxfId="63" priority="9" operator="greaterThan">
      <formula>#REF!</formula>
    </cfRule>
    <cfRule type="cellIs" dxfId="62" priority="10" operator="greaterThan">
      <formula>#REF!</formula>
    </cfRule>
  </conditionalFormatting>
  <conditionalFormatting sqref="G58:G59">
    <cfRule type="cellIs" dxfId="61" priority="7" operator="greaterThan">
      <formula>#REF!</formula>
    </cfRule>
    <cfRule type="cellIs" dxfId="60" priority="8" operator="greaterThan">
      <formula>#REF!</formula>
    </cfRule>
  </conditionalFormatting>
  <conditionalFormatting sqref="G14:G16">
    <cfRule type="cellIs" dxfId="59" priority="3" operator="greaterThan">
      <formula>#REF!</formula>
    </cfRule>
    <cfRule type="cellIs" dxfId="58" priority="4" operator="greaterThan">
      <formula>#REF!</formula>
    </cfRule>
  </conditionalFormatting>
  <conditionalFormatting sqref="G54">
    <cfRule type="cellIs" dxfId="57" priority="1" operator="greaterThan">
      <formula>#REF!</formula>
    </cfRule>
    <cfRule type="cellIs" dxfId="56" priority="2" operator="greaterThan">
      <formula>#REF!</formula>
    </cfRule>
  </conditionalFormatting>
  <printOptions horizontalCentered="1"/>
  <pageMargins left="0.75" right="0.75" top="1.6" bottom="1" header="0.75" footer="0.5"/>
  <pageSetup paperSize="119" orientation="portrait" r:id="rId1"/>
  <headerFooter>
    <oddHeader>&amp;C&amp;"-,Bold"Table B-12
LNG Transfer B: Potential Emissions from Enclosed Ground Flare Burners
Puget Sound Energy – Liquefied Natural Gas Project
Tacoma, Washington&amp;R&amp;8Page &amp;P of &amp;N</oddHeader>
    <oddFooter>&amp;L&amp;6 May 2017  &amp;Z&amp;F  &amp;A&amp;R&amp;9Landau Associates</oddFooter>
  </headerFooter>
  <extLst>
    <ext xmlns:x14="http://schemas.microsoft.com/office/spreadsheetml/2009/9/main" uri="{78C0D931-6437-407d-A8EE-F0AAD7539E65}">
      <x14:conditionalFormattings>
        <x14:conditionalFormatting xmlns:xm="http://schemas.microsoft.com/office/excel/2006/main">
          <x14:cfRule type="cellIs" priority="5" operator="greaterThan" id="{38CB79FC-1998-4EB0-AA04-D3B675ED7C6F}">
            <xm:f>'7 Flare4'!#REF!</xm:f>
            <x14:dxf>
              <font>
                <condense val="0"/>
                <extend val="0"/>
                <color rgb="FF9C6500"/>
              </font>
              <fill>
                <patternFill>
                  <bgColor rgb="FFFFEB9C"/>
                </patternFill>
              </fill>
            </x14:dxf>
          </x14:cfRule>
          <x14:cfRule type="cellIs" priority="6" operator="greaterThan" id="{784C2A83-2930-4A6E-804F-FE41697AC162}">
            <xm:f>'7 Flare4'!#REF!</xm:f>
            <x14:dxf>
              <font>
                <condense val="0"/>
                <extend val="0"/>
                <color rgb="FF9C0006"/>
              </font>
              <fill>
                <patternFill>
                  <bgColor rgb="FFFFC7CE"/>
                </patternFill>
              </fill>
            </x14:dxf>
          </x14:cfRule>
          <xm:sqref>G31:H31 H54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77"/>
  <sheetViews>
    <sheetView topLeftCell="A7" zoomScaleNormal="100" zoomScaleSheetLayoutView="100" zoomScalePageLayoutView="85" workbookViewId="0">
      <selection activeCell="M46" sqref="M46"/>
    </sheetView>
  </sheetViews>
  <sheetFormatPr defaultColWidth="9.140625" defaultRowHeight="12"/>
  <cols>
    <col min="1" max="1" width="19" style="432" customWidth="1"/>
    <col min="2" max="2" width="12.28515625" style="432" bestFit="1" customWidth="1"/>
    <col min="3" max="11" width="12.28515625" style="432" customWidth="1"/>
    <col min="12" max="12" width="12.7109375" style="432" customWidth="1"/>
    <col min="13" max="13" width="11.5703125" style="432" customWidth="1"/>
    <col min="14" max="14" width="1.7109375" style="432" bestFit="1" customWidth="1"/>
    <col min="15" max="20" width="7.85546875" style="432" customWidth="1"/>
    <col min="21" max="21" width="9.140625" style="432"/>
    <col min="22" max="16384" width="9.140625" style="324"/>
  </cols>
  <sheetData>
    <row r="1" spans="1:33">
      <c r="A1" s="163" t="s">
        <v>197</v>
      </c>
      <c r="B1" s="162"/>
      <c r="C1" s="162"/>
      <c r="D1" s="162"/>
      <c r="E1" s="162"/>
      <c r="F1" s="162"/>
      <c r="G1" s="162"/>
      <c r="H1" s="162"/>
      <c r="I1" s="162"/>
      <c r="J1" s="162"/>
      <c r="K1" s="162"/>
      <c r="L1" s="162"/>
      <c r="M1" s="162"/>
    </row>
    <row r="3" spans="1:33" s="432" customFormat="1">
      <c r="A3" s="171" t="s">
        <v>228</v>
      </c>
      <c r="B3" s="172"/>
      <c r="C3" s="173"/>
      <c r="D3" s="173"/>
      <c r="E3" s="173"/>
      <c r="F3" s="173"/>
      <c r="G3" s="173"/>
      <c r="H3" s="173"/>
      <c r="I3" s="173"/>
      <c r="J3" s="173"/>
      <c r="K3" s="173"/>
      <c r="V3" s="324"/>
      <c r="W3" s="324"/>
      <c r="X3" s="324"/>
      <c r="Y3" s="324"/>
      <c r="Z3" s="324"/>
      <c r="AA3" s="324"/>
      <c r="AB3" s="324"/>
      <c r="AC3" s="324"/>
      <c r="AD3" s="324"/>
      <c r="AE3" s="324"/>
      <c r="AF3" s="324"/>
      <c r="AG3" s="324"/>
    </row>
    <row r="4" spans="1:33" s="432" customFormat="1">
      <c r="A4" s="592" t="s">
        <v>130</v>
      </c>
      <c r="B4" s="595" t="s">
        <v>43</v>
      </c>
      <c r="C4" s="478"/>
      <c r="D4" s="479"/>
      <c r="E4" s="479"/>
      <c r="F4" s="479"/>
      <c r="G4" s="479"/>
      <c r="H4" s="479"/>
      <c r="I4" s="479"/>
      <c r="J4" s="479"/>
      <c r="K4" s="480"/>
      <c r="L4" s="589" t="s">
        <v>245</v>
      </c>
      <c r="M4" s="589" t="s">
        <v>246</v>
      </c>
      <c r="V4" s="324"/>
      <c r="W4" s="324"/>
      <c r="X4" s="324"/>
      <c r="Y4" s="324"/>
      <c r="Z4" s="324"/>
      <c r="AA4" s="324"/>
      <c r="AB4" s="324"/>
      <c r="AC4" s="324"/>
      <c r="AD4" s="324"/>
      <c r="AE4" s="324"/>
      <c r="AF4" s="324"/>
      <c r="AG4" s="324"/>
    </row>
    <row r="5" spans="1:33" s="432" customFormat="1" ht="14.25">
      <c r="A5" s="593"/>
      <c r="B5" s="596"/>
      <c r="C5" s="481" t="s">
        <v>139</v>
      </c>
      <c r="D5" s="482"/>
      <c r="E5" s="482"/>
      <c r="F5" s="482"/>
      <c r="G5" s="482"/>
      <c r="H5" s="482"/>
      <c r="I5" s="482"/>
      <c r="J5" s="482"/>
      <c r="K5" s="482"/>
      <c r="L5" s="590"/>
      <c r="M5" s="590"/>
      <c r="N5" s="483"/>
      <c r="V5" s="324"/>
      <c r="W5" s="324"/>
      <c r="X5" s="324"/>
      <c r="Y5" s="324"/>
      <c r="Z5" s="324"/>
      <c r="AA5" s="324"/>
      <c r="AB5" s="324"/>
      <c r="AC5" s="324"/>
      <c r="AD5" s="324"/>
      <c r="AE5" s="324"/>
      <c r="AF5" s="324"/>
      <c r="AG5" s="324"/>
    </row>
    <row r="6" spans="1:33" s="432" customFormat="1" ht="24.75" thickBot="1">
      <c r="A6" s="594"/>
      <c r="B6" s="597"/>
      <c r="C6" s="247" t="s">
        <v>134</v>
      </c>
      <c r="D6" s="248" t="s">
        <v>230</v>
      </c>
      <c r="E6" s="248" t="s">
        <v>76</v>
      </c>
      <c r="F6" s="248" t="s">
        <v>135</v>
      </c>
      <c r="G6" s="248" t="s">
        <v>136</v>
      </c>
      <c r="H6" s="248" t="s">
        <v>225</v>
      </c>
      <c r="I6" s="248" t="s">
        <v>137</v>
      </c>
      <c r="J6" s="248" t="s">
        <v>117</v>
      </c>
      <c r="K6" s="248" t="s">
        <v>138</v>
      </c>
      <c r="L6" s="591"/>
      <c r="M6" s="591"/>
      <c r="N6" s="483"/>
      <c r="U6" s="174" t="s">
        <v>159</v>
      </c>
      <c r="V6" s="324"/>
      <c r="W6" s="324"/>
      <c r="X6" s="324"/>
      <c r="Y6" s="324"/>
      <c r="Z6" s="324"/>
      <c r="AA6" s="324"/>
      <c r="AB6" s="324"/>
      <c r="AC6" s="324"/>
      <c r="AD6" s="324"/>
      <c r="AE6" s="324"/>
      <c r="AF6" s="324"/>
      <c r="AG6" s="324"/>
    </row>
    <row r="7" spans="1:33" s="432" customFormat="1" ht="12.75" thickTop="1">
      <c r="A7" s="147" t="s">
        <v>132</v>
      </c>
      <c r="B7" s="175" t="s">
        <v>44</v>
      </c>
      <c r="C7" s="176">
        <v>39</v>
      </c>
      <c r="D7" s="177">
        <v>9</v>
      </c>
      <c r="E7" s="177">
        <v>12</v>
      </c>
      <c r="F7" s="177">
        <v>36</v>
      </c>
      <c r="G7" s="177"/>
      <c r="H7" s="177"/>
      <c r="I7" s="177">
        <v>112</v>
      </c>
      <c r="J7" s="177">
        <v>185</v>
      </c>
      <c r="K7" s="177">
        <v>30</v>
      </c>
      <c r="L7" s="178">
        <v>1.3699999999999999E-3</v>
      </c>
      <c r="M7" s="179">
        <v>0.75</v>
      </c>
      <c r="U7" s="549">
        <f t="shared" ref="U7:U16" si="0">1-M7</f>
        <v>0.25</v>
      </c>
      <c r="V7" s="324"/>
      <c r="W7" s="324"/>
      <c r="X7" s="324"/>
      <c r="Y7" s="324"/>
      <c r="Z7" s="324"/>
      <c r="AA7" s="324"/>
      <c r="AB7" s="324"/>
      <c r="AC7" s="324"/>
      <c r="AD7" s="324"/>
      <c r="AE7" s="324"/>
      <c r="AF7" s="324"/>
      <c r="AG7" s="324"/>
    </row>
    <row r="8" spans="1:33" s="432" customFormat="1">
      <c r="A8" s="147"/>
      <c r="B8" s="175" t="s">
        <v>45</v>
      </c>
      <c r="C8" s="176"/>
      <c r="D8" s="177"/>
      <c r="E8" s="177"/>
      <c r="F8" s="177"/>
      <c r="G8" s="177">
        <v>33</v>
      </c>
      <c r="H8" s="177">
        <v>244</v>
      </c>
      <c r="I8" s="177"/>
      <c r="J8" s="177"/>
      <c r="K8" s="177"/>
      <c r="L8" s="180">
        <v>5.3699999999999998E-3</v>
      </c>
      <c r="M8" s="181">
        <v>0.75</v>
      </c>
      <c r="U8" s="549">
        <f t="shared" si="0"/>
        <v>0.25</v>
      </c>
      <c r="V8" s="324"/>
      <c r="W8" s="324"/>
      <c r="X8" s="324"/>
      <c r="Y8" s="324"/>
      <c r="Z8" s="324"/>
      <c r="AA8" s="324"/>
      <c r="AB8" s="324"/>
      <c r="AC8" s="324"/>
      <c r="AD8" s="324"/>
      <c r="AE8" s="324"/>
      <c r="AF8" s="324"/>
      <c r="AG8" s="324"/>
    </row>
    <row r="9" spans="1:33" hidden="1">
      <c r="A9" s="148"/>
      <c r="B9" s="149" t="s">
        <v>46</v>
      </c>
      <c r="C9" s="182"/>
      <c r="D9" s="183"/>
      <c r="E9" s="183"/>
      <c r="F9" s="183"/>
      <c r="G9" s="183"/>
      <c r="H9" s="183"/>
      <c r="I9" s="183"/>
      <c r="J9" s="183"/>
      <c r="K9" s="183"/>
      <c r="L9" s="184">
        <v>5.0199999999999995E-4</v>
      </c>
      <c r="M9" s="185">
        <v>0</v>
      </c>
      <c r="U9" s="549">
        <f t="shared" si="0"/>
        <v>1</v>
      </c>
    </row>
    <row r="10" spans="1:33" s="432" customFormat="1">
      <c r="A10" s="186" t="s">
        <v>47</v>
      </c>
      <c r="B10" s="187" t="s">
        <v>45</v>
      </c>
      <c r="C10" s="188"/>
      <c r="D10" s="188"/>
      <c r="E10" s="188"/>
      <c r="F10" s="188"/>
      <c r="G10" s="188">
        <v>1</v>
      </c>
      <c r="H10" s="188"/>
      <c r="I10" s="188"/>
      <c r="J10" s="188"/>
      <c r="K10" s="188"/>
      <c r="L10" s="189">
        <v>4.9299999999999997E-2</v>
      </c>
      <c r="M10" s="190">
        <v>0.75</v>
      </c>
      <c r="U10" s="549">
        <f t="shared" si="0"/>
        <v>0.25</v>
      </c>
      <c r="V10" s="324"/>
      <c r="W10" s="324"/>
      <c r="X10" s="324"/>
      <c r="Y10" s="324"/>
      <c r="Z10" s="324"/>
      <c r="AA10" s="324"/>
      <c r="AB10" s="324"/>
      <c r="AC10" s="324"/>
      <c r="AD10" s="324"/>
      <c r="AE10" s="324"/>
      <c r="AF10" s="324"/>
      <c r="AG10" s="324"/>
    </row>
    <row r="11" spans="1:33" s="432" customFormat="1" hidden="1">
      <c r="A11" s="148"/>
      <c r="B11" s="149" t="s">
        <v>46</v>
      </c>
      <c r="C11" s="182"/>
      <c r="D11" s="183"/>
      <c r="E11" s="183"/>
      <c r="F11" s="183"/>
      <c r="G11" s="183"/>
      <c r="H11" s="183"/>
      <c r="I11" s="183"/>
      <c r="J11" s="183"/>
      <c r="K11" s="183"/>
      <c r="L11" s="184">
        <v>9.8200000000000006E-3</v>
      </c>
      <c r="M11" s="185">
        <v>0</v>
      </c>
      <c r="U11" s="549">
        <f t="shared" si="0"/>
        <v>1</v>
      </c>
      <c r="V11" s="324"/>
      <c r="W11" s="324"/>
      <c r="X11" s="324"/>
      <c r="Y11" s="324"/>
      <c r="Z11" s="324"/>
      <c r="AA11" s="324"/>
      <c r="AB11" s="324"/>
      <c r="AC11" s="324"/>
      <c r="AD11" s="324"/>
      <c r="AE11" s="324"/>
      <c r="AF11" s="324"/>
      <c r="AG11" s="324"/>
    </row>
    <row r="12" spans="1:33" s="432" customFormat="1">
      <c r="A12" s="186" t="s">
        <v>48</v>
      </c>
      <c r="B12" s="187" t="s">
        <v>44</v>
      </c>
      <c r="C12" s="176">
        <v>0</v>
      </c>
      <c r="D12" s="177">
        <v>7</v>
      </c>
      <c r="E12" s="177">
        <v>2</v>
      </c>
      <c r="F12" s="177">
        <v>15</v>
      </c>
      <c r="G12" s="177"/>
      <c r="H12" s="177"/>
      <c r="I12" s="177">
        <v>28</v>
      </c>
      <c r="J12" s="177">
        <v>77</v>
      </c>
      <c r="K12" s="177">
        <v>15</v>
      </c>
      <c r="L12" s="189">
        <v>5.5900000000000004E-4</v>
      </c>
      <c r="M12" s="190">
        <v>0.3</v>
      </c>
      <c r="U12" s="549">
        <f t="shared" si="0"/>
        <v>0.7</v>
      </c>
      <c r="V12" s="324"/>
      <c r="W12" s="324"/>
      <c r="X12" s="324"/>
      <c r="Y12" s="324"/>
      <c r="Z12" s="324"/>
      <c r="AA12" s="324"/>
      <c r="AB12" s="324"/>
      <c r="AC12" s="324"/>
      <c r="AD12" s="324"/>
      <c r="AE12" s="324"/>
      <c r="AF12" s="324"/>
      <c r="AG12" s="324"/>
    </row>
    <row r="13" spans="1:33" s="432" customFormat="1">
      <c r="A13" s="147"/>
      <c r="B13" s="175" t="s">
        <v>45</v>
      </c>
      <c r="C13" s="176"/>
      <c r="D13" s="177"/>
      <c r="E13" s="177"/>
      <c r="F13" s="177"/>
      <c r="G13" s="177">
        <v>6</v>
      </c>
      <c r="H13" s="177">
        <v>114</v>
      </c>
      <c r="I13" s="177"/>
      <c r="J13" s="177"/>
      <c r="K13" s="177"/>
      <c r="L13" s="180">
        <v>5.5900000000000004E-4</v>
      </c>
      <c r="M13" s="181">
        <v>0.3</v>
      </c>
      <c r="U13" s="549">
        <f t="shared" si="0"/>
        <v>0.7</v>
      </c>
      <c r="V13" s="324"/>
      <c r="W13" s="324"/>
      <c r="X13" s="324"/>
      <c r="Y13" s="324"/>
      <c r="Z13" s="324"/>
      <c r="AA13" s="324"/>
      <c r="AB13" s="324"/>
      <c r="AC13" s="324"/>
      <c r="AD13" s="324"/>
      <c r="AE13" s="324"/>
      <c r="AF13" s="324"/>
      <c r="AG13" s="324"/>
    </row>
    <row r="14" spans="1:33" s="432" customFormat="1" hidden="1">
      <c r="A14" s="148"/>
      <c r="B14" s="149" t="s">
        <v>46</v>
      </c>
      <c r="C14" s="176"/>
      <c r="D14" s="177"/>
      <c r="E14" s="177"/>
      <c r="F14" s="177"/>
      <c r="G14" s="177"/>
      <c r="H14" s="177"/>
      <c r="I14" s="177"/>
      <c r="J14" s="177"/>
      <c r="K14" s="177"/>
      <c r="L14" s="184">
        <v>5.5900000000000004E-4</v>
      </c>
      <c r="M14" s="185">
        <v>0.3</v>
      </c>
      <c r="U14" s="549">
        <f t="shared" si="0"/>
        <v>0.7</v>
      </c>
      <c r="V14" s="324"/>
      <c r="W14" s="324"/>
      <c r="X14" s="324"/>
      <c r="Y14" s="324"/>
      <c r="Z14" s="324"/>
      <c r="AA14" s="324"/>
      <c r="AB14" s="324"/>
      <c r="AC14" s="324"/>
      <c r="AD14" s="324"/>
      <c r="AE14" s="324"/>
      <c r="AF14" s="324"/>
      <c r="AG14" s="324"/>
    </row>
    <row r="15" spans="1:33" s="432" customFormat="1">
      <c r="A15" s="191" t="s">
        <v>133</v>
      </c>
      <c r="B15" s="192" t="s">
        <v>44</v>
      </c>
      <c r="C15" s="193">
        <v>0</v>
      </c>
      <c r="D15" s="188">
        <v>2</v>
      </c>
      <c r="E15" s="188">
        <v>0</v>
      </c>
      <c r="F15" s="188">
        <v>0</v>
      </c>
      <c r="G15" s="188">
        <v>0</v>
      </c>
      <c r="H15" s="188">
        <v>0</v>
      </c>
      <c r="I15" s="194">
        <v>1</v>
      </c>
      <c r="J15" s="188">
        <v>1</v>
      </c>
      <c r="K15" s="188">
        <v>0</v>
      </c>
      <c r="L15" s="195">
        <v>1.6549999999999999E-2</v>
      </c>
      <c r="M15" s="196">
        <v>0.75</v>
      </c>
      <c r="U15" s="549">
        <f t="shared" si="0"/>
        <v>0.25</v>
      </c>
      <c r="V15" s="324"/>
      <c r="W15" s="324"/>
      <c r="X15" s="324"/>
      <c r="Y15" s="324"/>
      <c r="Z15" s="324"/>
      <c r="AA15" s="324"/>
      <c r="AB15" s="324"/>
      <c r="AC15" s="324"/>
      <c r="AD15" s="324"/>
      <c r="AE15" s="324"/>
      <c r="AF15" s="324"/>
      <c r="AG15" s="324"/>
    </row>
    <row r="16" spans="1:33" s="432" customFormat="1">
      <c r="A16" s="192" t="s">
        <v>131</v>
      </c>
      <c r="B16" s="187" t="s">
        <v>44</v>
      </c>
      <c r="C16" s="197">
        <v>3</v>
      </c>
      <c r="D16" s="198">
        <v>0</v>
      </c>
      <c r="E16" s="198">
        <v>1</v>
      </c>
      <c r="F16" s="198">
        <v>3</v>
      </c>
      <c r="G16" s="198">
        <v>1</v>
      </c>
      <c r="H16" s="198">
        <v>19</v>
      </c>
      <c r="I16" s="198">
        <v>8</v>
      </c>
      <c r="J16" s="198">
        <v>9</v>
      </c>
      <c r="K16" s="198">
        <v>2</v>
      </c>
      <c r="L16" s="195">
        <v>2.2030000000000001E-2</v>
      </c>
      <c r="M16" s="196">
        <v>0.75</v>
      </c>
      <c r="U16" s="549">
        <f t="shared" si="0"/>
        <v>0.25</v>
      </c>
      <c r="V16" s="324"/>
      <c r="W16" s="324"/>
      <c r="X16" s="324"/>
      <c r="Y16" s="324"/>
      <c r="Z16" s="324"/>
      <c r="AA16" s="324"/>
      <c r="AB16" s="324"/>
      <c r="AC16" s="324"/>
      <c r="AD16" s="324"/>
      <c r="AE16" s="324"/>
      <c r="AF16" s="324"/>
      <c r="AG16" s="324"/>
    </row>
    <row r="17" spans="1:33" s="432" customFormat="1">
      <c r="A17" s="191" t="s">
        <v>229</v>
      </c>
      <c r="B17" s="192" t="s">
        <v>45</v>
      </c>
      <c r="C17" s="188"/>
      <c r="D17" s="188"/>
      <c r="E17" s="188"/>
      <c r="F17" s="188"/>
      <c r="G17" s="188"/>
      <c r="H17" s="188">
        <v>4</v>
      </c>
      <c r="I17" s="188"/>
      <c r="J17" s="188"/>
      <c r="K17" s="188"/>
      <c r="L17" s="256">
        <v>4.9299999999999997E-2</v>
      </c>
      <c r="M17" s="196">
        <v>0.75</v>
      </c>
      <c r="U17" s="549">
        <f>1-M17</f>
        <v>0.25</v>
      </c>
      <c r="V17" s="324"/>
      <c r="W17" s="324"/>
      <c r="X17" s="324"/>
      <c r="Y17" s="324"/>
      <c r="Z17" s="324"/>
      <c r="AA17" s="324"/>
      <c r="AB17" s="324"/>
      <c r="AC17" s="324"/>
      <c r="AD17" s="324"/>
      <c r="AE17" s="324"/>
      <c r="AF17" s="324"/>
      <c r="AG17" s="324"/>
    </row>
    <row r="18" spans="1:33" s="432" customFormat="1">
      <c r="A18" s="318"/>
      <c r="B18" s="254"/>
      <c r="C18" s="255"/>
      <c r="D18" s="255"/>
      <c r="E18" s="255"/>
      <c r="F18" s="255"/>
      <c r="G18" s="255"/>
      <c r="H18" s="255"/>
      <c r="I18" s="199"/>
      <c r="J18" s="199"/>
      <c r="K18" s="199"/>
      <c r="V18" s="324"/>
      <c r="W18" s="324"/>
      <c r="X18" s="324"/>
      <c r="Y18" s="324"/>
      <c r="Z18" s="324"/>
      <c r="AA18" s="324"/>
      <c r="AB18" s="324"/>
      <c r="AC18" s="324"/>
      <c r="AD18" s="324"/>
      <c r="AE18" s="324"/>
      <c r="AF18" s="324"/>
      <c r="AG18" s="324"/>
    </row>
    <row r="19" spans="1:33" s="432" customFormat="1">
      <c r="A19" s="484" t="s">
        <v>163</v>
      </c>
      <c r="B19" s="172"/>
      <c r="C19" s="173"/>
      <c r="D19" s="173"/>
      <c r="E19" s="173"/>
      <c r="F19" s="173"/>
      <c r="G19" s="173"/>
      <c r="H19" s="173"/>
      <c r="I19" s="173"/>
      <c r="J19" s="173"/>
      <c r="K19" s="173"/>
      <c r="V19" s="324"/>
      <c r="W19" s="324"/>
      <c r="X19" s="324"/>
      <c r="Y19" s="324"/>
      <c r="Z19" s="324"/>
      <c r="AA19" s="324"/>
      <c r="AB19" s="324"/>
      <c r="AC19" s="324"/>
      <c r="AD19" s="324"/>
      <c r="AE19" s="324"/>
      <c r="AF19" s="324"/>
      <c r="AG19" s="324"/>
    </row>
    <row r="20" spans="1:33" s="432" customFormat="1">
      <c r="A20" s="598" t="s">
        <v>30</v>
      </c>
      <c r="B20" s="589" t="s">
        <v>302</v>
      </c>
      <c r="C20" s="485" t="s">
        <v>157</v>
      </c>
      <c r="D20" s="486"/>
      <c r="E20" s="486"/>
      <c r="F20" s="486"/>
      <c r="G20" s="486"/>
      <c r="H20" s="486"/>
      <c r="I20" s="486"/>
      <c r="J20" s="486"/>
      <c r="K20" s="486"/>
      <c r="V20" s="324"/>
      <c r="W20" s="324"/>
      <c r="X20" s="324"/>
      <c r="Y20" s="324"/>
      <c r="Z20" s="324"/>
      <c r="AA20" s="324"/>
      <c r="AB20" s="324"/>
      <c r="AC20" s="324"/>
      <c r="AD20" s="324"/>
      <c r="AE20" s="324"/>
      <c r="AF20" s="324"/>
      <c r="AG20" s="324"/>
    </row>
    <row r="21" spans="1:33" s="432" customFormat="1" ht="24.75" thickBot="1">
      <c r="A21" s="599"/>
      <c r="B21" s="591"/>
      <c r="C21" s="248" t="s">
        <v>134</v>
      </c>
      <c r="D21" s="247" t="s">
        <v>230</v>
      </c>
      <c r="E21" s="247" t="s">
        <v>76</v>
      </c>
      <c r="F21" s="247" t="s">
        <v>135</v>
      </c>
      <c r="G21" s="247" t="s">
        <v>136</v>
      </c>
      <c r="H21" s="247" t="s">
        <v>225</v>
      </c>
      <c r="I21" s="247" t="s">
        <v>137</v>
      </c>
      <c r="J21" s="247" t="s">
        <v>117</v>
      </c>
      <c r="K21" s="247" t="s">
        <v>138</v>
      </c>
      <c r="V21" s="324"/>
      <c r="W21" s="324"/>
      <c r="X21" s="324"/>
      <c r="Y21" s="324"/>
      <c r="Z21" s="324"/>
      <c r="AA21" s="324"/>
      <c r="AB21" s="324"/>
      <c r="AC21" s="324"/>
      <c r="AD21" s="324"/>
      <c r="AE21" s="324"/>
      <c r="AF21" s="324"/>
      <c r="AG21" s="324"/>
    </row>
    <row r="22" spans="1:33" s="432" customFormat="1" ht="15" thickTop="1">
      <c r="A22" s="200" t="s">
        <v>242</v>
      </c>
      <c r="B22" s="487" t="s">
        <v>1</v>
      </c>
      <c r="C22" s="201">
        <v>1</v>
      </c>
      <c r="D22" s="202">
        <v>1</v>
      </c>
      <c r="E22" s="202">
        <v>1</v>
      </c>
      <c r="F22" s="202">
        <v>1</v>
      </c>
      <c r="G22" s="202">
        <v>1</v>
      </c>
      <c r="H22" s="202">
        <v>1</v>
      </c>
      <c r="I22" s="202">
        <v>1</v>
      </c>
      <c r="J22" s="202">
        <v>1</v>
      </c>
      <c r="K22" s="202">
        <v>1</v>
      </c>
      <c r="V22" s="324"/>
      <c r="W22" s="324"/>
      <c r="X22" s="324"/>
      <c r="Y22" s="324"/>
      <c r="Z22" s="324"/>
      <c r="AA22" s="324"/>
      <c r="AB22" s="324"/>
      <c r="AC22" s="324"/>
      <c r="AD22" s="324"/>
      <c r="AE22" s="324"/>
      <c r="AF22" s="324"/>
      <c r="AG22" s="324"/>
    </row>
    <row r="23" spans="1:33" s="432" customFormat="1" ht="14.25">
      <c r="A23" s="147" t="s">
        <v>243</v>
      </c>
      <c r="B23" s="488" t="s">
        <v>154</v>
      </c>
      <c r="C23" s="203">
        <v>69.570096902141458</v>
      </c>
      <c r="D23" s="204">
        <v>5.7132249104838347E-10</v>
      </c>
      <c r="E23" s="489">
        <v>0</v>
      </c>
      <c r="F23" s="205">
        <v>1184.6065810272216</v>
      </c>
      <c r="G23" s="205">
        <v>210669.44943680742</v>
      </c>
      <c r="H23" s="205">
        <v>27.397993260482984</v>
      </c>
      <c r="I23" s="489">
        <v>0</v>
      </c>
      <c r="J23" s="205">
        <v>1184.6065810272216</v>
      </c>
      <c r="K23" s="205">
        <v>1184.6065810272216</v>
      </c>
      <c r="V23" s="324"/>
      <c r="W23" s="324"/>
      <c r="X23" s="324"/>
      <c r="Y23" s="324"/>
      <c r="Z23" s="324"/>
      <c r="AA23" s="324"/>
      <c r="AB23" s="324"/>
      <c r="AC23" s="324"/>
      <c r="AD23" s="324"/>
      <c r="AE23" s="324"/>
      <c r="AF23" s="324"/>
      <c r="AG23" s="324"/>
    </row>
    <row r="24" spans="1:33" s="432" customFormat="1" ht="14.25">
      <c r="A24" s="147" t="s">
        <v>244</v>
      </c>
      <c r="B24" s="490">
        <v>2148878</v>
      </c>
      <c r="C24" s="203">
        <v>3127.561499613279</v>
      </c>
      <c r="D24" s="206">
        <v>3.4777836219078537E-4</v>
      </c>
      <c r="E24" s="491">
        <v>0</v>
      </c>
      <c r="F24" s="205">
        <v>21.678400856086583</v>
      </c>
      <c r="G24" s="207">
        <v>1.0245251980768076E-2</v>
      </c>
      <c r="H24" s="208">
        <v>0.21061090039571473</v>
      </c>
      <c r="I24" s="491">
        <v>0</v>
      </c>
      <c r="J24" s="205">
        <v>21.678400856086583</v>
      </c>
      <c r="K24" s="205">
        <v>166.1943691893475</v>
      </c>
      <c r="V24" s="324"/>
      <c r="W24" s="324"/>
      <c r="X24" s="324"/>
      <c r="Y24" s="324"/>
      <c r="Z24" s="324"/>
      <c r="AA24" s="324"/>
      <c r="AB24" s="324"/>
      <c r="AC24" s="324"/>
      <c r="AD24" s="324"/>
      <c r="AE24" s="324"/>
      <c r="AF24" s="324"/>
      <c r="AG24" s="324"/>
    </row>
    <row r="25" spans="1:33" s="432" customFormat="1" ht="14.25">
      <c r="A25" s="492" t="s">
        <v>333</v>
      </c>
      <c r="B25" s="490" t="s">
        <v>59</v>
      </c>
      <c r="C25" s="154">
        <v>4.0366459713277907</v>
      </c>
      <c r="D25" s="209">
        <v>4.0366459713277907</v>
      </c>
      <c r="E25" s="491">
        <v>0</v>
      </c>
      <c r="F25" s="209">
        <v>4.0366459713277907</v>
      </c>
      <c r="G25" s="209">
        <v>4.0366459713277907</v>
      </c>
      <c r="H25" s="209">
        <v>4.0366459713277907</v>
      </c>
      <c r="I25" s="491">
        <v>0</v>
      </c>
      <c r="J25" s="209">
        <v>4.0366459713277907</v>
      </c>
      <c r="K25" s="209">
        <v>4.0366459713277907</v>
      </c>
      <c r="L25" s="318"/>
      <c r="M25" s="318"/>
      <c r="N25" s="318"/>
      <c r="O25" s="318"/>
      <c r="P25" s="318"/>
      <c r="Q25" s="318"/>
      <c r="R25" s="318"/>
      <c r="S25" s="318"/>
      <c r="T25" s="318"/>
      <c r="U25" s="318"/>
      <c r="V25" s="324"/>
      <c r="W25" s="324"/>
      <c r="X25" s="324"/>
      <c r="Y25" s="324"/>
      <c r="Z25" s="324"/>
      <c r="AA25" s="324"/>
      <c r="AB25" s="324"/>
      <c r="AC25" s="324"/>
      <c r="AD25" s="324"/>
      <c r="AE25" s="324"/>
      <c r="AF25" s="324"/>
      <c r="AG25" s="324"/>
    </row>
    <row r="26" spans="1:33" s="432" customFormat="1" ht="14.25">
      <c r="A26" s="492" t="s">
        <v>334</v>
      </c>
      <c r="B26" s="490" t="s">
        <v>150</v>
      </c>
      <c r="C26" s="155">
        <v>0.19505940264134292</v>
      </c>
      <c r="D26" s="211">
        <v>0.19505940264134292</v>
      </c>
      <c r="E26" s="491">
        <v>0</v>
      </c>
      <c r="F26" s="211">
        <v>0.19505940264134292</v>
      </c>
      <c r="G26" s="211">
        <v>0.19505940264134292</v>
      </c>
      <c r="H26" s="211">
        <v>0.19505940264134292</v>
      </c>
      <c r="I26" s="491">
        <v>0</v>
      </c>
      <c r="J26" s="211">
        <v>0.19505940264134292</v>
      </c>
      <c r="K26" s="211">
        <v>0.19505940264134292</v>
      </c>
      <c r="L26" s="318"/>
      <c r="M26" s="318"/>
      <c r="N26" s="318"/>
      <c r="O26" s="318"/>
      <c r="P26" s="318"/>
      <c r="Q26" s="318"/>
      <c r="R26" s="318"/>
      <c r="S26" s="318"/>
      <c r="T26" s="318"/>
      <c r="U26" s="318"/>
      <c r="V26" s="324"/>
      <c r="W26" s="324"/>
      <c r="X26" s="324"/>
      <c r="Y26" s="324"/>
      <c r="Z26" s="324"/>
      <c r="AA26" s="324"/>
      <c r="AB26" s="324"/>
      <c r="AC26" s="324"/>
      <c r="AD26" s="324"/>
      <c r="AE26" s="324"/>
      <c r="AF26" s="324"/>
      <c r="AG26" s="324"/>
    </row>
    <row r="27" spans="1:33" s="432" customFormat="1" ht="14.25">
      <c r="A27" s="492" t="s">
        <v>335</v>
      </c>
      <c r="B27" s="493" t="s">
        <v>147</v>
      </c>
      <c r="C27" s="154">
        <v>1.3356150764191952</v>
      </c>
      <c r="D27" s="209">
        <v>1.3356150764191952</v>
      </c>
      <c r="E27" s="491">
        <v>0</v>
      </c>
      <c r="F27" s="209">
        <v>1.3356150764191952</v>
      </c>
      <c r="G27" s="209">
        <v>1.3356150764191952</v>
      </c>
      <c r="H27" s="209">
        <v>1.3356150764191952</v>
      </c>
      <c r="I27" s="491">
        <v>0</v>
      </c>
      <c r="J27" s="209">
        <v>1.3356150764191952</v>
      </c>
      <c r="K27" s="209">
        <v>1.3356150764191952</v>
      </c>
      <c r="L27" s="318"/>
      <c r="M27" s="318"/>
      <c r="N27" s="318"/>
      <c r="O27" s="318"/>
      <c r="P27" s="318"/>
      <c r="Q27" s="318"/>
      <c r="R27" s="318"/>
      <c r="S27" s="318"/>
      <c r="T27" s="318"/>
      <c r="U27" s="318"/>
      <c r="V27" s="324"/>
      <c r="W27" s="324"/>
      <c r="X27" s="324"/>
      <c r="Y27" s="324"/>
      <c r="Z27" s="324"/>
      <c r="AA27" s="324"/>
      <c r="AB27" s="324"/>
      <c r="AC27" s="324"/>
      <c r="AD27" s="324"/>
      <c r="AE27" s="324"/>
      <c r="AF27" s="324"/>
      <c r="AG27" s="324"/>
    </row>
    <row r="28" spans="1:33" s="432" customFormat="1" ht="14.25">
      <c r="A28" s="492" t="s">
        <v>336</v>
      </c>
      <c r="B28" s="493" t="s">
        <v>146</v>
      </c>
      <c r="C28" s="155">
        <v>0.22350556552653869</v>
      </c>
      <c r="D28" s="211">
        <v>0.22350556552653869</v>
      </c>
      <c r="E28" s="491">
        <v>0</v>
      </c>
      <c r="F28" s="211">
        <v>0.22350556552653869</v>
      </c>
      <c r="G28" s="211">
        <v>0.22350556552653869</v>
      </c>
      <c r="H28" s="211">
        <v>0.22350556552653869</v>
      </c>
      <c r="I28" s="491">
        <v>0</v>
      </c>
      <c r="J28" s="211">
        <v>0.22350556552653869</v>
      </c>
      <c r="K28" s="211">
        <v>0.22350556552653869</v>
      </c>
      <c r="L28" s="318"/>
      <c r="M28" s="318"/>
      <c r="N28" s="318"/>
      <c r="O28" s="318"/>
      <c r="P28" s="318"/>
      <c r="Q28" s="318"/>
      <c r="R28" s="318"/>
      <c r="S28" s="318"/>
      <c r="T28" s="318"/>
      <c r="U28" s="318"/>
      <c r="V28" s="324"/>
      <c r="W28" s="324"/>
      <c r="X28" s="324"/>
      <c r="Y28" s="324"/>
      <c r="Z28" s="324"/>
      <c r="AA28" s="324"/>
      <c r="AB28" s="324"/>
      <c r="AC28" s="324"/>
      <c r="AD28" s="324"/>
      <c r="AE28" s="324"/>
      <c r="AF28" s="324"/>
      <c r="AG28" s="324"/>
    </row>
    <row r="29" spans="1:33" s="432" customFormat="1" ht="14.25">
      <c r="A29" s="494" t="s">
        <v>337</v>
      </c>
      <c r="B29" s="495" t="s">
        <v>303</v>
      </c>
      <c r="C29" s="156">
        <v>3.4812685054739663</v>
      </c>
      <c r="D29" s="212">
        <v>3.4812685054739663</v>
      </c>
      <c r="E29" s="496">
        <v>0</v>
      </c>
      <c r="F29" s="212">
        <v>3.4812685054739663</v>
      </c>
      <c r="G29" s="212">
        <v>3.4812685054739663</v>
      </c>
      <c r="H29" s="212">
        <v>3.4812685054739663</v>
      </c>
      <c r="I29" s="496">
        <v>0</v>
      </c>
      <c r="J29" s="212">
        <v>3.4812685054739663</v>
      </c>
      <c r="K29" s="212">
        <v>3.4812685054739663</v>
      </c>
      <c r="L29" s="318"/>
      <c r="M29" s="318"/>
      <c r="N29" s="318"/>
      <c r="O29" s="318"/>
      <c r="P29" s="318"/>
      <c r="Q29" s="318"/>
      <c r="R29" s="318"/>
      <c r="S29" s="318"/>
      <c r="T29" s="318"/>
      <c r="U29" s="318"/>
      <c r="V29" s="324"/>
      <c r="W29" s="324"/>
      <c r="X29" s="324"/>
      <c r="Y29" s="324"/>
      <c r="Z29" s="324"/>
      <c r="AA29" s="324"/>
      <c r="AB29" s="324"/>
      <c r="AC29" s="324"/>
      <c r="AD29" s="324"/>
      <c r="AE29" s="324"/>
      <c r="AF29" s="324"/>
      <c r="AG29" s="324"/>
    </row>
    <row r="30" spans="1:33" s="432" customFormat="1">
      <c r="A30" s="318"/>
      <c r="B30" s="497"/>
      <c r="V30" s="324"/>
      <c r="W30" s="324"/>
      <c r="X30" s="324"/>
      <c r="Y30" s="324"/>
      <c r="Z30" s="324"/>
      <c r="AA30" s="324"/>
      <c r="AB30" s="324"/>
      <c r="AC30" s="324"/>
      <c r="AD30" s="324"/>
      <c r="AE30" s="324"/>
      <c r="AF30" s="324"/>
      <c r="AG30" s="324"/>
    </row>
    <row r="31" spans="1:33" s="432" customFormat="1">
      <c r="A31" s="484" t="s">
        <v>160</v>
      </c>
      <c r="B31" s="497"/>
      <c r="V31" s="324"/>
      <c r="W31" s="324"/>
      <c r="X31" s="324"/>
      <c r="Y31" s="324"/>
      <c r="Z31" s="324"/>
      <c r="AA31" s="324"/>
      <c r="AB31" s="324"/>
      <c r="AC31" s="324"/>
      <c r="AD31" s="324"/>
      <c r="AE31" s="324"/>
      <c r="AF31" s="324"/>
      <c r="AG31" s="324"/>
    </row>
    <row r="32" spans="1:33" s="432" customFormat="1" ht="24.75" thickBot="1">
      <c r="A32" s="517" t="s">
        <v>30</v>
      </c>
      <c r="B32" s="498" t="s">
        <v>302</v>
      </c>
      <c r="C32" s="289" t="s">
        <v>134</v>
      </c>
      <c r="D32" s="289" t="s">
        <v>230</v>
      </c>
      <c r="E32" s="289" t="s">
        <v>76</v>
      </c>
      <c r="F32" s="289" t="s">
        <v>135</v>
      </c>
      <c r="G32" s="289" t="s">
        <v>136</v>
      </c>
      <c r="H32" s="289" t="s">
        <v>225</v>
      </c>
      <c r="I32" s="289" t="s">
        <v>137</v>
      </c>
      <c r="J32" s="289" t="s">
        <v>117</v>
      </c>
      <c r="K32" s="289" t="s">
        <v>138</v>
      </c>
      <c r="L32" s="289" t="s">
        <v>2</v>
      </c>
      <c r="V32" s="324"/>
      <c r="W32" s="324"/>
      <c r="X32" s="324"/>
      <c r="Y32" s="324"/>
      <c r="Z32" s="324"/>
      <c r="AA32" s="324"/>
      <c r="AB32" s="324"/>
      <c r="AC32" s="324"/>
      <c r="AD32" s="324"/>
      <c r="AE32" s="324"/>
      <c r="AF32" s="324"/>
      <c r="AG32" s="324"/>
    </row>
    <row r="33" spans="1:32" s="432" customFormat="1" ht="15" thickTop="1">
      <c r="A33" s="287" t="s">
        <v>247</v>
      </c>
      <c r="B33" s="499"/>
      <c r="C33" s="500"/>
      <c r="D33" s="287"/>
      <c r="E33" s="288"/>
      <c r="F33" s="288"/>
      <c r="G33" s="288"/>
      <c r="H33" s="288"/>
      <c r="I33" s="288"/>
      <c r="J33" s="288"/>
      <c r="K33" s="288"/>
      <c r="L33" s="288"/>
      <c r="M33" s="501"/>
      <c r="U33" s="324"/>
      <c r="V33" s="324"/>
      <c r="W33" s="324"/>
      <c r="X33" s="324"/>
      <c r="Y33" s="324"/>
      <c r="Z33" s="324"/>
      <c r="AA33" s="324"/>
      <c r="AB33" s="324"/>
      <c r="AC33" s="324"/>
      <c r="AD33" s="324"/>
      <c r="AE33" s="324"/>
      <c r="AF33" s="324"/>
    </row>
    <row r="34" spans="1:32" s="432" customFormat="1">
      <c r="A34" s="251" t="s">
        <v>142</v>
      </c>
      <c r="B34" s="499"/>
      <c r="C34" s="502"/>
      <c r="D34" s="251"/>
      <c r="E34" s="252"/>
      <c r="F34" s="252"/>
      <c r="G34" s="252"/>
      <c r="H34" s="252"/>
      <c r="I34" s="252"/>
      <c r="J34" s="252"/>
      <c r="K34" s="252"/>
      <c r="L34" s="252"/>
      <c r="U34" s="324"/>
      <c r="V34" s="324"/>
      <c r="W34" s="324"/>
      <c r="X34" s="324"/>
      <c r="Y34" s="324"/>
      <c r="Z34" s="324"/>
      <c r="AA34" s="324"/>
      <c r="AB34" s="324"/>
      <c r="AC34" s="324"/>
      <c r="AD34" s="324"/>
      <c r="AE34" s="324"/>
      <c r="AF34" s="324"/>
    </row>
    <row r="35" spans="1:32" s="432" customFormat="1">
      <c r="A35" s="191" t="s">
        <v>101</v>
      </c>
      <c r="B35" s="256" t="s">
        <v>1</v>
      </c>
      <c r="C35" s="213">
        <f>SUMPRODUCT(C$7:C$17,$L$7:$L$17,$U$7:$U$17)*C22</f>
        <v>2.9880000000000004E-2</v>
      </c>
      <c r="D35" s="213">
        <f t="shared" ref="D35:K35" si="1">SUMPRODUCT(D$7:D$17,$L$7:$L$17,$U$7:$U$17)*D22</f>
        <v>1.4096599999999999E-2</v>
      </c>
      <c r="E35" s="213">
        <f t="shared" si="1"/>
        <v>1.0400100000000001E-2</v>
      </c>
      <c r="F35" s="213">
        <f t="shared" si="1"/>
        <v>3.4722000000000003E-2</v>
      </c>
      <c r="G35" s="213">
        <f t="shared" si="1"/>
        <v>6.4482799999999993E-2</v>
      </c>
      <c r="H35" s="214">
        <f t="shared" si="1"/>
        <v>0.5261207</v>
      </c>
      <c r="I35" s="213">
        <f t="shared" si="1"/>
        <v>9.7513900000000001E-2</v>
      </c>
      <c r="J35" s="214">
        <f t="shared" si="1"/>
        <v>0.14719760000000001</v>
      </c>
      <c r="K35" s="213">
        <f t="shared" si="1"/>
        <v>2.71595E-2</v>
      </c>
      <c r="L35" s="400">
        <f t="shared" ref="L35:L42" si="2">SUM(C35:K35)</f>
        <v>0.95157320000000001</v>
      </c>
      <c r="U35" s="324"/>
      <c r="V35" s="324"/>
      <c r="W35" s="324"/>
      <c r="X35" s="324"/>
      <c r="Y35" s="324"/>
      <c r="Z35" s="324"/>
      <c r="AA35" s="324"/>
      <c r="AB35" s="324"/>
      <c r="AC35" s="324"/>
      <c r="AD35" s="324"/>
      <c r="AE35" s="324"/>
      <c r="AF35" s="324"/>
    </row>
    <row r="36" spans="1:32" s="432" customFormat="1">
      <c r="A36" s="147" t="s">
        <v>143</v>
      </c>
      <c r="B36" s="488" t="s">
        <v>154</v>
      </c>
      <c r="C36" s="215">
        <f>SUMPRODUCT(C$7:C$17,$L$7:$L$17,$U$7:$U$17)*C23/10^6</f>
        <v>2.078754495435987E-6</v>
      </c>
      <c r="D36" s="215">
        <f t="shared" ref="D36:K36" si="3">SUMPRODUCT(D$7:D$17,$L$7:$L$17,$U$7:$U$17)*D23/10^6</f>
        <v>8.0537046273126413E-18</v>
      </c>
      <c r="E36" s="216">
        <f t="shared" si="3"/>
        <v>0</v>
      </c>
      <c r="F36" s="215">
        <f t="shared" si="3"/>
        <v>4.1131909706427195E-5</v>
      </c>
      <c r="G36" s="217">
        <f t="shared" si="3"/>
        <v>1.3584555974143764E-2</v>
      </c>
      <c r="H36" s="215">
        <f t="shared" si="3"/>
        <v>1.4414651392800589E-5</v>
      </c>
      <c r="I36" s="216">
        <f t="shared" si="3"/>
        <v>0</v>
      </c>
      <c r="J36" s="215">
        <f t="shared" si="3"/>
        <v>1.7437124567141256E-4</v>
      </c>
      <c r="K36" s="215">
        <f t="shared" si="3"/>
        <v>3.217332243740883E-5</v>
      </c>
      <c r="L36" s="399">
        <f t="shared" si="2"/>
        <v>1.3848725857847256E-2</v>
      </c>
      <c r="U36" s="324"/>
      <c r="V36" s="324"/>
      <c r="W36" s="324"/>
      <c r="X36" s="324"/>
      <c r="Y36" s="324"/>
      <c r="Z36" s="324"/>
      <c r="AA36" s="324"/>
      <c r="AB36" s="324"/>
      <c r="AC36" s="324"/>
      <c r="AD36" s="324"/>
      <c r="AE36" s="324"/>
      <c r="AF36" s="324"/>
    </row>
    <row r="37" spans="1:32" s="432" customFormat="1">
      <c r="A37" s="148" t="s">
        <v>155</v>
      </c>
      <c r="B37" s="503">
        <v>2148878</v>
      </c>
      <c r="C37" s="219">
        <f t="shared" ref="C37:C42" si="4">SUMPRODUCT(C$7:C$17,$L$7:$L$17,$U$7:$U$17)*C24/10^6</f>
        <v>9.3451537608444792E-5</v>
      </c>
      <c r="D37" s="219">
        <f t="shared" ref="D37:K37" si="5">SUMPRODUCT(D$7:D$17,$L$7:$L$17,$U$7:$U$17)*D24/10^6</f>
        <v>4.9024924604586243E-12</v>
      </c>
      <c r="E37" s="220">
        <f t="shared" si="5"/>
        <v>0</v>
      </c>
      <c r="F37" s="219">
        <f t="shared" si="5"/>
        <v>7.5271743452503839E-7</v>
      </c>
      <c r="G37" s="218">
        <f t="shared" si="5"/>
        <v>6.606425344254717E-10</v>
      </c>
      <c r="H37" s="219">
        <f t="shared" si="5"/>
        <v>1.1080675434382371E-7</v>
      </c>
      <c r="I37" s="220">
        <f t="shared" si="5"/>
        <v>0</v>
      </c>
      <c r="J37" s="219">
        <f t="shared" si="5"/>
        <v>3.1910085778538906E-6</v>
      </c>
      <c r="K37" s="219">
        <f t="shared" si="5"/>
        <v>4.5137559699980832E-6</v>
      </c>
      <c r="L37" s="222">
        <f t="shared" si="2"/>
        <v>1.0202049189019251E-4</v>
      </c>
      <c r="U37" s="324"/>
      <c r="V37" s="324"/>
      <c r="W37" s="324"/>
      <c r="X37" s="324"/>
      <c r="Y37" s="324"/>
      <c r="Z37" s="324"/>
      <c r="AA37" s="324"/>
      <c r="AB37" s="324"/>
      <c r="AC37" s="324"/>
      <c r="AD37" s="324"/>
      <c r="AE37" s="324"/>
      <c r="AF37" s="324"/>
    </row>
    <row r="38" spans="1:32" s="432" customFormat="1">
      <c r="A38" s="147" t="s">
        <v>12</v>
      </c>
      <c r="B38" s="488" t="s">
        <v>59</v>
      </c>
      <c r="C38" s="215">
        <f t="shared" si="4"/>
        <v>1.2061498162327441E-7</v>
      </c>
      <c r="D38" s="215">
        <f t="shared" ref="D38:K38" si="6">SUMPRODUCT(D$7:D$17,$L$7:$L$17,$U$7:$U$17)*D25/10^6</f>
        <v>5.6902983599419331E-8</v>
      </c>
      <c r="E38" s="216">
        <f t="shared" si="6"/>
        <v>0</v>
      </c>
      <c r="F38" s="215">
        <f t="shared" si="6"/>
        <v>1.4016042141644356E-7</v>
      </c>
      <c r="G38" s="215">
        <f t="shared" si="6"/>
        <v>2.6029423483993562E-7</v>
      </c>
      <c r="H38" s="215">
        <f t="shared" si="6"/>
        <v>2.1237630040871571E-6</v>
      </c>
      <c r="I38" s="216">
        <f t="shared" si="6"/>
        <v>0</v>
      </c>
      <c r="J38" s="215">
        <f t="shared" si="6"/>
        <v>5.9418459902911972E-7</v>
      </c>
      <c r="K38" s="215">
        <f t="shared" si="6"/>
        <v>1.0963328625827713E-7</v>
      </c>
      <c r="L38" s="221">
        <f t="shared" si="2"/>
        <v>3.4055535108536269E-6</v>
      </c>
      <c r="U38" s="324"/>
      <c r="V38" s="324"/>
      <c r="W38" s="324"/>
      <c r="X38" s="324"/>
      <c r="Y38" s="324"/>
      <c r="Z38" s="324"/>
      <c r="AA38" s="324"/>
      <c r="AB38" s="324"/>
      <c r="AC38" s="324"/>
      <c r="AD38" s="324"/>
      <c r="AE38" s="324"/>
      <c r="AF38" s="324"/>
    </row>
    <row r="39" spans="1:32" s="432" customFormat="1">
      <c r="A39" s="147" t="s">
        <v>19</v>
      </c>
      <c r="B39" s="490" t="s">
        <v>150</v>
      </c>
      <c r="C39" s="215">
        <f t="shared" si="4"/>
        <v>5.8283749509233268E-9</v>
      </c>
      <c r="D39" s="215">
        <f t="shared" ref="D39:K39" si="7">SUMPRODUCT(D$7:D$17,$L$7:$L$17,$U$7:$U$17)*D26/10^6</f>
        <v>2.7496743752739546E-9</v>
      </c>
      <c r="E39" s="216">
        <f t="shared" si="7"/>
        <v>0</v>
      </c>
      <c r="F39" s="215">
        <f t="shared" si="7"/>
        <v>6.7728525785127096E-9</v>
      </c>
      <c r="G39" s="215">
        <f t="shared" si="7"/>
        <v>1.2577976448641186E-8</v>
      </c>
      <c r="H39" s="215">
        <f t="shared" si="7"/>
        <v>1.0262478945924518E-7</v>
      </c>
      <c r="I39" s="216">
        <f t="shared" si="7"/>
        <v>0</v>
      </c>
      <c r="J39" s="215">
        <f t="shared" si="7"/>
        <v>2.871227592623934E-8</v>
      </c>
      <c r="K39" s="215">
        <f t="shared" si="7"/>
        <v>5.2977158460375535E-9</v>
      </c>
      <c r="L39" s="221">
        <f t="shared" si="2"/>
        <v>1.6456365958487323E-7</v>
      </c>
      <c r="U39" s="324"/>
      <c r="V39" s="324"/>
      <c r="W39" s="324"/>
      <c r="X39" s="324"/>
      <c r="Y39" s="324"/>
      <c r="Z39" s="324"/>
      <c r="AA39" s="324"/>
      <c r="AB39" s="324"/>
      <c r="AC39" s="324"/>
      <c r="AD39" s="324"/>
      <c r="AE39" s="324"/>
      <c r="AF39" s="324"/>
    </row>
    <row r="40" spans="1:32" s="432" customFormat="1">
      <c r="A40" s="147" t="s">
        <v>140</v>
      </c>
      <c r="B40" s="493" t="s">
        <v>147</v>
      </c>
      <c r="C40" s="215">
        <f t="shared" si="4"/>
        <v>3.9908178483405554E-8</v>
      </c>
      <c r="D40" s="215">
        <f t="shared" ref="D40:K40" si="8">SUMPRODUCT(D$7:D$17,$L$7:$L$17,$U$7:$U$17)*D27/10^6</f>
        <v>1.8827631486250824E-8</v>
      </c>
      <c r="E40" s="216">
        <f t="shared" si="8"/>
        <v>0</v>
      </c>
      <c r="F40" s="215">
        <f t="shared" si="8"/>
        <v>4.6375226683427299E-8</v>
      </c>
      <c r="G40" s="215">
        <f t="shared" si="8"/>
        <v>8.6124199849723671E-8</v>
      </c>
      <c r="H40" s="215">
        <f t="shared" si="8"/>
        <v>7.0269473893622047E-7</v>
      </c>
      <c r="I40" s="216">
        <f t="shared" si="8"/>
        <v>0</v>
      </c>
      <c r="J40" s="215">
        <f t="shared" si="8"/>
        <v>1.9659933377272215E-7</v>
      </c>
      <c r="K40" s="215">
        <f t="shared" si="8"/>
        <v>3.6274637668007133E-8</v>
      </c>
      <c r="L40" s="221">
        <f t="shared" si="2"/>
        <v>1.1268039468797571E-6</v>
      </c>
      <c r="U40" s="324"/>
      <c r="V40" s="324"/>
      <c r="W40" s="324"/>
      <c r="X40" s="324"/>
      <c r="Y40" s="324"/>
      <c r="Z40" s="324"/>
      <c r="AA40" s="324"/>
      <c r="AB40" s="324"/>
      <c r="AC40" s="324"/>
      <c r="AD40" s="324"/>
      <c r="AE40" s="324"/>
      <c r="AF40" s="324"/>
    </row>
    <row r="41" spans="1:32" s="432" customFormat="1">
      <c r="A41" s="147" t="s">
        <v>141</v>
      </c>
      <c r="B41" s="493" t="s">
        <v>146</v>
      </c>
      <c r="C41" s="215">
        <f t="shared" si="4"/>
        <v>6.6783462979329772E-9</v>
      </c>
      <c r="D41" s="215">
        <f t="shared" ref="D41:K41" si="9">SUMPRODUCT(D$7:D$17,$L$7:$L$17,$U$7:$U$17)*D28/10^6</f>
        <v>3.1506685550014051E-9</v>
      </c>
      <c r="E41" s="216">
        <f t="shared" si="9"/>
        <v>0</v>
      </c>
      <c r="F41" s="215">
        <f t="shared" si="9"/>
        <v>7.7605602462124777E-9</v>
      </c>
      <c r="G41" s="215">
        <f t="shared" si="9"/>
        <v>1.4412264680734686E-8</v>
      </c>
      <c r="H41" s="215">
        <f t="shared" si="9"/>
        <v>1.175909045887184E-7</v>
      </c>
      <c r="I41" s="216">
        <f t="shared" si="9"/>
        <v>0</v>
      </c>
      <c r="J41" s="215">
        <f t="shared" si="9"/>
        <v>3.2899482832149232E-8</v>
      </c>
      <c r="K41" s="215">
        <f t="shared" si="9"/>
        <v>6.0702994069180277E-9</v>
      </c>
      <c r="L41" s="221">
        <f t="shared" si="2"/>
        <v>1.885625266076672E-7</v>
      </c>
      <c r="U41" s="324"/>
      <c r="V41" s="324"/>
      <c r="W41" s="324"/>
      <c r="X41" s="324"/>
      <c r="Y41" s="324"/>
      <c r="Z41" s="324"/>
      <c r="AA41" s="324"/>
      <c r="AB41" s="324"/>
      <c r="AC41" s="324"/>
      <c r="AD41" s="324"/>
      <c r="AE41" s="324"/>
      <c r="AF41" s="324"/>
    </row>
    <row r="42" spans="1:32" s="432" customFormat="1">
      <c r="A42" s="148" t="s">
        <v>27</v>
      </c>
      <c r="B42" s="495" t="s">
        <v>303</v>
      </c>
      <c r="C42" s="219">
        <f t="shared" si="4"/>
        <v>1.0402030294356213E-7</v>
      </c>
      <c r="D42" s="219">
        <f t="shared" ref="D42:K42" si="10">SUMPRODUCT(D$7:D$17,$L$7:$L$17,$U$7:$U$17)*D29/10^6</f>
        <v>4.9074049614264309E-8</v>
      </c>
      <c r="E42" s="220">
        <f t="shared" si="10"/>
        <v>0</v>
      </c>
      <c r="F42" s="219">
        <f t="shared" si="10"/>
        <v>1.2087660504706708E-7</v>
      </c>
      <c r="G42" s="219">
        <f t="shared" si="10"/>
        <v>2.2448194078477664E-7</v>
      </c>
      <c r="H42" s="219">
        <f t="shared" si="10"/>
        <v>1.8315674229879169E-6</v>
      </c>
      <c r="I42" s="220">
        <f t="shared" si="10"/>
        <v>0</v>
      </c>
      <c r="J42" s="219">
        <f t="shared" si="10"/>
        <v>5.1243436896135477E-7</v>
      </c>
      <c r="K42" s="219">
        <f t="shared" si="10"/>
        <v>9.4549511974420187E-8</v>
      </c>
      <c r="L42" s="222">
        <f t="shared" si="2"/>
        <v>2.9370042023133622E-6</v>
      </c>
      <c r="U42" s="324"/>
      <c r="V42" s="324"/>
      <c r="W42" s="324"/>
      <c r="X42" s="324"/>
      <c r="Y42" s="324"/>
      <c r="Z42" s="324"/>
      <c r="AA42" s="324"/>
      <c r="AB42" s="324"/>
      <c r="AC42" s="324"/>
      <c r="AD42" s="324"/>
      <c r="AE42" s="324"/>
      <c r="AF42" s="324"/>
    </row>
    <row r="43" spans="1:32" s="432" customFormat="1">
      <c r="A43" s="148" t="s">
        <v>49</v>
      </c>
      <c r="B43" s="184" t="s">
        <v>301</v>
      </c>
      <c r="C43" s="219">
        <f>SUM(C36,C38:C42)</f>
        <v>2.3558046797350858E-6</v>
      </c>
      <c r="D43" s="219">
        <f t="shared" ref="D43:L43" si="11">SUM(D36,D38:D42)</f>
        <v>1.3070500763826355E-7</v>
      </c>
      <c r="E43" s="219">
        <f t="shared" si="11"/>
        <v>0</v>
      </c>
      <c r="F43" s="219">
        <f t="shared" si="11"/>
        <v>4.1453855372398858E-5</v>
      </c>
      <c r="G43" s="219">
        <f t="shared" si="11"/>
        <v>1.3585153864760367E-2</v>
      </c>
      <c r="H43" s="219">
        <f t="shared" si="11"/>
        <v>1.9292892252859844E-5</v>
      </c>
      <c r="I43" s="219">
        <f t="shared" si="11"/>
        <v>0</v>
      </c>
      <c r="J43" s="219">
        <f t="shared" si="11"/>
        <v>1.7573607573193414E-4</v>
      </c>
      <c r="K43" s="219">
        <f t="shared" si="11"/>
        <v>3.2425147888562489E-5</v>
      </c>
      <c r="L43" s="219">
        <f t="shared" si="11"/>
        <v>1.3856548345693494E-2</v>
      </c>
      <c r="U43" s="324"/>
      <c r="V43" s="324"/>
      <c r="W43" s="324"/>
      <c r="X43" s="324"/>
      <c r="Y43" s="324"/>
      <c r="Z43" s="324"/>
      <c r="AA43" s="324"/>
      <c r="AB43" s="324"/>
      <c r="AC43" s="324"/>
      <c r="AD43" s="324"/>
      <c r="AE43" s="324"/>
      <c r="AF43" s="324"/>
    </row>
    <row r="44" spans="1:32" s="432" customFormat="1" ht="14.25">
      <c r="A44" s="249" t="s">
        <v>248</v>
      </c>
      <c r="B44" s="504"/>
      <c r="C44" s="505"/>
      <c r="D44" s="249"/>
      <c r="E44" s="250"/>
      <c r="F44" s="250"/>
      <c r="G44" s="250"/>
      <c r="H44" s="250"/>
      <c r="I44" s="250"/>
      <c r="J44" s="250"/>
      <c r="K44" s="250"/>
      <c r="L44" s="250"/>
      <c r="M44" s="501"/>
      <c r="U44" s="324"/>
      <c r="V44" s="324"/>
      <c r="W44" s="324"/>
      <c r="X44" s="324"/>
      <c r="Y44" s="324"/>
      <c r="Z44" s="324"/>
      <c r="AA44" s="324"/>
      <c r="AB44" s="324"/>
      <c r="AC44" s="324"/>
      <c r="AD44" s="324"/>
      <c r="AE44" s="324"/>
      <c r="AF44" s="324"/>
    </row>
    <row r="45" spans="1:32" s="432" customFormat="1">
      <c r="A45" s="251" t="s">
        <v>129</v>
      </c>
      <c r="B45" s="506"/>
      <c r="C45" s="502"/>
      <c r="D45" s="251"/>
      <c r="E45" s="252"/>
      <c r="F45" s="252"/>
      <c r="G45" s="252"/>
      <c r="H45" s="252"/>
      <c r="I45" s="252"/>
      <c r="J45" s="252"/>
      <c r="K45" s="252"/>
      <c r="L45" s="252"/>
      <c r="U45" s="324"/>
      <c r="V45" s="324"/>
      <c r="W45" s="324"/>
      <c r="X45" s="324"/>
      <c r="Y45" s="324"/>
      <c r="Z45" s="324"/>
      <c r="AA45" s="324"/>
      <c r="AB45" s="324"/>
      <c r="AC45" s="324"/>
      <c r="AD45" s="324"/>
      <c r="AE45" s="324"/>
      <c r="AF45" s="324"/>
    </row>
    <row r="46" spans="1:32" s="432" customFormat="1">
      <c r="A46" s="191" t="s">
        <v>101</v>
      </c>
      <c r="B46" s="256" t="s">
        <v>1</v>
      </c>
      <c r="C46" s="214">
        <f>C35*8760/2000</f>
        <v>0.1308744</v>
      </c>
      <c r="D46" s="213">
        <f t="shared" ref="D46:K46" si="12">D35*8760/2000</f>
        <v>6.1743107999999998E-2</v>
      </c>
      <c r="E46" s="213">
        <f t="shared" si="12"/>
        <v>4.5552438000000001E-2</v>
      </c>
      <c r="F46" s="214">
        <f t="shared" si="12"/>
        <v>0.15208236000000003</v>
      </c>
      <c r="G46" s="214">
        <f t="shared" si="12"/>
        <v>0.28243466399999995</v>
      </c>
      <c r="H46" s="223">
        <f t="shared" si="12"/>
        <v>2.3044086659999996</v>
      </c>
      <c r="I46" s="214">
        <f t="shared" si="12"/>
        <v>0.42711088200000003</v>
      </c>
      <c r="J46" s="214">
        <f t="shared" si="12"/>
        <v>0.64472548800000007</v>
      </c>
      <c r="K46" s="214">
        <f t="shared" si="12"/>
        <v>0.11895860999999999</v>
      </c>
      <c r="L46" s="224">
        <f t="shared" ref="L46:L53" si="13">SUM(C46:K46)</f>
        <v>4.1678906159999993</v>
      </c>
      <c r="U46" s="324"/>
      <c r="V46" s="324"/>
      <c r="W46" s="324"/>
      <c r="X46" s="324"/>
      <c r="Y46" s="324"/>
      <c r="Z46" s="324"/>
      <c r="AA46" s="324"/>
      <c r="AB46" s="324"/>
      <c r="AC46" s="324"/>
      <c r="AD46" s="324"/>
      <c r="AE46" s="324"/>
      <c r="AF46" s="324"/>
    </row>
    <row r="47" spans="1:32" s="432" customFormat="1">
      <c r="A47" s="147" t="s">
        <v>143</v>
      </c>
      <c r="B47" s="488" t="s">
        <v>154</v>
      </c>
      <c r="C47" s="215">
        <f t="shared" ref="C47:K47" si="14">C36*8760/2000</f>
        <v>9.1049446900096223E-6</v>
      </c>
      <c r="D47" s="215">
        <f t="shared" si="14"/>
        <v>3.5275226267629371E-17</v>
      </c>
      <c r="E47" s="216">
        <f t="shared" si="14"/>
        <v>0</v>
      </c>
      <c r="F47" s="257">
        <f t="shared" si="14"/>
        <v>1.8015776451415111E-4</v>
      </c>
      <c r="G47" s="217">
        <f t="shared" si="14"/>
        <v>5.9500355166749688E-2</v>
      </c>
      <c r="H47" s="215">
        <f t="shared" si="14"/>
        <v>6.3136173100466578E-5</v>
      </c>
      <c r="I47" s="216">
        <f t="shared" si="14"/>
        <v>0</v>
      </c>
      <c r="J47" s="257">
        <f t="shared" si="14"/>
        <v>7.6374605604078707E-4</v>
      </c>
      <c r="K47" s="257">
        <f t="shared" si="14"/>
        <v>1.4091915227585066E-4</v>
      </c>
      <c r="L47" s="399">
        <f t="shared" si="13"/>
        <v>6.065741925737099E-2</v>
      </c>
      <c r="U47" s="324"/>
      <c r="V47" s="324"/>
      <c r="W47" s="324"/>
      <c r="X47" s="324"/>
      <c r="Y47" s="324"/>
      <c r="Z47" s="324"/>
      <c r="AA47" s="324"/>
      <c r="AB47" s="324"/>
      <c r="AC47" s="324"/>
      <c r="AD47" s="324"/>
      <c r="AE47" s="324"/>
      <c r="AF47" s="324"/>
    </row>
    <row r="48" spans="1:32" s="432" customFormat="1">
      <c r="A48" s="148" t="s">
        <v>155</v>
      </c>
      <c r="B48" s="503">
        <v>2148878</v>
      </c>
      <c r="C48" s="258">
        <f t="shared" ref="C48:K48" si="15">C37*8760/2000</f>
        <v>4.0931773472498818E-4</v>
      </c>
      <c r="D48" s="219">
        <f t="shared" si="15"/>
        <v>2.1472916976808775E-11</v>
      </c>
      <c r="E48" s="220">
        <f t="shared" si="15"/>
        <v>0</v>
      </c>
      <c r="F48" s="219">
        <f t="shared" si="15"/>
        <v>3.2969023632196682E-6</v>
      </c>
      <c r="G48" s="219">
        <f t="shared" si="15"/>
        <v>2.8936143007835659E-9</v>
      </c>
      <c r="H48" s="219">
        <f t="shared" si="15"/>
        <v>4.8533358402594779E-7</v>
      </c>
      <c r="I48" s="220">
        <f t="shared" si="15"/>
        <v>0</v>
      </c>
      <c r="J48" s="219">
        <f t="shared" si="15"/>
        <v>1.397661757100004E-5</v>
      </c>
      <c r="K48" s="219">
        <f t="shared" si="15"/>
        <v>1.9770251148591604E-5</v>
      </c>
      <c r="L48" s="222">
        <f t="shared" si="13"/>
        <v>4.4684975447904324E-4</v>
      </c>
      <c r="U48" s="324"/>
      <c r="V48" s="324"/>
      <c r="W48" s="324"/>
      <c r="X48" s="324"/>
      <c r="Y48" s="324"/>
      <c r="Z48" s="324"/>
      <c r="AA48" s="324"/>
      <c r="AB48" s="324"/>
      <c r="AC48" s="324"/>
      <c r="AD48" s="324"/>
      <c r="AE48" s="324"/>
      <c r="AF48" s="324"/>
    </row>
    <row r="49" spans="1:32" s="432" customFormat="1">
      <c r="A49" s="147" t="s">
        <v>12</v>
      </c>
      <c r="B49" s="488" t="s">
        <v>59</v>
      </c>
      <c r="C49" s="215">
        <f t="shared" ref="C49:K49" si="16">C38*8760/2000</f>
        <v>5.2829361950994192E-7</v>
      </c>
      <c r="D49" s="215">
        <f t="shared" si="16"/>
        <v>2.4923506816545669E-7</v>
      </c>
      <c r="E49" s="216">
        <f t="shared" si="16"/>
        <v>0</v>
      </c>
      <c r="F49" s="215">
        <f t="shared" si="16"/>
        <v>6.1390264580402286E-7</v>
      </c>
      <c r="G49" s="215">
        <f t="shared" si="16"/>
        <v>1.1400887485989179E-6</v>
      </c>
      <c r="H49" s="215">
        <f t="shared" si="16"/>
        <v>9.302081957901747E-6</v>
      </c>
      <c r="I49" s="216">
        <f t="shared" si="16"/>
        <v>0</v>
      </c>
      <c r="J49" s="215">
        <f t="shared" si="16"/>
        <v>2.6025285437475442E-6</v>
      </c>
      <c r="K49" s="215">
        <f t="shared" si="16"/>
        <v>4.8019379381125386E-7</v>
      </c>
      <c r="L49" s="221">
        <f t="shared" si="13"/>
        <v>1.4916324377538885E-5</v>
      </c>
      <c r="U49" s="324"/>
      <c r="V49" s="324"/>
      <c r="W49" s="324"/>
      <c r="X49" s="324"/>
      <c r="Y49" s="324"/>
      <c r="Z49" s="324"/>
      <c r="AA49" s="324"/>
      <c r="AB49" s="324"/>
      <c r="AC49" s="324"/>
      <c r="AD49" s="324"/>
      <c r="AE49" s="324"/>
      <c r="AF49" s="324"/>
    </row>
    <row r="50" spans="1:32" s="432" customFormat="1">
      <c r="A50" s="147" t="s">
        <v>19</v>
      </c>
      <c r="B50" s="490" t="s">
        <v>150</v>
      </c>
      <c r="C50" s="215">
        <f t="shared" ref="C50:K50" si="17">C39*8760/2000</f>
        <v>2.5528282285044172E-8</v>
      </c>
      <c r="D50" s="215">
        <f t="shared" si="17"/>
        <v>1.2043573763699922E-8</v>
      </c>
      <c r="E50" s="216">
        <f t="shared" si="17"/>
        <v>0</v>
      </c>
      <c r="F50" s="215">
        <f t="shared" si="17"/>
        <v>2.9665094293885669E-8</v>
      </c>
      <c r="G50" s="215">
        <f t="shared" si="17"/>
        <v>5.5091536845048394E-8</v>
      </c>
      <c r="H50" s="215">
        <f t="shared" si="17"/>
        <v>4.4949657783149388E-7</v>
      </c>
      <c r="I50" s="216">
        <f t="shared" si="17"/>
        <v>0</v>
      </c>
      <c r="J50" s="215">
        <f t="shared" si="17"/>
        <v>1.2575976855692831E-7</v>
      </c>
      <c r="K50" s="215">
        <f t="shared" si="17"/>
        <v>2.3203995405644484E-8</v>
      </c>
      <c r="L50" s="221">
        <f t="shared" si="13"/>
        <v>7.2078882898174472E-7</v>
      </c>
      <c r="U50" s="324"/>
      <c r="V50" s="324"/>
      <c r="W50" s="324"/>
      <c r="X50" s="324"/>
      <c r="Y50" s="324"/>
      <c r="Z50" s="324"/>
      <c r="AA50" s="324"/>
      <c r="AB50" s="324"/>
      <c r="AC50" s="324"/>
      <c r="AD50" s="324"/>
      <c r="AE50" s="324"/>
      <c r="AF50" s="324"/>
    </row>
    <row r="51" spans="1:32" s="432" customFormat="1">
      <c r="A51" s="147" t="s">
        <v>140</v>
      </c>
      <c r="B51" s="493" t="s">
        <v>147</v>
      </c>
      <c r="C51" s="215">
        <f t="shared" ref="C51:K51" si="18">C40*8760/2000</f>
        <v>1.7479782175731632E-7</v>
      </c>
      <c r="D51" s="215">
        <f t="shared" si="18"/>
        <v>8.2465025909778609E-8</v>
      </c>
      <c r="E51" s="216">
        <f t="shared" si="18"/>
        <v>0</v>
      </c>
      <c r="F51" s="215">
        <f t="shared" si="18"/>
        <v>2.0312349287341156E-7</v>
      </c>
      <c r="G51" s="215">
        <f t="shared" si="18"/>
        <v>3.7722399534178968E-7</v>
      </c>
      <c r="H51" s="215">
        <f t="shared" si="18"/>
        <v>3.0778029565406456E-6</v>
      </c>
      <c r="I51" s="216">
        <f t="shared" si="18"/>
        <v>0</v>
      </c>
      <c r="J51" s="215">
        <f t="shared" si="18"/>
        <v>8.6110508192452302E-7</v>
      </c>
      <c r="K51" s="215">
        <f t="shared" si="18"/>
        <v>1.5888291298587124E-7</v>
      </c>
      <c r="L51" s="221">
        <f t="shared" si="13"/>
        <v>4.9354012873333357E-6</v>
      </c>
      <c r="U51" s="324"/>
      <c r="V51" s="324"/>
      <c r="W51" s="324"/>
      <c r="X51" s="324"/>
      <c r="Y51" s="324"/>
      <c r="Z51" s="324"/>
      <c r="AA51" s="324"/>
      <c r="AB51" s="324"/>
      <c r="AC51" s="324"/>
      <c r="AD51" s="324"/>
      <c r="AE51" s="324"/>
      <c r="AF51" s="324"/>
    </row>
    <row r="52" spans="1:32" s="432" customFormat="1">
      <c r="A52" s="147" t="s">
        <v>141</v>
      </c>
      <c r="B52" s="493" t="s">
        <v>146</v>
      </c>
      <c r="C52" s="215">
        <f t="shared" ref="C52:K52" si="19">C41*8760/2000</f>
        <v>2.925115678494644E-8</v>
      </c>
      <c r="D52" s="215">
        <f t="shared" si="19"/>
        <v>1.3799928270906153E-8</v>
      </c>
      <c r="E52" s="216">
        <f t="shared" si="19"/>
        <v>0</v>
      </c>
      <c r="F52" s="215">
        <f t="shared" si="19"/>
        <v>3.3991253878410649E-8</v>
      </c>
      <c r="G52" s="215">
        <f t="shared" si="19"/>
        <v>6.3125719301617916E-8</v>
      </c>
      <c r="H52" s="215">
        <f t="shared" si="19"/>
        <v>5.1504816209858653E-7</v>
      </c>
      <c r="I52" s="216">
        <f t="shared" si="19"/>
        <v>0</v>
      </c>
      <c r="J52" s="215">
        <f t="shared" si="19"/>
        <v>1.4409973480481364E-7</v>
      </c>
      <c r="K52" s="215">
        <f t="shared" si="19"/>
        <v>2.6587911402300963E-8</v>
      </c>
      <c r="L52" s="221">
        <f t="shared" si="13"/>
        <v>8.2590386654158233E-7</v>
      </c>
      <c r="U52" s="324"/>
      <c r="V52" s="324"/>
      <c r="W52" s="324"/>
      <c r="X52" s="324"/>
      <c r="Y52" s="324"/>
      <c r="Z52" s="324"/>
      <c r="AA52" s="324"/>
      <c r="AB52" s="324"/>
      <c r="AC52" s="324"/>
      <c r="AD52" s="324"/>
      <c r="AE52" s="324"/>
      <c r="AF52" s="324"/>
    </row>
    <row r="53" spans="1:32" s="432" customFormat="1">
      <c r="A53" s="148" t="s">
        <v>27</v>
      </c>
      <c r="B53" s="495" t="s">
        <v>303</v>
      </c>
      <c r="C53" s="219">
        <f t="shared" ref="C53:K53" si="20">C42*8760/2000</f>
        <v>4.5560892689280212E-7</v>
      </c>
      <c r="D53" s="219">
        <f t="shared" si="20"/>
        <v>2.1494433731047768E-7</v>
      </c>
      <c r="E53" s="220">
        <f t="shared" si="20"/>
        <v>0</v>
      </c>
      <c r="F53" s="219">
        <f t="shared" si="20"/>
        <v>5.2943953010615377E-7</v>
      </c>
      <c r="G53" s="219">
        <f t="shared" si="20"/>
        <v>9.8323090063732181E-7</v>
      </c>
      <c r="H53" s="219">
        <f t="shared" si="20"/>
        <v>8.0222653126870765E-6</v>
      </c>
      <c r="I53" s="220">
        <f t="shared" si="20"/>
        <v>0</v>
      </c>
      <c r="J53" s="219">
        <f t="shared" si="20"/>
        <v>2.2444625360507338E-6</v>
      </c>
      <c r="K53" s="219">
        <f t="shared" si="20"/>
        <v>4.1412686244796043E-7</v>
      </c>
      <c r="L53" s="222">
        <f t="shared" si="13"/>
        <v>1.2864078406132528E-5</v>
      </c>
      <c r="U53" s="324"/>
      <c r="V53" s="324"/>
      <c r="W53" s="324"/>
      <c r="X53" s="324"/>
      <c r="Y53" s="324"/>
      <c r="Z53" s="324"/>
      <c r="AA53" s="324"/>
      <c r="AB53" s="324"/>
      <c r="AC53" s="324"/>
      <c r="AD53" s="324"/>
      <c r="AE53" s="324"/>
      <c r="AF53" s="324"/>
    </row>
    <row r="54" spans="1:32">
      <c r="A54" s="148" t="s">
        <v>49</v>
      </c>
      <c r="B54" s="184" t="s">
        <v>301</v>
      </c>
      <c r="C54" s="219">
        <f>SUM(C47,C49:C53)</f>
        <v>1.0318424497239675E-5</v>
      </c>
      <c r="D54" s="219">
        <f t="shared" ref="D54:L54" si="21">SUM(D47,D49:D53)</f>
        <v>5.7248793345559423E-7</v>
      </c>
      <c r="E54" s="219">
        <f t="shared" si="21"/>
        <v>0</v>
      </c>
      <c r="F54" s="219">
        <f t="shared" si="21"/>
        <v>1.8156788653110703E-4</v>
      </c>
      <c r="G54" s="219">
        <f t="shared" si="21"/>
        <v>5.9502973927650415E-2</v>
      </c>
      <c r="H54" s="219">
        <f t="shared" si="21"/>
        <v>8.4502868067526117E-5</v>
      </c>
      <c r="I54" s="219">
        <f t="shared" si="21"/>
        <v>0</v>
      </c>
      <c r="J54" s="219">
        <f t="shared" si="21"/>
        <v>7.6972401170587147E-4</v>
      </c>
      <c r="K54" s="219">
        <f t="shared" si="21"/>
        <v>1.4202214775190371E-4</v>
      </c>
      <c r="L54" s="219">
        <f t="shared" si="21"/>
        <v>6.0691681754137514E-2</v>
      </c>
      <c r="U54" s="324"/>
    </row>
    <row r="55" spans="1:32" s="425" customFormat="1" ht="6">
      <c r="A55" s="507"/>
      <c r="B55" s="507"/>
      <c r="C55" s="507"/>
      <c r="D55" s="507"/>
      <c r="E55" s="507"/>
      <c r="F55" s="507"/>
      <c r="G55" s="507"/>
      <c r="H55" s="507"/>
      <c r="I55" s="507"/>
      <c r="J55" s="507"/>
      <c r="K55" s="507"/>
      <c r="L55" s="507"/>
      <c r="M55" s="507"/>
      <c r="N55" s="507"/>
      <c r="O55" s="507"/>
      <c r="P55" s="507"/>
      <c r="Q55" s="507"/>
      <c r="R55" s="507"/>
      <c r="S55" s="507"/>
      <c r="T55" s="507"/>
    </row>
    <row r="56" spans="1:32">
      <c r="A56" s="7" t="s">
        <v>86</v>
      </c>
      <c r="B56" s="7"/>
      <c r="C56" s="8"/>
      <c r="D56" s="8"/>
      <c r="E56" s="7"/>
      <c r="F56" s="318"/>
      <c r="G56" s="318"/>
      <c r="H56" s="318"/>
      <c r="I56" s="318"/>
      <c r="J56" s="318"/>
      <c r="K56" s="318"/>
      <c r="L56" s="318"/>
      <c r="M56" s="318"/>
      <c r="N56" s="318"/>
      <c r="O56" s="318"/>
      <c r="P56" s="318"/>
      <c r="Q56" s="318"/>
      <c r="R56" s="318"/>
      <c r="S56" s="318"/>
      <c r="T56" s="318"/>
      <c r="U56" s="318"/>
    </row>
    <row r="57" spans="1:32" ht="14.25">
      <c r="A57" s="568" t="s">
        <v>226</v>
      </c>
      <c r="B57" s="568"/>
      <c r="C57" s="568"/>
      <c r="D57" s="568"/>
      <c r="E57" s="568"/>
      <c r="F57" s="568"/>
      <c r="G57" s="568"/>
      <c r="H57" s="568"/>
      <c r="I57" s="568"/>
      <c r="J57" s="568"/>
      <c r="K57" s="568"/>
      <c r="L57" s="568"/>
      <c r="M57" s="318"/>
      <c r="N57" s="501"/>
      <c r="O57" s="318"/>
      <c r="P57" s="318"/>
      <c r="Q57" s="318"/>
      <c r="R57" s="318"/>
      <c r="S57" s="318"/>
      <c r="T57" s="318"/>
      <c r="U57" s="318"/>
    </row>
    <row r="58" spans="1:32" ht="14.25">
      <c r="A58" s="600" t="s">
        <v>145</v>
      </c>
      <c r="B58" s="600"/>
      <c r="C58" s="600"/>
      <c r="D58" s="600"/>
      <c r="E58" s="600"/>
      <c r="F58" s="600"/>
      <c r="G58" s="600"/>
      <c r="H58" s="600"/>
      <c r="I58" s="600"/>
      <c r="J58" s="600"/>
      <c r="K58" s="600"/>
      <c r="L58" s="600"/>
      <c r="M58" s="415"/>
      <c r="N58" s="501"/>
      <c r="O58" s="415"/>
      <c r="P58" s="415"/>
      <c r="Q58" s="415"/>
      <c r="R58" s="318"/>
      <c r="S58" s="318"/>
      <c r="T58" s="318"/>
      <c r="U58" s="318"/>
    </row>
    <row r="59" spans="1:32">
      <c r="A59" s="414"/>
      <c r="B59" s="20" t="s">
        <v>144</v>
      </c>
      <c r="C59" s="21">
        <f>'1 Rates'!D39</f>
        <v>8760</v>
      </c>
      <c r="D59" s="414"/>
      <c r="E59" s="414"/>
      <c r="F59" s="414"/>
      <c r="G59" s="414"/>
      <c r="H59" s="414"/>
      <c r="I59" s="414"/>
      <c r="J59" s="414"/>
      <c r="K59" s="414"/>
      <c r="L59" s="318"/>
      <c r="M59" s="318"/>
      <c r="N59" s="318"/>
      <c r="O59" s="318"/>
      <c r="P59" s="318"/>
      <c r="Q59" s="318"/>
      <c r="R59" s="318"/>
      <c r="S59" s="318"/>
      <c r="T59" s="318"/>
      <c r="U59" s="318"/>
    </row>
    <row r="60" spans="1:32" ht="14.25">
      <c r="A60" s="601" t="s">
        <v>227</v>
      </c>
      <c r="B60" s="601"/>
      <c r="C60" s="601"/>
      <c r="D60" s="601"/>
      <c r="E60" s="601"/>
      <c r="F60" s="601"/>
      <c r="G60" s="601"/>
      <c r="H60" s="601"/>
      <c r="I60" s="601"/>
      <c r="J60" s="601"/>
      <c r="K60" s="601"/>
      <c r="L60" s="601"/>
      <c r="M60" s="318"/>
      <c r="N60" s="501"/>
      <c r="O60" s="318"/>
      <c r="P60" s="318"/>
      <c r="Q60" s="318"/>
      <c r="R60" s="318"/>
      <c r="S60" s="318"/>
      <c r="T60" s="318"/>
      <c r="U60" s="318"/>
    </row>
    <row r="61" spans="1:32" ht="14.25">
      <c r="A61" s="318"/>
      <c r="B61" s="150" t="s">
        <v>177</v>
      </c>
      <c r="C61" s="151">
        <f>'2 Gas Data'!$F$11</f>
        <v>2980</v>
      </c>
      <c r="D61" s="304" t="s">
        <v>240</v>
      </c>
      <c r="E61" s="48"/>
      <c r="F61" s="413"/>
      <c r="G61" s="318"/>
      <c r="H61" s="414"/>
      <c r="I61" s="414"/>
      <c r="J61" s="414"/>
      <c r="K61" s="414"/>
      <c r="L61" s="414"/>
      <c r="M61" s="318"/>
      <c r="N61" s="318"/>
      <c r="O61" s="318"/>
      <c r="P61" s="318"/>
      <c r="Q61" s="318"/>
      <c r="R61" s="318"/>
      <c r="S61" s="318"/>
      <c r="T61" s="318"/>
      <c r="U61" s="318"/>
    </row>
    <row r="62" spans="1:32" ht="14.25">
      <c r="A62" s="318"/>
      <c r="B62" s="150" t="s">
        <v>178</v>
      </c>
      <c r="C62" s="151">
        <f>'2 Gas Data'!$F$12</f>
        <v>144</v>
      </c>
      <c r="D62" s="304" t="s">
        <v>240</v>
      </c>
      <c r="E62" s="48"/>
      <c r="F62" s="413"/>
      <c r="G62" s="318"/>
      <c r="H62" s="414"/>
      <c r="I62" s="414"/>
      <c r="J62" s="414"/>
      <c r="K62" s="414"/>
      <c r="L62" s="414"/>
      <c r="M62" s="318"/>
      <c r="N62" s="318"/>
      <c r="O62" s="318"/>
      <c r="P62" s="318"/>
      <c r="Q62" s="318"/>
      <c r="R62" s="318"/>
      <c r="S62" s="318"/>
      <c r="T62" s="318"/>
      <c r="U62" s="318"/>
    </row>
    <row r="63" spans="1:32" ht="14.25">
      <c r="A63" s="318"/>
      <c r="B63" s="150" t="s">
        <v>179</v>
      </c>
      <c r="C63" s="151">
        <f>'2 Gas Data'!$F$13</f>
        <v>986</v>
      </c>
      <c r="D63" s="304" t="s">
        <v>240</v>
      </c>
      <c r="E63" s="48"/>
      <c r="F63" s="413"/>
      <c r="G63" s="318"/>
      <c r="H63" s="414"/>
      <c r="I63" s="414"/>
      <c r="J63" s="414"/>
      <c r="K63" s="414"/>
      <c r="L63" s="414"/>
      <c r="M63" s="318"/>
      <c r="N63" s="318"/>
      <c r="O63" s="318"/>
      <c r="P63" s="318"/>
      <c r="Q63" s="318"/>
      <c r="R63" s="318"/>
      <c r="S63" s="318"/>
      <c r="T63" s="318"/>
      <c r="U63" s="318"/>
    </row>
    <row r="64" spans="1:32" ht="14.25">
      <c r="A64" s="318"/>
      <c r="B64" s="150" t="s">
        <v>180</v>
      </c>
      <c r="C64" s="151">
        <f>'2 Gas Data'!$F$14</f>
        <v>165</v>
      </c>
      <c r="D64" s="304" t="s">
        <v>240</v>
      </c>
      <c r="E64" s="48"/>
      <c r="F64" s="413"/>
      <c r="G64" s="318"/>
      <c r="H64" s="414"/>
      <c r="I64" s="414"/>
      <c r="J64" s="414"/>
      <c r="K64" s="414"/>
      <c r="L64" s="414"/>
      <c r="M64" s="318"/>
      <c r="N64" s="318"/>
      <c r="O64" s="318"/>
      <c r="P64" s="318"/>
      <c r="Q64" s="318"/>
      <c r="R64" s="318"/>
      <c r="S64" s="318"/>
      <c r="T64" s="318"/>
      <c r="U64" s="318"/>
    </row>
    <row r="65" spans="1:21" ht="14.25">
      <c r="A65" s="318"/>
      <c r="B65" s="150" t="s">
        <v>181</v>
      </c>
      <c r="C65" s="151">
        <f>'2 Gas Data'!$F$15</f>
        <v>2570</v>
      </c>
      <c r="D65" s="304" t="s">
        <v>240</v>
      </c>
      <c r="E65" s="48"/>
      <c r="F65" s="413"/>
      <c r="G65" s="318"/>
      <c r="H65" s="414"/>
      <c r="I65" s="414"/>
      <c r="J65" s="414"/>
      <c r="K65" s="414"/>
      <c r="L65" s="414"/>
      <c r="M65" s="318"/>
      <c r="N65" s="318"/>
      <c r="O65" s="318"/>
      <c r="P65" s="318"/>
      <c r="Q65" s="318"/>
      <c r="R65" s="318"/>
      <c r="S65" s="318"/>
      <c r="T65" s="318"/>
      <c r="U65" s="318"/>
    </row>
    <row r="66" spans="1:21" ht="14.25">
      <c r="A66" s="4"/>
      <c r="B66" s="152" t="s">
        <v>183</v>
      </c>
      <c r="C66" s="153">
        <f>'2 Gas Data'!$B$8</f>
        <v>4.6091924175538819E-2</v>
      </c>
      <c r="D66" s="304" t="s">
        <v>240</v>
      </c>
      <c r="E66" s="431"/>
      <c r="F66" s="79"/>
      <c r="G66" s="318"/>
      <c r="H66" s="414"/>
      <c r="I66" s="414"/>
      <c r="J66" s="414"/>
      <c r="K66" s="414"/>
      <c r="L66" s="414"/>
      <c r="M66" s="318"/>
      <c r="N66" s="318"/>
      <c r="O66" s="318"/>
      <c r="P66" s="318"/>
      <c r="Q66" s="318"/>
      <c r="R66" s="318"/>
      <c r="S66" s="318"/>
      <c r="T66" s="318"/>
      <c r="U66" s="318"/>
    </row>
    <row r="67" spans="1:21" s="425" customFormat="1" ht="6">
      <c r="A67" s="424"/>
      <c r="B67" s="508"/>
      <c r="C67" s="423"/>
      <c r="D67" s="423"/>
      <c r="E67" s="422"/>
      <c r="F67" s="424"/>
      <c r="G67" s="424"/>
      <c r="H67" s="424"/>
      <c r="I67" s="424"/>
      <c r="J67" s="424"/>
      <c r="K67" s="424"/>
      <c r="L67" s="424"/>
      <c r="M67" s="424"/>
      <c r="N67" s="424"/>
      <c r="O67" s="424"/>
      <c r="P67" s="424"/>
      <c r="Q67" s="424"/>
      <c r="R67" s="424"/>
      <c r="S67" s="424"/>
      <c r="T67" s="424"/>
      <c r="U67" s="424"/>
    </row>
    <row r="68" spans="1:21">
      <c r="A68" s="7" t="s">
        <v>32</v>
      </c>
      <c r="B68" s="7"/>
      <c r="C68" s="13"/>
      <c r="D68" s="13"/>
      <c r="E68" s="7"/>
      <c r="F68" s="318"/>
      <c r="G68" s="318"/>
      <c r="H68" s="318"/>
      <c r="I68" s="318"/>
      <c r="J68" s="318"/>
      <c r="K68" s="318"/>
      <c r="L68" s="318"/>
      <c r="M68" s="318"/>
      <c r="N68" s="318"/>
      <c r="O68" s="318"/>
      <c r="P68" s="318"/>
      <c r="Q68" s="318"/>
      <c r="R68" s="318"/>
      <c r="S68" s="318"/>
      <c r="T68" s="318"/>
      <c r="U68" s="318"/>
    </row>
    <row r="69" spans="1:21" ht="14.25">
      <c r="A69" s="588" t="s">
        <v>338</v>
      </c>
      <c r="B69" s="588"/>
      <c r="C69" s="588"/>
      <c r="D69" s="588"/>
      <c r="E69" s="588"/>
      <c r="F69" s="588"/>
      <c r="G69" s="588"/>
      <c r="H69" s="588"/>
      <c r="I69" s="588"/>
      <c r="J69" s="588"/>
      <c r="K69" s="588"/>
      <c r="L69" s="588"/>
      <c r="M69" s="588"/>
      <c r="N69" s="318"/>
      <c r="O69" s="318"/>
      <c r="P69" s="318"/>
      <c r="Q69" s="318"/>
      <c r="R69" s="318"/>
      <c r="S69" s="318"/>
      <c r="T69" s="318"/>
      <c r="U69" s="318"/>
    </row>
    <row r="70" spans="1:21" ht="14.25">
      <c r="A70" s="602" t="s">
        <v>339</v>
      </c>
      <c r="B70" s="602"/>
      <c r="C70" s="602"/>
      <c r="D70" s="602"/>
      <c r="E70" s="602"/>
      <c r="F70" s="602"/>
      <c r="G70" s="602"/>
      <c r="H70" s="602"/>
      <c r="I70" s="602"/>
      <c r="J70" s="602"/>
      <c r="K70" s="602"/>
      <c r="L70" s="602"/>
      <c r="M70" s="602"/>
      <c r="N70" s="501"/>
      <c r="O70" s="318"/>
      <c r="P70" s="318"/>
      <c r="Q70" s="318"/>
      <c r="R70" s="318"/>
      <c r="S70" s="318"/>
      <c r="T70" s="318"/>
      <c r="U70" s="318"/>
    </row>
    <row r="71" spans="1:21">
      <c r="A71" s="602"/>
      <c r="B71" s="602"/>
      <c r="C71" s="602"/>
      <c r="D71" s="602"/>
      <c r="E71" s="602"/>
      <c r="F71" s="602"/>
      <c r="G71" s="602"/>
      <c r="H71" s="602"/>
      <c r="I71" s="602"/>
      <c r="J71" s="602"/>
      <c r="K71" s="602"/>
      <c r="L71" s="602"/>
      <c r="M71" s="602"/>
      <c r="N71" s="318"/>
      <c r="O71" s="318"/>
      <c r="P71" s="318"/>
      <c r="Q71" s="318"/>
      <c r="R71" s="318"/>
      <c r="S71" s="318"/>
      <c r="T71" s="318"/>
      <c r="U71" s="318"/>
    </row>
    <row r="72" spans="1:21" ht="14.25">
      <c r="A72" s="602" t="s">
        <v>340</v>
      </c>
      <c r="B72" s="602"/>
      <c r="C72" s="602"/>
      <c r="D72" s="602"/>
      <c r="E72" s="602"/>
      <c r="F72" s="602"/>
      <c r="G72" s="602"/>
      <c r="H72" s="602"/>
      <c r="I72" s="602"/>
      <c r="J72" s="602"/>
      <c r="K72" s="602"/>
      <c r="L72" s="602"/>
      <c r="M72" s="602"/>
      <c r="N72" s="501"/>
      <c r="O72" s="509"/>
      <c r="P72" s="509"/>
      <c r="Q72" s="509"/>
      <c r="R72" s="509"/>
      <c r="S72" s="509"/>
      <c r="T72" s="509"/>
      <c r="U72" s="510"/>
    </row>
    <row r="73" spans="1:21">
      <c r="A73" s="602"/>
      <c r="B73" s="602"/>
      <c r="C73" s="602"/>
      <c r="D73" s="602"/>
      <c r="E73" s="602"/>
      <c r="F73" s="602"/>
      <c r="G73" s="602"/>
      <c r="H73" s="602"/>
      <c r="I73" s="602"/>
      <c r="J73" s="602"/>
      <c r="K73" s="602"/>
      <c r="L73" s="602"/>
      <c r="M73" s="602"/>
      <c r="N73" s="509"/>
      <c r="O73" s="509"/>
      <c r="P73" s="509"/>
      <c r="Q73" s="509"/>
      <c r="R73" s="509"/>
      <c r="S73" s="509"/>
      <c r="T73" s="509"/>
      <c r="U73" s="510"/>
    </row>
    <row r="74" spans="1:21" ht="14.25">
      <c r="A74" s="602" t="s">
        <v>341</v>
      </c>
      <c r="B74" s="602"/>
      <c r="C74" s="602"/>
      <c r="D74" s="602"/>
      <c r="E74" s="602"/>
      <c r="F74" s="602"/>
      <c r="G74" s="602"/>
      <c r="H74" s="602"/>
      <c r="I74" s="602"/>
      <c r="J74" s="602"/>
      <c r="K74" s="602"/>
      <c r="L74" s="602"/>
      <c r="M74" s="602"/>
      <c r="N74" s="501"/>
      <c r="O74" s="509"/>
      <c r="P74" s="509"/>
      <c r="Q74" s="509"/>
      <c r="R74" s="509"/>
      <c r="S74" s="509"/>
      <c r="T74" s="509"/>
      <c r="U74" s="510"/>
    </row>
    <row r="75" spans="1:21" ht="14.25">
      <c r="A75" s="564" t="s">
        <v>238</v>
      </c>
      <c r="B75" s="564"/>
      <c r="C75" s="564"/>
      <c r="D75" s="564"/>
      <c r="E75" s="564"/>
      <c r="F75" s="564"/>
      <c r="G75" s="564"/>
      <c r="H75" s="564"/>
      <c r="I75" s="564"/>
      <c r="J75" s="564"/>
      <c r="K75" s="564"/>
      <c r="L75" s="564"/>
      <c r="M75" s="564"/>
      <c r="N75" s="501"/>
      <c r="O75" s="509"/>
      <c r="P75" s="509"/>
      <c r="Q75" s="509"/>
      <c r="R75" s="509"/>
      <c r="S75" s="509"/>
      <c r="T75" s="509"/>
      <c r="U75" s="318"/>
    </row>
    <row r="76" spans="1:21">
      <c r="A76" s="164"/>
      <c r="B76" s="164"/>
      <c r="C76" s="164"/>
      <c r="D76" s="164"/>
      <c r="E76" s="164"/>
      <c r="F76" s="164"/>
      <c r="G76" s="164"/>
      <c r="H76" s="164"/>
      <c r="I76" s="164"/>
      <c r="J76" s="164"/>
      <c r="K76" s="164"/>
      <c r="L76" s="164"/>
      <c r="M76" s="164"/>
      <c r="N76" s="509"/>
      <c r="O76" s="509"/>
      <c r="P76" s="509"/>
      <c r="Q76" s="509"/>
      <c r="R76" s="509"/>
      <c r="S76" s="509"/>
      <c r="T76" s="509"/>
      <c r="U76" s="318"/>
    </row>
    <row r="77" spans="1:21" s="81" customFormat="1">
      <c r="A77" s="71"/>
      <c r="B77" s="71"/>
      <c r="C77" s="401"/>
      <c r="D77" s="401"/>
      <c r="E77" s="401"/>
      <c r="F77" s="401"/>
      <c r="G77" s="401"/>
      <c r="H77" s="401"/>
      <c r="I77" s="401"/>
      <c r="J77" s="401"/>
      <c r="K77" s="401"/>
      <c r="L77" s="71"/>
      <c r="M77" s="71"/>
      <c r="N77" s="71"/>
      <c r="O77" s="71"/>
      <c r="P77" s="71"/>
      <c r="Q77" s="71"/>
      <c r="R77" s="71"/>
      <c r="S77" s="71"/>
      <c r="T77" s="71"/>
      <c r="U77" s="71"/>
    </row>
  </sheetData>
  <mergeCells count="14">
    <mergeCell ref="A75:M75"/>
    <mergeCell ref="A69:M69"/>
    <mergeCell ref="M4:M6"/>
    <mergeCell ref="A4:A6"/>
    <mergeCell ref="B4:B6"/>
    <mergeCell ref="A20:A21"/>
    <mergeCell ref="B20:B21"/>
    <mergeCell ref="L4:L6"/>
    <mergeCell ref="A57:L57"/>
    <mergeCell ref="A58:L58"/>
    <mergeCell ref="A60:L60"/>
    <mergeCell ref="A70:M71"/>
    <mergeCell ref="A72:M73"/>
    <mergeCell ref="A74:M74"/>
  </mergeCells>
  <printOptions horizontalCentered="1"/>
  <pageMargins left="0.75" right="0.75" top="1.6" bottom="1" header="0.75" footer="0.5"/>
  <pageSetup paperSize="119" fitToHeight="0" orientation="landscape" r:id="rId1"/>
  <headerFooter>
    <oddHeader>&amp;C&amp;"-,Bold"Table B-13
Fugitive Emissions from Equipment Leaks
Puget Sound Energy – Liquefied Natural Gas Project
Tacoma, Washington&amp;R&amp;8Table B-10
Page &amp;P of &amp;N</oddHeader>
    <oddFooter>&amp;L&amp;6 May 2017  &amp;Z&amp;F  &amp;A&amp;R&amp;9Landau Associates</oddFooter>
  </headerFooter>
  <rowBreaks count="1" manualBreakCount="1">
    <brk id="30"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T14"/>
  <sheetViews>
    <sheetView topLeftCell="B1" zoomScaleNormal="100" zoomScaleSheetLayoutView="100" zoomScalePageLayoutView="85" workbookViewId="0">
      <selection activeCell="N14" sqref="B3:N14"/>
    </sheetView>
  </sheetViews>
  <sheetFormatPr defaultColWidth="9.140625" defaultRowHeight="12"/>
  <cols>
    <col min="1" max="1" width="9.42578125" style="317" hidden="1" customWidth="1"/>
    <col min="2" max="2" width="23" style="1" bestFit="1" customWidth="1"/>
    <col min="3" max="12" width="8" style="1" hidden="1" customWidth="1"/>
    <col min="13" max="13" width="8" style="1" customWidth="1"/>
    <col min="14" max="14" width="9.140625" style="1"/>
    <col min="15" max="25" width="9.140625" style="63"/>
    <col min="26" max="26" width="9.85546875" style="81" bestFit="1" customWidth="1"/>
    <col min="27" max="29" width="9.140625" style="63"/>
    <col min="30" max="30" width="1.85546875" style="317" bestFit="1" customWidth="1"/>
    <col min="31" max="31" width="34" style="317" bestFit="1" customWidth="1"/>
    <col min="32" max="32" width="11.28515625" style="317" bestFit="1" customWidth="1"/>
    <col min="33" max="33" width="18.7109375" style="317" bestFit="1" customWidth="1"/>
    <col min="34" max="36" width="12.42578125" style="317" customWidth="1"/>
    <col min="37" max="37" width="11.42578125" style="317" bestFit="1" customWidth="1"/>
    <col min="38" max="38" width="12.42578125" style="317" customWidth="1"/>
    <col min="39" max="39" width="12.42578125" style="387" customWidth="1"/>
    <col min="40" max="40" width="12.42578125" style="317" customWidth="1"/>
    <col min="41" max="43" width="13.7109375" style="317" bestFit="1" customWidth="1"/>
    <col min="44" max="44" width="13.7109375" style="317" customWidth="1"/>
    <col min="45" max="46" width="11.28515625" style="317" bestFit="1" customWidth="1"/>
    <col min="47" max="16384" width="9.140625" style="63"/>
  </cols>
  <sheetData>
    <row r="1" spans="1:16">
      <c r="A1" s="518"/>
      <c r="B1" s="159" t="s">
        <v>189</v>
      </c>
      <c r="C1" s="159"/>
      <c r="D1" s="159"/>
      <c r="E1" s="159"/>
      <c r="F1" s="159"/>
      <c r="G1" s="159"/>
      <c r="H1" s="159"/>
      <c r="I1" s="159"/>
      <c r="J1" s="159"/>
      <c r="K1" s="159"/>
      <c r="L1" s="159"/>
      <c r="M1" s="159"/>
      <c r="O1" s="318"/>
      <c r="P1" s="318"/>
    </row>
    <row r="2" spans="1:16" ht="12.75" thickBot="1">
      <c r="O2" s="318"/>
      <c r="P2" s="318"/>
    </row>
    <row r="3" spans="1:16" ht="14.45" customHeight="1">
      <c r="A3" s="26"/>
      <c r="B3" s="236"/>
      <c r="C3" s="603" t="s">
        <v>90</v>
      </c>
      <c r="D3" s="604"/>
      <c r="E3" s="603" t="s">
        <v>198</v>
      </c>
      <c r="F3" s="604"/>
      <c r="G3" s="603" t="s">
        <v>89</v>
      </c>
      <c r="H3" s="607"/>
      <c r="I3" s="609" t="s">
        <v>265</v>
      </c>
      <c r="J3" s="610"/>
      <c r="K3" s="610"/>
      <c r="L3" s="610"/>
      <c r="M3" s="610"/>
      <c r="N3" s="611"/>
      <c r="O3" s="318"/>
      <c r="P3" s="318"/>
    </row>
    <row r="4" spans="1:16" ht="12" customHeight="1">
      <c r="A4" s="26"/>
      <c r="B4" s="238"/>
      <c r="C4" s="605"/>
      <c r="D4" s="606"/>
      <c r="E4" s="605"/>
      <c r="F4" s="606"/>
      <c r="G4" s="605"/>
      <c r="H4" s="608"/>
      <c r="I4" s="405" t="s">
        <v>344</v>
      </c>
      <c r="J4" s="404"/>
      <c r="K4" s="404" t="s">
        <v>267</v>
      </c>
      <c r="L4" s="404"/>
      <c r="M4" s="612" t="s">
        <v>266</v>
      </c>
      <c r="N4" s="613"/>
      <c r="O4" s="318"/>
      <c r="P4" s="318"/>
    </row>
    <row r="5" spans="1:16" ht="12.75" thickBot="1">
      <c r="A5" s="519" t="s">
        <v>302</v>
      </c>
      <c r="B5" s="240" t="s">
        <v>30</v>
      </c>
      <c r="C5" s="392" t="s">
        <v>142</v>
      </c>
      <c r="D5" s="392" t="s">
        <v>129</v>
      </c>
      <c r="E5" s="392" t="s">
        <v>142</v>
      </c>
      <c r="F5" s="392" t="s">
        <v>129</v>
      </c>
      <c r="G5" s="392" t="s">
        <v>142</v>
      </c>
      <c r="H5" s="393" t="s">
        <v>129</v>
      </c>
      <c r="I5" s="407" t="s">
        <v>142</v>
      </c>
      <c r="J5" s="392" t="s">
        <v>129</v>
      </c>
      <c r="K5" s="392" t="s">
        <v>142</v>
      </c>
      <c r="L5" s="392" t="s">
        <v>129</v>
      </c>
      <c r="M5" s="392" t="s">
        <v>142</v>
      </c>
      <c r="N5" s="408" t="s">
        <v>129</v>
      </c>
      <c r="O5" s="318"/>
      <c r="P5" s="318"/>
    </row>
    <row r="6" spans="1:16" ht="12.75" thickTop="1">
      <c r="A6" s="520"/>
      <c r="B6" s="330" t="s">
        <v>77</v>
      </c>
      <c r="C6" s="84"/>
      <c r="D6" s="85"/>
      <c r="E6" s="84"/>
      <c r="F6" s="86"/>
      <c r="G6" s="391"/>
      <c r="H6" s="403"/>
      <c r="I6" s="406"/>
      <c r="J6" s="86"/>
      <c r="K6" s="84"/>
      <c r="L6" s="84"/>
      <c r="M6" s="84"/>
      <c r="N6" s="417"/>
      <c r="O6" s="318"/>
      <c r="P6" s="318"/>
    </row>
    <row r="7" spans="1:16" ht="13.5">
      <c r="A7" s="520" t="s">
        <v>300</v>
      </c>
      <c r="B7" s="83" t="s">
        <v>185</v>
      </c>
      <c r="C7" s="84">
        <f>INDEX(Scenarios!E:E,MATCH($A7,Scenarios!$A:$A,0))</f>
        <v>0.45894013171906201</v>
      </c>
      <c r="D7" s="85">
        <f>INDEX(Scenarios!F:F,MATCH($A7,Scenarios!$A:$A,0))</f>
        <v>5.5072815806287437E-2</v>
      </c>
      <c r="E7" s="84">
        <f>MAX(INDEX(Scenarios!K:K,MATCH($A7,Scenarios!$A:$A,0)),INDEX(Scenarios!U:U,MATCH($A7,Scenarios!$A:$A,0)),INDEX(Scenarios!AC:AC,MATCH($A7,Scenarios!$A:$A,0)))</f>
        <v>0.27701813725490199</v>
      </c>
      <c r="F7" s="86">
        <f>MAX(INDEX(Scenarios!L:L,MATCH($A7,Scenarios!$A:$A,0)),INDEX(Scenarios!V:V,MATCH($A7,Scenarios!$A:$A,0)),INDEX(Scenarios!AD:AD,MATCH($A7,Scenarios!$A:$A,0)))</f>
        <v>1.2133394411764706</v>
      </c>
      <c r="G7" s="521">
        <f>INDEX(Scenarios!C:C,MATCH($A7,Scenarios!$A:$A,0))</f>
        <v>0</v>
      </c>
      <c r="H7" s="522">
        <f>INDEX(Scenarios!D:D,MATCH($A7,Scenarios!$A:$A,0))</f>
        <v>0</v>
      </c>
      <c r="I7" s="406">
        <f>MAX(INDEX(Scenarios!AE:AE,MATCH($A7,Scenarios!$A:$A,0)),INDEX(Scenarios!AG:AG,MATCH($A7,Scenarios!$A:$A,0)))+G7</f>
        <v>0.29534547930283228</v>
      </c>
      <c r="J7" s="86">
        <f>MAX(INDEX(Scenarios!AF:AF,MATCH($A7,Scenarios!$A:$A,0)),INDEX(Scenarios!AH:AH,MATCH($A7,Scenarios!$A:$A,0)))+H7</f>
        <v>1.2171430191993464</v>
      </c>
      <c r="K7" s="84">
        <f>INDEX(Scenarios!AI:AI,MATCH($A7,Scenarios!$A:$A,0))</f>
        <v>0.48407270252516221</v>
      </c>
      <c r="L7" s="86">
        <f>INDEX(Scenarios!AJ:AJ,MATCH($A7,Scenarios!$A:$A,0))</f>
        <v>1.2397902859860259</v>
      </c>
      <c r="M7" s="84">
        <f>INDEX(Scenarios!AK:AK,MATCH($A7,Scenarios!$A:$A,0))</f>
        <v>0.48407270252516221</v>
      </c>
      <c r="N7" s="417">
        <f>INDEX(Scenarios!AL:AL,MATCH($A7,Scenarios!$A:$A,0))</f>
        <v>1.2397902859860259</v>
      </c>
      <c r="O7" s="318"/>
      <c r="P7" s="318"/>
    </row>
    <row r="8" spans="1:16" ht="13.5">
      <c r="A8" s="398">
        <v>2025884</v>
      </c>
      <c r="B8" s="83" t="s">
        <v>298</v>
      </c>
      <c r="C8" s="84">
        <f>INDEX(Scenarios!E:E,MATCH($A8,Scenarios!$A:$A,0))</f>
        <v>0.13802710728392845</v>
      </c>
      <c r="D8" s="85">
        <f>INDEX(Scenarios!F:F,MATCH($A8,Scenarios!$A:$A,0))</f>
        <v>1.6563252874071413E-2</v>
      </c>
      <c r="E8" s="86">
        <f>MAX(INDEX(Scenarios!K:K,MATCH($A8,Scenarios!$A:$A,0)),INDEX(Scenarios!U:U,MATCH($A8,Scenarios!$A:$A,0)),INDEX(Scenarios!AC:AC,MATCH($A8,Scenarios!$A:$A,0)))</f>
        <v>2.0827168687766453</v>
      </c>
      <c r="F8" s="86">
        <f>MAX(INDEX(Scenarios!L:L,MATCH($A8,Scenarios!$A:$A,0)),INDEX(Scenarios!V:V,MATCH($A8,Scenarios!$A:$A,0)),INDEX(Scenarios!AD:AD,MATCH($A8,Scenarios!$A:$A,0)))</f>
        <v>9.1222998852417057</v>
      </c>
      <c r="G8" s="521">
        <f>INDEX(Scenarios!C:C,MATCH($A8,Scenarios!$A:$A,0))</f>
        <v>0</v>
      </c>
      <c r="H8" s="522">
        <f>INDEX(Scenarios!D:D,MATCH($A8,Scenarios!$A:$A,0))</f>
        <v>0</v>
      </c>
      <c r="I8" s="406">
        <f>MAX(INDEX(Scenarios!AE:AE,MATCH($A8,Scenarios!$A:$A,0)),INDEX(Scenarios!AG:AG,MATCH($A8,Scenarios!$A:$A,0)))+G8</f>
        <v>2.0827168687766453</v>
      </c>
      <c r="J8" s="86">
        <f>MAX(INDEX(Scenarios!AF:AF,MATCH($A8,Scenarios!$A:$A,0)),INDEX(Scenarios!AH:AH,MATCH($A8,Scenarios!$A:$A,0)))+H8</f>
        <v>9.1222998852417057</v>
      </c>
      <c r="K8" s="90">
        <f>INDEX(Scenarios!AI:AI,MATCH($A8,Scenarios!$A:$A,0))</f>
        <v>0.13939376423608962</v>
      </c>
      <c r="L8" s="86">
        <f>INDEX(Scenarios!AJ:AJ,MATCH($A8,Scenarios!$A:$A,0))</f>
        <v>8.8891011126968387</v>
      </c>
      <c r="M8" s="86">
        <f>INDEX(Scenarios!AK:AK,MATCH($A8,Scenarios!$A:$A,0))</f>
        <v>2.0827168687766453</v>
      </c>
      <c r="N8" s="417">
        <f>INDEX(Scenarios!AL:AL,MATCH($A8,Scenarios!$A:$A,0))</f>
        <v>9.1222998852417057</v>
      </c>
      <c r="O8" s="318"/>
      <c r="P8" s="324"/>
    </row>
    <row r="9" spans="1:16" ht="13.5">
      <c r="A9" s="520" t="s">
        <v>311</v>
      </c>
      <c r="B9" s="83" t="s">
        <v>345</v>
      </c>
      <c r="C9" s="84">
        <f>INDEX(Scenarios!E:E,MATCH($A9,Scenarios!$A:$A,0))</f>
        <v>0.71986300080667032</v>
      </c>
      <c r="D9" s="85">
        <f>INDEX(Scenarios!F:F,MATCH($A9,Scenarios!$A:$A,0))</f>
        <v>8.6383560096800441E-2</v>
      </c>
      <c r="E9" s="84">
        <f>MAX(INDEX(Scenarios!K:K,MATCH($A9,Scenarios!$A:$A,0)),INDEX(Scenarios!U:U,MATCH($A9,Scenarios!$A:$A,0)),INDEX(Scenarios!AC:AC,MATCH($A9,Scenarios!$A:$A,0)))</f>
        <v>0.85499999999999998</v>
      </c>
      <c r="F9" s="86">
        <f>MAX(INDEX(Scenarios!L:L,MATCH($A9,Scenarios!$A:$A,0)),INDEX(Scenarios!V:V,MATCH($A9,Scenarios!$A:$A,0)),INDEX(Scenarios!AD:AD,MATCH($A9,Scenarios!$A:$A,0)))</f>
        <v>3.7448999999999999</v>
      </c>
      <c r="G9" s="521">
        <f>INDEX(Scenarios!C:C,MATCH($A9,Scenarios!$A:$A,0))</f>
        <v>0</v>
      </c>
      <c r="H9" s="522">
        <f>INDEX(Scenarios!D:D,MATCH($A9,Scenarios!$A:$A,0))</f>
        <v>0</v>
      </c>
      <c r="I9" s="406">
        <f>MAX(INDEX(Scenarios!AE:AE,MATCH($A9,Scenarios!$A:$A,0)),INDEX(Scenarios!AG:AG,MATCH($A9,Scenarios!$A:$A,0)))+G9</f>
        <v>1.0031666666666665</v>
      </c>
      <c r="J9" s="86">
        <f>MAX(INDEX(Scenarios!AF:AF,MATCH($A9,Scenarios!$A:$A,0)),INDEX(Scenarios!AH:AH,MATCH($A9,Scenarios!$A:$A,0)))+H9</f>
        <v>3.775649875</v>
      </c>
      <c r="K9" s="84">
        <f>INDEX(Scenarios!AI:AI,MATCH($A9,Scenarios!$A:$A,0))</f>
        <v>0.92602966747333704</v>
      </c>
      <c r="L9" s="86">
        <f>INDEX(Scenarios!AJ:AJ,MATCH($A9,Scenarios!$A:$A,0))</f>
        <v>3.7663934350968002</v>
      </c>
      <c r="M9" s="86">
        <f>INDEX(Scenarios!AK:AK,MATCH($A9,Scenarios!$A:$A,0))</f>
        <v>1.0031666666666665</v>
      </c>
      <c r="N9" s="417">
        <f>INDEX(Scenarios!AL:AL,MATCH($A9,Scenarios!$A:$A,0))</f>
        <v>3.775649875</v>
      </c>
      <c r="O9" s="235"/>
      <c r="P9" s="324"/>
    </row>
    <row r="10" spans="1:16">
      <c r="A10" s="520" t="s">
        <v>73</v>
      </c>
      <c r="B10" s="83" t="s">
        <v>297</v>
      </c>
      <c r="C10" s="86">
        <f>INDEX(Scenarios!E:E,MATCH($A10,Scenarios!$A:$A,0))</f>
        <v>2.4337902415642456</v>
      </c>
      <c r="D10" s="84">
        <f>INDEX(Scenarios!F:F,MATCH($A10,Scenarios!$A:$A,0))</f>
        <v>0.29205482898770946</v>
      </c>
      <c r="E10" s="86">
        <f>MAX(INDEX(Scenarios!K:K,MATCH($A10,Scenarios!$A:$A,0)),INDEX(Scenarios!U:U,MATCH($A10,Scenarios!$A:$A,0)),INDEX(Scenarios!AC:AC,MATCH($A10,Scenarios!$A:$A,0)))</f>
        <v>2.7349999999999999</v>
      </c>
      <c r="F10" s="88">
        <f>MAX(INDEX(Scenarios!L:L,MATCH($A10,Scenarios!$A:$A,0)),INDEX(Scenarios!V:V,MATCH($A10,Scenarios!$A:$A,0)),INDEX(Scenarios!AD:AD,MATCH($A10,Scenarios!$A:$A,0)))</f>
        <v>11.979299999999999</v>
      </c>
      <c r="G10" s="521">
        <f>INDEX(Scenarios!C:C,MATCH($A10,Scenarios!$A:$A,0))</f>
        <v>0</v>
      </c>
      <c r="H10" s="522">
        <f>INDEX(Scenarios!D:D,MATCH($A10,Scenarios!$A:$A,0))</f>
        <v>0</v>
      </c>
      <c r="I10" s="406">
        <f>MAX(INDEX(Scenarios!AE:AE,MATCH($A10,Scenarios!$A:$A,0)),INDEX(Scenarios!AG:AG,MATCH($A10,Scenarios!$A:$A,0)))+G10</f>
        <v>3.1777499999999996</v>
      </c>
      <c r="J10" s="88">
        <f>MAX(INDEX(Scenarios!AF:AF,MATCH($A10,Scenarios!$A:$A,0)),INDEX(Scenarios!AH:AH,MATCH($A10,Scenarios!$A:$A,0)))+H10</f>
        <v>12.071307499999998</v>
      </c>
      <c r="K10" s="86">
        <f>INDEX(Scenarios!AI:AI,MATCH($A10,Scenarios!$A:$A,0))</f>
        <v>3.0495402415642454</v>
      </c>
      <c r="L10" s="88">
        <f>INDEX(Scenarios!AJ:AJ,MATCH($A10,Scenarios!$A:$A,0))</f>
        <v>12.055922328987707</v>
      </c>
      <c r="M10" s="86">
        <f>INDEX(Scenarios!AK:AK,MATCH($A10,Scenarios!$A:$A,0))</f>
        <v>3.1777499999999996</v>
      </c>
      <c r="N10" s="523">
        <f>INDEX(Scenarios!AL:AL,MATCH($A10,Scenarios!$A:$A,0))</f>
        <v>12.071307499999998</v>
      </c>
      <c r="O10" s="235"/>
      <c r="P10" s="324"/>
    </row>
    <row r="11" spans="1:16">
      <c r="A11" s="520" t="s">
        <v>1</v>
      </c>
      <c r="B11" s="83" t="s">
        <v>101</v>
      </c>
      <c r="C11" s="84">
        <f>INDEX(Scenarios!E:E,MATCH($A11,Scenarios!$A:$A,0))</f>
        <v>0.3321277269019528</v>
      </c>
      <c r="D11" s="85">
        <f>INDEX(Scenarios!F:F,MATCH($A11,Scenarios!$A:$A,0))</f>
        <v>3.9855327228234337E-2</v>
      </c>
      <c r="E11" s="88">
        <f>MAX(INDEX(Scenarios!K:K,MATCH($A11,Scenarios!$A:$A,0)),INDEX(Scenarios!U:U,MATCH($A11,Scenarios!$A:$A,0)),INDEX(Scenarios!AC:AC,MATCH($A11,Scenarios!$A:$A,0)))</f>
        <v>10.182065350147612</v>
      </c>
      <c r="F11" s="88">
        <f>MAX(INDEX(Scenarios!L:L,MATCH($A11,Scenarios!$A:$A,0)),INDEX(Scenarios!V:V,MATCH($A11,Scenarios!$A:$A,0)),INDEX(Scenarios!AD:AD,MATCH($A11,Scenarios!$A:$A,0)))</f>
        <v>44.597446233646536</v>
      </c>
      <c r="G11" s="86">
        <f>INDEX(Scenarios!C:C,MATCH($A11,Scenarios!$A:$A,0))</f>
        <v>0.95157320000000001</v>
      </c>
      <c r="H11" s="524">
        <f>INDEX(Scenarios!D:D,MATCH($A11,Scenarios!$A:$A,0))</f>
        <v>4.1678906159999993</v>
      </c>
      <c r="I11" s="525">
        <f>MAX(INDEX(Scenarios!AE:AE,MATCH($A11,Scenarios!$A:$A,0)),INDEX(Scenarios!AG:AG,MATCH($A11,Scenarios!$A:$A,0)))+G11</f>
        <v>11.136523788891948</v>
      </c>
      <c r="J11" s="88">
        <f>MAX(INDEX(Scenarios!AF:AF,MATCH($A11,Scenarios!$A:$A,0)),INDEX(Scenarios!AH:AH,MATCH($A11,Scenarios!$A:$A,0)))+H11</f>
        <v>48.765936869278654</v>
      </c>
      <c r="K11" s="84">
        <f>INDEX(Scenarios!AI:AI,MATCH($A11,Scenarios!$A:$A,0))</f>
        <v>0.40590290115704408</v>
      </c>
      <c r="L11" s="88">
        <f>INDEX(Scenarios!AJ:AJ,MATCH($A11,Scenarios!$A:$A,0))</f>
        <v>43.424560530750469</v>
      </c>
      <c r="M11" s="88">
        <f>INDEX(Scenarios!AK:AK,MATCH($A11,Scenarios!$A:$A,0))</f>
        <v>11.136523788891948</v>
      </c>
      <c r="N11" s="523">
        <f>INDEX(Scenarios!AL:AL,MATCH($A11,Scenarios!$A:$A,0))</f>
        <v>48.765936869278654</v>
      </c>
      <c r="O11" s="235"/>
      <c r="P11" s="324"/>
    </row>
    <row r="12" spans="1:16">
      <c r="A12" s="520" t="s">
        <v>306</v>
      </c>
      <c r="B12" s="89" t="s">
        <v>81</v>
      </c>
      <c r="C12" s="100">
        <f>INDEX(Scenarios!E:E,MATCH($A12,Scenarios!$A:$A,0))</f>
        <v>3.0193429718359346E-5</v>
      </c>
      <c r="D12" s="100">
        <f>INDEX(Scenarios!F:F,MATCH($A12,Scenarios!$A:$A,0))</f>
        <v>3.6232115662031216E-6</v>
      </c>
      <c r="E12" s="100">
        <f>MAX(INDEX(Scenarios!K:K,MATCH($A12,Scenarios!$A:$A,0)),INDEX(Scenarios!U:U,MATCH($A12,Scenarios!$A:$A,0)),INDEX(Scenarios!AC:AC,MATCH($A12,Scenarios!$A:$A,0)))</f>
        <v>1.8224877450980391E-5</v>
      </c>
      <c r="F12" s="100">
        <f>MAX(INDEX(Scenarios!L:L,MATCH($A12,Scenarios!$A:$A,0)),INDEX(Scenarios!V:V,MATCH($A12,Scenarios!$A:$A,0)),INDEX(Scenarios!AD:AD,MATCH($A12,Scenarios!$A:$A,0)))</f>
        <v>7.9824963235294112E-5</v>
      </c>
      <c r="G12" s="526">
        <f>INDEX(Scenarios!C:C,MATCH($A12,Scenarios!$A:$A,0))</f>
        <v>0</v>
      </c>
      <c r="H12" s="527">
        <f>INDEX(Scenarios!D:D,MATCH($A12,Scenarios!$A:$A,0))</f>
        <v>0</v>
      </c>
      <c r="I12" s="528">
        <f>MAX(INDEX(Scenarios!AE:AE,MATCH($A12,Scenarios!$A:$A,0)),INDEX(Scenarios!AG:AG,MATCH($A12,Scenarios!$A:$A,0)))+G12</f>
        <v>1.9430623638344225E-5</v>
      </c>
      <c r="J12" s="100">
        <f>MAX(INDEX(Scenarios!AF:AF,MATCH($A12,Scenarios!$A:$A,0)),INDEX(Scenarios!AH:AH,MATCH($A12,Scenarios!$A:$A,0)))+H12</f>
        <v>8.0075198631535937E-5</v>
      </c>
      <c r="K12" s="100">
        <f>INDEX(Scenarios!AI:AI,MATCH($A12,Scenarios!$A:$A,0))</f>
        <v>3.1846888324023837E-5</v>
      </c>
      <c r="L12" s="100">
        <f>INDEX(Scenarios!AJ:AJ,MATCH($A12,Scenarios!$A:$A,0))</f>
        <v>8.1565150393817485E-5</v>
      </c>
      <c r="M12" s="100">
        <f>INDEX(Scenarios!AK:AK,MATCH($A12,Scenarios!$A:$A,0))</f>
        <v>3.1846888324023837E-5</v>
      </c>
      <c r="N12" s="529">
        <f>INDEX(Scenarios!AL:AL,MATCH($A12,Scenarios!$A:$A,0))</f>
        <v>8.1565150393817485E-5</v>
      </c>
      <c r="O12" s="318"/>
      <c r="P12" s="324"/>
    </row>
    <row r="13" spans="1:16">
      <c r="A13" s="520" t="s">
        <v>301</v>
      </c>
      <c r="B13" s="330" t="s">
        <v>49</v>
      </c>
      <c r="C13" s="84">
        <f>INDEX(Scenarios!E:E,MATCH($A13,Scenarios!$A:$A,0))</f>
        <v>0.11793723938934783</v>
      </c>
      <c r="D13" s="85">
        <f>INDEX(Scenarios!F:F,MATCH($A13,Scenarios!$A:$A,0))</f>
        <v>1.4152468726721726E-2</v>
      </c>
      <c r="E13" s="86">
        <f>MAX(INDEX(Scenarios!K:K,MATCH($A13,Scenarios!$A:$A,0)),INDEX(Scenarios!U:U,MATCH($A13,Scenarios!$A:$A,0)),INDEX(Scenarios!AC:AC,MATCH($A13,Scenarios!$A:$A,0)))</f>
        <v>6.9185885736202046E-2</v>
      </c>
      <c r="F13" s="84">
        <f>MAX(INDEX(Scenarios!L:L,MATCH($A13,Scenarios!$A:$A,0)),INDEX(Scenarios!V:V,MATCH($A13,Scenarios!$A:$A,0)),INDEX(Scenarios!AD:AD,MATCH($A13,Scenarios!$A:$A,0)))</f>
        <v>0.30303417952456491</v>
      </c>
      <c r="G13" s="391">
        <f>INDEX(Scenarios!C:C,MATCH($A13,Scenarios!$A:$A,0))</f>
        <v>1.3856548345693494E-2</v>
      </c>
      <c r="H13" s="552">
        <f>INDEX(Scenarios!D:D,MATCH($A13,Scenarios!$A:$A,0))</f>
        <v>6.0691681754137514E-2</v>
      </c>
      <c r="I13" s="406">
        <f>MAX(INDEX(Scenarios!AE:AE,MATCH($A13,Scenarios!$A:$A,0)),INDEX(Scenarios!AG:AG,MATCH($A13,Scenarios!$A:$A,0)))+G13</f>
        <v>8.7620881452644739E-2</v>
      </c>
      <c r="J13" s="84">
        <f>MAX(INDEX(Scenarios!AF:AF,MATCH($A13,Scenarios!$A:$A,0)),INDEX(Scenarios!AH:AH,MATCH($A13,Scenarios!$A:$A,0)))+H13</f>
        <v>0.36467605262411046</v>
      </c>
      <c r="K13" s="86">
        <f>INDEX(Scenarios!AI:AI,MATCH($A13,Scenarios!$A:$A,0))</f>
        <v>0.12421530752838709</v>
      </c>
      <c r="L13" s="84">
        <f>INDEX(Scenarios!AJ:AJ,MATCH($A13,Scenarios!$A:$A,0))</f>
        <v>0.31003848780054516</v>
      </c>
      <c r="M13" s="86">
        <f>INDEX(Scenarios!AK:AK,MATCH($A13,Scenarios!$A:$A,0))</f>
        <v>0.13807185587408058</v>
      </c>
      <c r="N13" s="553">
        <f>INDEX(Scenarios!AL:AL,MATCH($A13,Scenarios!$A:$A,0))</f>
        <v>0.37073016955468269</v>
      </c>
      <c r="O13" s="318"/>
      <c r="P13" s="324"/>
    </row>
    <row r="14" spans="1:16">
      <c r="B14" s="554" t="s">
        <v>369</v>
      </c>
      <c r="C14" s="555"/>
      <c r="D14" s="555"/>
      <c r="E14" s="555"/>
      <c r="F14" s="555"/>
      <c r="G14" s="555"/>
      <c r="H14" s="555"/>
      <c r="I14" s="555"/>
      <c r="J14" s="555"/>
      <c r="K14" s="555"/>
      <c r="L14" s="555"/>
      <c r="M14" s="556">
        <f>Scenarios!AK58</f>
        <v>1.8972451696983281</v>
      </c>
      <c r="N14" s="557">
        <f>Scenarios!AL58</f>
        <v>1.0288480125735175</v>
      </c>
    </row>
  </sheetData>
  <mergeCells count="5">
    <mergeCell ref="C3:D4"/>
    <mergeCell ref="E3:F4"/>
    <mergeCell ref="G3:H4"/>
    <mergeCell ref="I3:N3"/>
    <mergeCell ref="M4:N4"/>
  </mergeCells>
  <printOptions horizontalCentered="1"/>
  <pageMargins left="0.75" right="0.75" top="1.6" bottom="1" header="0.75" footer="0.5"/>
  <pageSetup fitToHeight="0" orientation="landscape" r:id="rId1"/>
  <headerFooter>
    <oddHeader>&amp;C&amp;"-,Bold"Table B-14
Project Emissions Summary
Puget Sound Energy  – Liquefied Natural Gas Project
Tacoma, Washington&amp;R&amp;8Page &amp;P of &amp;N</oddHeader>
    <oddFooter>&amp;L&amp;6 May 2017  &amp;Z&amp;F  &amp;A&amp;R&amp;9Landau Associates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G101"/>
  <sheetViews>
    <sheetView topLeftCell="B17" zoomScaleNormal="100" workbookViewId="0">
      <selection activeCell="G58" sqref="G58"/>
    </sheetView>
  </sheetViews>
  <sheetFormatPr defaultColWidth="9.140625" defaultRowHeight="14.25"/>
  <cols>
    <col min="1" max="1" width="0" style="17" hidden="1" customWidth="1"/>
    <col min="2" max="2" width="33.42578125" style="22" bestFit="1" customWidth="1"/>
    <col min="3" max="3" width="7.85546875" style="22" customWidth="1"/>
    <col min="4" max="4" width="1.85546875" style="366" bestFit="1" customWidth="1"/>
    <col min="5" max="5" width="13.85546875" style="15" customWidth="1"/>
    <col min="6" max="6" width="15.5703125" style="22" customWidth="1"/>
    <col min="7" max="7" width="1.28515625" style="17" bestFit="1" customWidth="1"/>
    <col min="8" max="16384" width="9.140625" style="17"/>
  </cols>
  <sheetData>
    <row r="1" spans="1:6" ht="12">
      <c r="B1" s="161" t="s">
        <v>277</v>
      </c>
      <c r="C1" s="161"/>
      <c r="D1" s="161"/>
      <c r="E1" s="161"/>
      <c r="F1" s="161"/>
    </row>
    <row r="2" spans="1:6" ht="12">
      <c r="B2" s="26"/>
      <c r="C2" s="26"/>
      <c r="D2" s="260"/>
      <c r="E2" s="260"/>
      <c r="F2" s="26"/>
    </row>
    <row r="3" spans="1:6" ht="12">
      <c r="B3" s="261"/>
      <c r="C3" s="614" t="s">
        <v>31</v>
      </c>
      <c r="D3" s="614"/>
      <c r="E3" s="262" t="s">
        <v>98</v>
      </c>
      <c r="F3" s="262"/>
    </row>
    <row r="4" spans="1:6">
      <c r="B4" s="263"/>
      <c r="C4" s="615"/>
      <c r="D4" s="615"/>
      <c r="E4" s="264" t="s">
        <v>210</v>
      </c>
      <c r="F4" s="264" t="s">
        <v>211</v>
      </c>
    </row>
    <row r="5" spans="1:6" ht="12.75" thickBot="1">
      <c r="B5" s="265" t="s">
        <v>30</v>
      </c>
      <c r="C5" s="266" t="s">
        <v>99</v>
      </c>
      <c r="D5" s="266"/>
      <c r="E5" s="91" t="s">
        <v>113</v>
      </c>
      <c r="F5" s="91" t="s">
        <v>114</v>
      </c>
    </row>
    <row r="6" spans="1:6" ht="12.75" thickTop="1">
      <c r="B6" s="82" t="s">
        <v>77</v>
      </c>
      <c r="C6" s="92"/>
      <c r="D6" s="93"/>
      <c r="E6" s="94"/>
      <c r="F6" s="94"/>
    </row>
    <row r="7" spans="1:6">
      <c r="B7" s="83" t="s">
        <v>185</v>
      </c>
      <c r="C7" s="95">
        <f>'3 Vapor'!C7</f>
        <v>7.6</v>
      </c>
      <c r="D7" s="362">
        <v>1</v>
      </c>
      <c r="E7" s="85">
        <f t="shared" ref="E7:E12" si="0">$C$65/$C$66*C7</f>
        <v>6.258274523441755E-2</v>
      </c>
      <c r="F7" s="84">
        <f t="shared" ref="F7:F12" si="1">$C7*$C$65/$C$66*$C$67/2000</f>
        <v>0.2741124241267488</v>
      </c>
    </row>
    <row r="8" spans="1:6">
      <c r="B8" s="83" t="s">
        <v>184</v>
      </c>
      <c r="C8" s="96">
        <f>'3 Vapor'!C8</f>
        <v>2.285714285714286</v>
      </c>
      <c r="D8" s="362" t="s">
        <v>212</v>
      </c>
      <c r="E8" s="85">
        <f t="shared" si="0"/>
        <v>1.8821878265990244E-2</v>
      </c>
      <c r="F8" s="84">
        <f t="shared" si="1"/>
        <v>8.2439826805037253E-2</v>
      </c>
    </row>
    <row r="9" spans="1:6">
      <c r="B9" s="83" t="s">
        <v>186</v>
      </c>
      <c r="C9" s="96">
        <f>C76*0.00000000259*46.01*$C$79*$C$66*(20.9/(20.9-$C$78))</f>
        <v>52.981578186708916</v>
      </c>
      <c r="D9" s="362" t="s">
        <v>218</v>
      </c>
      <c r="E9" s="85">
        <f t="shared" si="0"/>
        <v>0.43628060654949713</v>
      </c>
      <c r="F9" s="84">
        <f t="shared" si="1"/>
        <v>1.9109090566867974</v>
      </c>
    </row>
    <row r="10" spans="1:6">
      <c r="B10" s="83" t="s">
        <v>0</v>
      </c>
      <c r="C10" s="96">
        <f>C77*0.00000000259*28*$C$79*$C$66*(20.9/(20.9-$C$78))</f>
        <v>40.303308770589268</v>
      </c>
      <c r="D10" s="362" t="s">
        <v>218</v>
      </c>
      <c r="E10" s="85">
        <f t="shared" si="0"/>
        <v>0.33188048748603349</v>
      </c>
      <c r="F10" s="84">
        <f t="shared" si="1"/>
        <v>1.453636535188827</v>
      </c>
    </row>
    <row r="11" spans="1:6">
      <c r="B11" s="83" t="s">
        <v>1</v>
      </c>
      <c r="C11" s="97">
        <f>'3 Vapor'!C11</f>
        <v>5.5</v>
      </c>
      <c r="D11" s="362">
        <v>1</v>
      </c>
      <c r="E11" s="85">
        <f t="shared" si="0"/>
        <v>4.5290144577539014E-2</v>
      </c>
      <c r="F11" s="84">
        <f t="shared" si="1"/>
        <v>0.19837083324962088</v>
      </c>
    </row>
    <row r="12" spans="1:6">
      <c r="B12" s="98" t="s">
        <v>78</v>
      </c>
      <c r="C12" s="99">
        <f>'3 Vapor'!C12</f>
        <v>5.0000000000000001E-4</v>
      </c>
      <c r="D12" s="363">
        <v>1</v>
      </c>
      <c r="E12" s="85">
        <f t="shared" si="0"/>
        <v>4.117285870685365E-6</v>
      </c>
      <c r="F12" s="84">
        <f t="shared" si="1"/>
        <v>1.8033712113601903E-5</v>
      </c>
    </row>
    <row r="13" spans="1:6" ht="12">
      <c r="B13" s="101" t="s">
        <v>79</v>
      </c>
      <c r="C13" s="102"/>
      <c r="D13" s="16"/>
      <c r="E13" s="103"/>
      <c r="F13" s="103"/>
    </row>
    <row r="14" spans="1:6">
      <c r="A14" s="395" t="s">
        <v>56</v>
      </c>
      <c r="B14" s="83" t="s">
        <v>9</v>
      </c>
      <c r="C14" s="104">
        <f>INDEX('3 Vapor'!C:C,MATCH(A14,'3 Vapor'!A:A,0))</f>
        <v>8.4700000000000001E-3</v>
      </c>
      <c r="D14" s="246" t="s">
        <v>235</v>
      </c>
      <c r="E14" s="90">
        <f t="shared" ref="E14:E46" si="2">$C$65/$C$66*C14</f>
        <v>6.9746822649410079E-5</v>
      </c>
      <c r="F14" s="90">
        <f t="shared" ref="F14:F57" si="3">$C14*$C$65/$C$66*$C$67/2000</f>
        <v>3.054910832044162E-4</v>
      </c>
    </row>
    <row r="15" spans="1:6">
      <c r="A15" s="395" t="s">
        <v>57</v>
      </c>
      <c r="B15" s="83" t="s">
        <v>10</v>
      </c>
      <c r="C15" s="104">
        <f>INDEX('3 Vapor'!C:C,MATCH(A15,'3 Vapor'!A:A,0))</f>
        <v>2.7000000000000001E-3</v>
      </c>
      <c r="D15" s="246" t="s">
        <v>235</v>
      </c>
      <c r="E15" s="90">
        <f t="shared" si="2"/>
        <v>2.2233343701700973E-5</v>
      </c>
      <c r="F15" s="90">
        <f t="shared" si="3"/>
        <v>9.738204541345026E-5</v>
      </c>
    </row>
    <row r="16" spans="1:6">
      <c r="A16" s="395" t="s">
        <v>153</v>
      </c>
      <c r="B16" s="83" t="s">
        <v>152</v>
      </c>
      <c r="C16" s="104">
        <f>INDEX('3 Vapor'!C:C,MATCH(A16,'3 Vapor'!A:A,0))</f>
        <v>3.2</v>
      </c>
      <c r="D16" s="246" t="s">
        <v>235</v>
      </c>
      <c r="E16" s="90">
        <f t="shared" si="2"/>
        <v>2.6350629572386337E-2</v>
      </c>
      <c r="F16" s="90">
        <f t="shared" si="3"/>
        <v>0.11541575752705215</v>
      </c>
    </row>
    <row r="17" spans="1:7">
      <c r="A17" s="395" t="s">
        <v>308</v>
      </c>
      <c r="B17" s="83" t="s">
        <v>33</v>
      </c>
      <c r="C17" s="104">
        <f>INDEX('3 Vapor'!C:C,MATCH(A17,'3 Vapor'!A:A,0))</f>
        <v>2.0000000000000001E-4</v>
      </c>
      <c r="D17" s="246" t="s">
        <v>235</v>
      </c>
      <c r="E17" s="90">
        <f t="shared" si="2"/>
        <v>1.646914348274146E-6</v>
      </c>
      <c r="F17" s="90">
        <f t="shared" si="3"/>
        <v>7.2134848454407608E-6</v>
      </c>
    </row>
    <row r="18" spans="1:7">
      <c r="A18" s="395" t="s">
        <v>59</v>
      </c>
      <c r="B18" s="83" t="s">
        <v>12</v>
      </c>
      <c r="C18" s="104">
        <f>INDEX('3 Vapor'!C:C,MATCH(A18,'3 Vapor'!A:A,0))</f>
        <v>5.7999999999999996E-3</v>
      </c>
      <c r="D18" s="246" t="s">
        <v>235</v>
      </c>
      <c r="E18" s="90">
        <f t="shared" si="2"/>
        <v>4.7760516099950228E-5</v>
      </c>
      <c r="F18" s="90">
        <f t="shared" si="3"/>
        <v>2.0919106051778201E-4</v>
      </c>
    </row>
    <row r="19" spans="1:7">
      <c r="A19" s="395" t="s">
        <v>307</v>
      </c>
      <c r="B19" s="83" t="s">
        <v>34</v>
      </c>
      <c r="C19" s="104">
        <f>INDEX('3 Vapor'!C:C,MATCH(A19,'3 Vapor'!A:A,0))</f>
        <v>1.2E-5</v>
      </c>
      <c r="D19" s="246" t="s">
        <v>239</v>
      </c>
      <c r="E19" s="90">
        <f t="shared" si="2"/>
        <v>9.8814860896448767E-8</v>
      </c>
      <c r="F19" s="90">
        <f t="shared" si="3"/>
        <v>4.3280909072644553E-7</v>
      </c>
    </row>
    <row r="20" spans="1:7">
      <c r="A20" s="395" t="s">
        <v>69</v>
      </c>
      <c r="B20" s="83" t="s">
        <v>35</v>
      </c>
      <c r="C20" s="104">
        <f>INDEX('3 Vapor'!C:C,MATCH(A20,'3 Vapor'!A:A,0))</f>
        <v>1.1000000000000001E-3</v>
      </c>
      <c r="D20" s="246" t="s">
        <v>239</v>
      </c>
      <c r="E20" s="90">
        <f t="shared" si="2"/>
        <v>9.0580289155078042E-6</v>
      </c>
      <c r="F20" s="90">
        <f t="shared" si="3"/>
        <v>3.967416664992418E-5</v>
      </c>
    </row>
    <row r="21" spans="1:7">
      <c r="A21" s="395" t="s">
        <v>290</v>
      </c>
      <c r="B21" s="83" t="s">
        <v>80</v>
      </c>
      <c r="C21" s="104">
        <f>INDEX('3 Vapor'!C:C,MATCH(A21,'3 Vapor'!A:A,0))</f>
        <v>1.4E-3</v>
      </c>
      <c r="D21" s="246" t="s">
        <v>239</v>
      </c>
      <c r="E21" s="90">
        <f t="shared" si="2"/>
        <v>1.1528400437919022E-5</v>
      </c>
      <c r="F21" s="90">
        <f t="shared" si="3"/>
        <v>5.0494393918085313E-5</v>
      </c>
    </row>
    <row r="22" spans="1:7">
      <c r="A22" s="395" t="s">
        <v>70</v>
      </c>
      <c r="B22" s="83" t="s">
        <v>36</v>
      </c>
      <c r="C22" s="104">
        <f>INDEX('3 Vapor'!C:C,MATCH(A22,'3 Vapor'!A:A,0))</f>
        <v>8.3999999999999995E-5</v>
      </c>
      <c r="D22" s="246" t="s">
        <v>239</v>
      </c>
      <c r="E22" s="90">
        <f t="shared" si="2"/>
        <v>6.9170402627514126E-7</v>
      </c>
      <c r="F22" s="90">
        <f t="shared" si="3"/>
        <v>3.0296636350851186E-6</v>
      </c>
    </row>
    <row r="23" spans="1:7">
      <c r="A23" s="395" t="s">
        <v>299</v>
      </c>
      <c r="B23" s="83" t="s">
        <v>37</v>
      </c>
      <c r="C23" s="104">
        <f>INDEX('3 Vapor'!C:C,MATCH(A23,'3 Vapor'!A:A,0))</f>
        <v>8.4999999999999995E-4</v>
      </c>
      <c r="D23" s="246" t="s">
        <v>239</v>
      </c>
      <c r="E23" s="90">
        <f t="shared" si="2"/>
        <v>6.9993859801651204E-6</v>
      </c>
      <c r="F23" s="90">
        <f t="shared" si="3"/>
        <v>3.065731059312323E-5</v>
      </c>
    </row>
    <row r="24" spans="1:7">
      <c r="A24" s="395" t="s">
        <v>150</v>
      </c>
      <c r="B24" s="83" t="s">
        <v>19</v>
      </c>
      <c r="C24" s="104">
        <f>INDEX('3 Vapor'!C:C,MATCH(A24,'3 Vapor'!A:A,0))</f>
        <v>6.8999999999999999E-3</v>
      </c>
      <c r="D24" s="246" t="s">
        <v>235</v>
      </c>
      <c r="E24" s="90">
        <f t="shared" si="2"/>
        <v>5.6818545015458034E-5</v>
      </c>
      <c r="F24" s="90">
        <f t="shared" si="3"/>
        <v>2.4886522716770622E-4</v>
      </c>
    </row>
    <row r="25" spans="1:7">
      <c r="A25" s="395" t="s">
        <v>65</v>
      </c>
      <c r="B25" s="83" t="s">
        <v>22</v>
      </c>
      <c r="C25" s="104">
        <f>INDEX('3 Vapor'!C:C,MATCH(A25,'3 Vapor'!A:A,0))</f>
        <v>7.4999999999999997E-2</v>
      </c>
      <c r="D25" s="246" t="s">
        <v>240</v>
      </c>
      <c r="E25" s="90">
        <f t="shared" si="2"/>
        <v>6.1759288060280468E-4</v>
      </c>
      <c r="F25" s="90">
        <f t="shared" si="3"/>
        <v>2.7050568170402848E-3</v>
      </c>
    </row>
    <row r="26" spans="1:7">
      <c r="A26" s="395" t="s">
        <v>154</v>
      </c>
      <c r="B26" s="83" t="s">
        <v>23</v>
      </c>
      <c r="C26" s="104">
        <f>INDEX('3 Vapor'!C:C,MATCH(A26,'3 Vapor'!A:A,0))</f>
        <v>1.8</v>
      </c>
      <c r="D26" s="246" t="s">
        <v>240</v>
      </c>
      <c r="E26" s="90">
        <f t="shared" si="2"/>
        <v>1.4822229134467315E-2</v>
      </c>
      <c r="F26" s="90">
        <f t="shared" si="3"/>
        <v>6.4921363608966831E-2</v>
      </c>
    </row>
    <row r="27" spans="1:7">
      <c r="A27" s="395" t="s">
        <v>306</v>
      </c>
      <c r="B27" s="83" t="s">
        <v>81</v>
      </c>
      <c r="C27" s="104">
        <f>INDEX('3 Vapor'!C:C,MATCH(A27,'3 Vapor'!A:A,0))</f>
        <v>5.0000000000000001E-4</v>
      </c>
      <c r="D27" s="243">
        <v>1</v>
      </c>
      <c r="E27" s="90">
        <f t="shared" si="2"/>
        <v>4.117285870685365E-6</v>
      </c>
      <c r="F27" s="90">
        <f t="shared" si="3"/>
        <v>1.8033712113601903E-5</v>
      </c>
    </row>
    <row r="28" spans="1:7">
      <c r="A28" s="395" t="s">
        <v>305</v>
      </c>
      <c r="B28" s="83" t="s">
        <v>38</v>
      </c>
      <c r="C28" s="104">
        <f>INDEX('3 Vapor'!C:C,MATCH(A28,'3 Vapor'!A:A,0))</f>
        <v>3.8000000000000002E-4</v>
      </c>
      <c r="D28" s="246" t="s">
        <v>239</v>
      </c>
      <c r="E28" s="90">
        <f t="shared" si="2"/>
        <v>3.1291372617208778E-6</v>
      </c>
      <c r="F28" s="90">
        <f t="shared" si="3"/>
        <v>1.3705621206337445E-5</v>
      </c>
    </row>
    <row r="29" spans="1:7">
      <c r="A29" s="395" t="s">
        <v>71</v>
      </c>
      <c r="B29" s="83" t="s">
        <v>39</v>
      </c>
      <c r="C29" s="104">
        <f>INDEX('3 Vapor'!C:C,MATCH(A29,'3 Vapor'!A:A,0))</f>
        <v>2.5999999999999998E-4</v>
      </c>
      <c r="D29" s="246" t="s">
        <v>239</v>
      </c>
      <c r="E29" s="90">
        <f t="shared" si="2"/>
        <v>2.1409886527563897E-6</v>
      </c>
      <c r="F29" s="90">
        <f t="shared" si="3"/>
        <v>9.3775302990729866E-6</v>
      </c>
    </row>
    <row r="30" spans="1:7">
      <c r="A30" s="395" t="s">
        <v>67</v>
      </c>
      <c r="B30" s="83" t="s">
        <v>24</v>
      </c>
      <c r="C30" s="104">
        <f>INDEX('3 Vapor'!C:C,MATCH(A30,'3 Vapor'!A:A,0))</f>
        <v>6.0999999999999997E-4</v>
      </c>
      <c r="D30" s="246" t="s">
        <v>240</v>
      </c>
      <c r="E30" s="90">
        <f t="shared" si="2"/>
        <v>5.0230887622361451E-6</v>
      </c>
      <c r="F30" s="90">
        <f t="shared" si="3"/>
        <v>2.200112877859432E-5</v>
      </c>
    </row>
    <row r="31" spans="1:7">
      <c r="A31" s="395" t="s">
        <v>293</v>
      </c>
      <c r="B31" s="83" t="s">
        <v>40</v>
      </c>
      <c r="C31" s="104">
        <f>INDEX('3 Vapor'!C:C,MATCH(A31,'3 Vapor'!A:A,0))</f>
        <v>2.0999999999999999E-3</v>
      </c>
      <c r="D31" s="246" t="s">
        <v>239</v>
      </c>
      <c r="E31" s="90">
        <f t="shared" si="2"/>
        <v>1.7292600656878531E-5</v>
      </c>
      <c r="F31" s="90">
        <f t="shared" si="3"/>
        <v>7.574159087712798E-5</v>
      </c>
      <c r="G31" s="210"/>
    </row>
    <row r="32" spans="1:7">
      <c r="A32" s="395" t="s">
        <v>296</v>
      </c>
      <c r="B32" s="83" t="s">
        <v>82</v>
      </c>
      <c r="C32" s="104">
        <f>INDEX('3 Vapor'!C:C,MATCH(A32,'3 Vapor'!A:A,0))</f>
        <v>1.8981999999999998E-3</v>
      </c>
      <c r="D32" s="246" t="s">
        <v>240</v>
      </c>
      <c r="E32" s="90">
        <f t="shared" si="2"/>
        <v>1.563086407946992E-5</v>
      </c>
      <c r="F32" s="90">
        <f t="shared" si="3"/>
        <v>6.8463184668078258E-5</v>
      </c>
    </row>
    <row r="33" spans="1:6">
      <c r="A33" s="395" t="s">
        <v>285</v>
      </c>
      <c r="B33" s="105" t="s">
        <v>4</v>
      </c>
      <c r="C33" s="110">
        <f>INDEX('3 Vapor'!C:C,MATCH(A33,'3 Vapor'!A:A,0))</f>
        <v>2.4000000000000001E-5</v>
      </c>
      <c r="D33" s="246" t="s">
        <v>240</v>
      </c>
      <c r="E33" s="107">
        <f t="shared" si="2"/>
        <v>1.9762972179289753E-7</v>
      </c>
      <c r="F33" s="107">
        <f t="shared" si="3"/>
        <v>8.6561818145289106E-7</v>
      </c>
    </row>
    <row r="34" spans="1:6">
      <c r="A34" s="395" t="s">
        <v>54</v>
      </c>
      <c r="B34" s="105" t="s">
        <v>5</v>
      </c>
      <c r="C34" s="110">
        <f>INDEX('3 Vapor'!C:C,MATCH(A34,'3 Vapor'!A:A,0))</f>
        <v>1.7999999999999999E-6</v>
      </c>
      <c r="D34" s="246" t="s">
        <v>240</v>
      </c>
      <c r="E34" s="107">
        <f t="shared" si="2"/>
        <v>1.4822229134467313E-8</v>
      </c>
      <c r="F34" s="107">
        <f t="shared" si="3"/>
        <v>6.4921363608966843E-8</v>
      </c>
    </row>
    <row r="35" spans="1:6">
      <c r="A35" s="395" t="s">
        <v>55</v>
      </c>
      <c r="B35" s="105" t="s">
        <v>6</v>
      </c>
      <c r="C35" s="110">
        <f>INDEX('3 Vapor'!C:C,MATCH(A35,'3 Vapor'!A:A,0))</f>
        <v>1.5999999999999999E-5</v>
      </c>
      <c r="D35" s="246" t="s">
        <v>240</v>
      </c>
      <c r="E35" s="107">
        <f t="shared" si="2"/>
        <v>1.3175314786193168E-7</v>
      </c>
      <c r="F35" s="107">
        <f t="shared" si="3"/>
        <v>5.7707878763526081E-7</v>
      </c>
    </row>
    <row r="36" spans="1:6">
      <c r="A36" s="395" t="s">
        <v>287</v>
      </c>
      <c r="B36" s="105" t="s">
        <v>7</v>
      </c>
      <c r="C36" s="110">
        <f>INDEX('3 Vapor'!C:C,MATCH(A36,'3 Vapor'!A:A,0))</f>
        <v>1.7999999999999999E-6</v>
      </c>
      <c r="D36" s="246" t="s">
        <v>240</v>
      </c>
      <c r="E36" s="107">
        <f t="shared" si="2"/>
        <v>1.4822229134467313E-8</v>
      </c>
      <c r="F36" s="107">
        <f t="shared" si="3"/>
        <v>6.4921363608966843E-8</v>
      </c>
    </row>
    <row r="37" spans="1:6">
      <c r="A37" s="395" t="s">
        <v>286</v>
      </c>
      <c r="B37" s="105" t="s">
        <v>8</v>
      </c>
      <c r="C37" s="110">
        <f>INDEX('3 Vapor'!C:C,MATCH(A37,'3 Vapor'!A:A,0))</f>
        <v>1.7999999999999999E-6</v>
      </c>
      <c r="D37" s="246" t="s">
        <v>240</v>
      </c>
      <c r="E37" s="107">
        <f t="shared" si="2"/>
        <v>1.4822229134467313E-8</v>
      </c>
      <c r="F37" s="107">
        <f t="shared" si="3"/>
        <v>6.4921363608966843E-8</v>
      </c>
    </row>
    <row r="38" spans="1:6">
      <c r="A38" s="395" t="s">
        <v>288</v>
      </c>
      <c r="B38" s="105" t="s">
        <v>11</v>
      </c>
      <c r="C38" s="110">
        <f>INDEX('3 Vapor'!C:C,MATCH(A38,'3 Vapor'!A:A,0))</f>
        <v>2.3999999999999999E-6</v>
      </c>
      <c r="D38" s="246" t="s">
        <v>240</v>
      </c>
      <c r="E38" s="107">
        <f t="shared" si="2"/>
        <v>1.9762972179289751E-8</v>
      </c>
      <c r="F38" s="107">
        <f t="shared" si="3"/>
        <v>8.6561818145289119E-8</v>
      </c>
    </row>
    <row r="39" spans="1:6">
      <c r="A39" s="395" t="s">
        <v>58</v>
      </c>
      <c r="B39" s="105" t="s">
        <v>83</v>
      </c>
      <c r="C39" s="110">
        <f>INDEX('3 Vapor'!C:C,MATCH(A39,'3 Vapor'!A:A,0))</f>
        <v>1.7999999999999999E-6</v>
      </c>
      <c r="D39" s="246" t="s">
        <v>240</v>
      </c>
      <c r="E39" s="107">
        <f t="shared" si="2"/>
        <v>1.4822229134467313E-8</v>
      </c>
      <c r="F39" s="107">
        <f t="shared" si="3"/>
        <v>6.4921363608966843E-8</v>
      </c>
    </row>
    <row r="40" spans="1:6">
      <c r="A40" s="395" t="s">
        <v>60</v>
      </c>
      <c r="B40" s="105" t="s">
        <v>13</v>
      </c>
      <c r="C40" s="110">
        <f>INDEX('3 Vapor'!C:C,MATCH(A40,'3 Vapor'!A:A,0))</f>
        <v>1.1999999999999999E-6</v>
      </c>
      <c r="D40" s="246" t="s">
        <v>240</v>
      </c>
      <c r="E40" s="107">
        <f t="shared" si="2"/>
        <v>9.8814860896448754E-9</v>
      </c>
      <c r="F40" s="107">
        <f t="shared" si="3"/>
        <v>4.3280909072644559E-8</v>
      </c>
    </row>
    <row r="41" spans="1:6">
      <c r="A41" s="395" t="s">
        <v>61</v>
      </c>
      <c r="B41" s="105" t="s">
        <v>14</v>
      </c>
      <c r="C41" s="110">
        <f>INDEX('3 Vapor'!C:C,MATCH(A41,'3 Vapor'!A:A,0))</f>
        <v>1.7999999999999999E-6</v>
      </c>
      <c r="D41" s="246" t="s">
        <v>240</v>
      </c>
      <c r="E41" s="107">
        <f t="shared" si="2"/>
        <v>1.4822229134467313E-8</v>
      </c>
      <c r="F41" s="107">
        <f t="shared" si="3"/>
        <v>6.4921363608966843E-8</v>
      </c>
    </row>
    <row r="42" spans="1:6">
      <c r="A42" s="395" t="s">
        <v>289</v>
      </c>
      <c r="B42" s="105" t="s">
        <v>15</v>
      </c>
      <c r="C42" s="110">
        <f>INDEX('3 Vapor'!C:C,MATCH(A42,'3 Vapor'!A:A,0))</f>
        <v>1.1999999999999999E-6</v>
      </c>
      <c r="D42" s="246" t="s">
        <v>240</v>
      </c>
      <c r="E42" s="107">
        <f t="shared" si="2"/>
        <v>9.8814860896448754E-9</v>
      </c>
      <c r="F42" s="107">
        <f t="shared" si="3"/>
        <v>4.3280909072644559E-8</v>
      </c>
    </row>
    <row r="43" spans="1:6">
      <c r="A43" s="395" t="s">
        <v>62</v>
      </c>
      <c r="B43" s="105" t="s">
        <v>16</v>
      </c>
      <c r="C43" s="110">
        <f>INDEX('3 Vapor'!C:C,MATCH(A43,'3 Vapor'!A:A,0))</f>
        <v>1.7999999999999999E-6</v>
      </c>
      <c r="D43" s="246" t="s">
        <v>240</v>
      </c>
      <c r="E43" s="107">
        <f t="shared" si="2"/>
        <v>1.4822229134467313E-8</v>
      </c>
      <c r="F43" s="107">
        <f t="shared" si="3"/>
        <v>6.4921363608966843E-8</v>
      </c>
    </row>
    <row r="44" spans="1:6">
      <c r="A44" s="395" t="s">
        <v>63</v>
      </c>
      <c r="B44" s="109" t="s">
        <v>17</v>
      </c>
      <c r="C44" s="110">
        <f>INDEX('3 Vapor'!C:C,MATCH(A44,'3 Vapor'!A:A,0))</f>
        <v>1.7999999999999999E-6</v>
      </c>
      <c r="D44" s="246" t="s">
        <v>240</v>
      </c>
      <c r="E44" s="107">
        <f t="shared" si="2"/>
        <v>1.4822229134467313E-8</v>
      </c>
      <c r="F44" s="107">
        <f t="shared" si="3"/>
        <v>6.4921363608966843E-8</v>
      </c>
    </row>
    <row r="45" spans="1:6">
      <c r="A45" s="395" t="s">
        <v>64</v>
      </c>
      <c r="B45" s="109" t="s">
        <v>84</v>
      </c>
      <c r="C45" s="110">
        <f>INDEX('3 Vapor'!C:C,MATCH(A45,'3 Vapor'!A:A,0))</f>
        <v>1.1999999999999999E-6</v>
      </c>
      <c r="D45" s="246" t="s">
        <v>240</v>
      </c>
      <c r="E45" s="107">
        <f t="shared" si="2"/>
        <v>9.8814860896448754E-9</v>
      </c>
      <c r="F45" s="107">
        <f t="shared" si="3"/>
        <v>4.3280909072644559E-8</v>
      </c>
    </row>
    <row r="46" spans="1:6">
      <c r="A46" s="395" t="s">
        <v>151</v>
      </c>
      <c r="B46" s="109" t="s">
        <v>283</v>
      </c>
      <c r="C46" s="110">
        <f>INDEX('3 Vapor'!C:C,MATCH(A46,'3 Vapor'!A:A,0))</f>
        <v>1.1999999999999999E-3</v>
      </c>
      <c r="D46" s="246" t="s">
        <v>240</v>
      </c>
      <c r="E46" s="107">
        <f t="shared" si="2"/>
        <v>9.881486089644875E-6</v>
      </c>
      <c r="F46" s="107">
        <f t="shared" si="3"/>
        <v>4.3280909072644546E-5</v>
      </c>
    </row>
    <row r="47" spans="1:6">
      <c r="A47" s="395" t="s">
        <v>291</v>
      </c>
      <c r="B47" s="109" t="s">
        <v>20</v>
      </c>
      <c r="C47" s="110">
        <f>INDEX('3 Vapor'!C:C,MATCH(A47,'3 Vapor'!A:A,0))</f>
        <v>3.0000000000000001E-6</v>
      </c>
      <c r="D47" s="246" t="s">
        <v>240</v>
      </c>
      <c r="E47" s="107">
        <f t="shared" ref="E47:E56" si="4">$C$65/$C$66*C47</f>
        <v>2.4703715224112192E-8</v>
      </c>
      <c r="F47" s="107">
        <f t="shared" si="3"/>
        <v>1.0820227268161138E-7</v>
      </c>
    </row>
    <row r="48" spans="1:6">
      <c r="A48" s="396" t="s">
        <v>292</v>
      </c>
      <c r="B48" s="109" t="s">
        <v>21</v>
      </c>
      <c r="C48" s="110">
        <f>INDEX('3 Vapor'!C:C,MATCH(A48,'3 Vapor'!A:A,0))</f>
        <v>2.7999999999999999E-6</v>
      </c>
      <c r="D48" s="246" t="s">
        <v>240</v>
      </c>
      <c r="E48" s="107">
        <f t="shared" si="4"/>
        <v>2.3056800875838041E-8</v>
      </c>
      <c r="F48" s="107">
        <f t="shared" si="3"/>
        <v>1.0098878783617064E-7</v>
      </c>
    </row>
    <row r="49" spans="1:7">
      <c r="A49" s="396" t="s">
        <v>66</v>
      </c>
      <c r="B49" s="109" t="s">
        <v>52</v>
      </c>
      <c r="C49" s="110">
        <f>INDEX('3 Vapor'!C:C,MATCH(A49,'3 Vapor'!A:A,0))</f>
        <v>1.7999999999999999E-6</v>
      </c>
      <c r="D49" s="246" t="s">
        <v>240</v>
      </c>
      <c r="E49" s="107">
        <f t="shared" si="4"/>
        <v>1.4822229134467313E-8</v>
      </c>
      <c r="F49" s="107">
        <f t="shared" si="3"/>
        <v>6.4921363608966843E-8</v>
      </c>
    </row>
    <row r="50" spans="1:7">
      <c r="A50" s="396" t="s">
        <v>67</v>
      </c>
      <c r="B50" s="109" t="s">
        <v>24</v>
      </c>
      <c r="C50" s="110">
        <f>INDEX('3 Vapor'!C:C,MATCH(A50,'3 Vapor'!A:A,0))</f>
        <v>6.0999999999999997E-4</v>
      </c>
      <c r="D50" s="246" t="s">
        <v>240</v>
      </c>
      <c r="E50" s="107">
        <f t="shared" si="4"/>
        <v>5.0230887622361451E-6</v>
      </c>
      <c r="F50" s="107">
        <f t="shared" si="3"/>
        <v>2.200112877859432E-5</v>
      </c>
    </row>
    <row r="51" spans="1:7">
      <c r="A51" s="396" t="s">
        <v>294</v>
      </c>
      <c r="B51" s="109" t="s">
        <v>85</v>
      </c>
      <c r="C51" s="110">
        <f>INDEX('3 Vapor'!C:C,MATCH(A51,'3 Vapor'!A:A,0))</f>
        <v>1.7E-5</v>
      </c>
      <c r="D51" s="246" t="s">
        <v>240</v>
      </c>
      <c r="E51" s="107">
        <f t="shared" si="4"/>
        <v>1.399877196033024E-7</v>
      </c>
      <c r="F51" s="107">
        <f t="shared" si="3"/>
        <v>6.1314621186246464E-7</v>
      </c>
    </row>
    <row r="52" spans="1:7">
      <c r="A52" s="396" t="s">
        <v>295</v>
      </c>
      <c r="B52" s="109" t="s">
        <v>26</v>
      </c>
      <c r="C52" s="110">
        <f>INDEX('3 Vapor'!C:C,MATCH(A52,'3 Vapor'!A:A,0))</f>
        <v>5.0000000000000004E-6</v>
      </c>
      <c r="D52" s="246" t="s">
        <v>240</v>
      </c>
      <c r="E52" s="107">
        <f t="shared" si="4"/>
        <v>4.1172858706853655E-8</v>
      </c>
      <c r="F52" s="107">
        <f t="shared" si="3"/>
        <v>1.8033712113601901E-7</v>
      </c>
    </row>
    <row r="53" spans="1:7">
      <c r="A53" s="395" t="s">
        <v>68</v>
      </c>
      <c r="B53" s="83" t="s">
        <v>51</v>
      </c>
      <c r="C53" s="104">
        <f>INDEX('3 Vapor'!C:C,MATCH(A53,'3 Vapor'!A:A,0))</f>
        <v>0.53</v>
      </c>
      <c r="D53" s="246" t="s">
        <v>235</v>
      </c>
      <c r="E53" s="90">
        <f t="shared" ref="E53" si="5">$C$65/$C$66*C53</f>
        <v>4.3643230229264869E-3</v>
      </c>
      <c r="F53" s="90">
        <f t="shared" si="3"/>
        <v>1.9115734840418019E-2</v>
      </c>
      <c r="G53" s="210"/>
    </row>
    <row r="54" spans="1:7">
      <c r="A54" s="396" t="s">
        <v>304</v>
      </c>
      <c r="B54" s="83" t="s">
        <v>41</v>
      </c>
      <c r="C54" s="104">
        <f>INDEX('3 Vapor'!C:C,MATCH(A54,'3 Vapor'!A:A,0))</f>
        <v>2.4000000000000001E-5</v>
      </c>
      <c r="D54" s="246" t="s">
        <v>239</v>
      </c>
      <c r="E54" s="90">
        <f t="shared" si="4"/>
        <v>1.9762972179289753E-7</v>
      </c>
      <c r="F54" s="90">
        <f t="shared" si="3"/>
        <v>8.6561818145289106E-7</v>
      </c>
    </row>
    <row r="55" spans="1:7" s="356" customFormat="1">
      <c r="A55" s="396" t="s">
        <v>303</v>
      </c>
      <c r="B55" s="83" t="s">
        <v>27</v>
      </c>
      <c r="C55" s="104">
        <f>MAX(0.0034,0.0265)</f>
        <v>2.6499999999999999E-2</v>
      </c>
      <c r="D55" s="246" t="s">
        <v>235</v>
      </c>
      <c r="E55" s="90">
        <f t="shared" si="4"/>
        <v>2.1821615114632435E-4</v>
      </c>
      <c r="F55" s="90">
        <f t="shared" si="3"/>
        <v>9.5578674202090059E-4</v>
      </c>
      <c r="G55" s="17"/>
    </row>
    <row r="56" spans="1:7">
      <c r="A56" s="396" t="s">
        <v>72</v>
      </c>
      <c r="B56" s="83" t="s">
        <v>42</v>
      </c>
      <c r="C56" s="104">
        <f>INDEX('3 Vapor'!C:C,MATCH(A56,'3 Vapor'!A:A,0))</f>
        <v>2.3E-3</v>
      </c>
      <c r="D56" s="246" t="s">
        <v>239</v>
      </c>
      <c r="E56" s="90">
        <f t="shared" si="4"/>
        <v>1.8939515005152679E-5</v>
      </c>
      <c r="F56" s="90">
        <f t="shared" si="3"/>
        <v>8.2955075722568726E-5</v>
      </c>
    </row>
    <row r="57" spans="1:7" ht="12" customHeight="1">
      <c r="A57" s="396" t="s">
        <v>147</v>
      </c>
      <c r="B57" s="83" t="s">
        <v>28</v>
      </c>
      <c r="C57" s="104">
        <f>INDEX('3 Vapor'!C:C,MATCH(A57,'3 Vapor'!A:A,0))</f>
        <v>1.9699999999999999E-2</v>
      </c>
      <c r="D57" s="246" t="s">
        <v>235</v>
      </c>
      <c r="E57" s="90">
        <f t="shared" ref="E57" si="6">$C$65/$C$66*C57</f>
        <v>1.6222106330500337E-4</v>
      </c>
      <c r="F57" s="90">
        <f t="shared" si="3"/>
        <v>7.1052825727591475E-4</v>
      </c>
    </row>
    <row r="58" spans="1:7" ht="12">
      <c r="A58" s="396" t="s">
        <v>301</v>
      </c>
      <c r="B58" s="111" t="s">
        <v>49</v>
      </c>
      <c r="C58" s="112"/>
      <c r="D58" s="113"/>
      <c r="E58" s="119">
        <f>SUM(E14:E32,E54:E57)-SUM(E30,E23,E56,E16)</f>
        <v>1.6082350825820151E-2</v>
      </c>
      <c r="F58" s="119">
        <f>SUM(F14:F32,F54:F57)-SUM(F30,F23,F56,F16)</f>
        <v>7.0440696617092166E-2</v>
      </c>
    </row>
    <row r="59" spans="1:7" ht="12" customHeight="1">
      <c r="B59" s="367"/>
      <c r="C59" s="367"/>
      <c r="D59" s="368"/>
      <c r="E59" s="369"/>
      <c r="F59" s="367"/>
      <c r="G59" s="356"/>
    </row>
    <row r="60" spans="1:7">
      <c r="B60" s="7" t="s">
        <v>86</v>
      </c>
      <c r="C60" s="7"/>
      <c r="D60" s="365"/>
      <c r="E60" s="8"/>
      <c r="F60" s="7"/>
    </row>
    <row r="61" spans="1:7" ht="12">
      <c r="B61" s="568" t="s">
        <v>214</v>
      </c>
      <c r="C61" s="568"/>
      <c r="D61" s="568"/>
      <c r="E61" s="568"/>
      <c r="F61" s="568"/>
      <c r="G61" s="23"/>
    </row>
    <row r="62" spans="1:7" ht="12">
      <c r="B62" s="568"/>
      <c r="C62" s="568"/>
      <c r="D62" s="568"/>
      <c r="E62" s="568"/>
      <c r="F62" s="568"/>
      <c r="G62" s="23"/>
    </row>
    <row r="63" spans="1:7" ht="12">
      <c r="B63" s="565" t="s">
        <v>215</v>
      </c>
      <c r="C63" s="565"/>
      <c r="D63" s="565"/>
      <c r="E63" s="565"/>
      <c r="F63" s="565"/>
      <c r="G63" s="23"/>
    </row>
    <row r="64" spans="1:7" ht="14.25" customHeight="1">
      <c r="B64" s="565"/>
      <c r="C64" s="565"/>
      <c r="D64" s="565"/>
      <c r="E64" s="565"/>
      <c r="F64" s="565"/>
      <c r="G64" s="23"/>
    </row>
    <row r="65" spans="2:7">
      <c r="B65" s="9" t="s">
        <v>166</v>
      </c>
      <c r="C65" s="532">
        <f>'1 Rates'!B43</f>
        <v>9</v>
      </c>
      <c r="D65" s="301">
        <v>6</v>
      </c>
      <c r="E65" s="18"/>
      <c r="F65" s="336"/>
      <c r="G65" s="23"/>
    </row>
    <row r="66" spans="2:7">
      <c r="B66" s="9" t="s">
        <v>128</v>
      </c>
      <c r="C66" s="10">
        <f>'2 Gas Data'!$B$7</f>
        <v>1092.953013546987</v>
      </c>
      <c r="D66" s="301">
        <v>7</v>
      </c>
      <c r="E66" s="18"/>
      <c r="F66" s="336"/>
      <c r="G66" s="23"/>
    </row>
    <row r="67" spans="2:7">
      <c r="B67" s="20" t="s">
        <v>87</v>
      </c>
      <c r="C67" s="21">
        <f>'1 Rates'!D43</f>
        <v>8760</v>
      </c>
      <c r="D67" s="301">
        <v>6</v>
      </c>
      <c r="E67" s="11"/>
      <c r="F67" s="19"/>
      <c r="G67" s="23"/>
    </row>
    <row r="68" spans="2:7" ht="14.25" customHeight="1">
      <c r="B68" s="565" t="s">
        <v>216</v>
      </c>
      <c r="C68" s="565"/>
      <c r="D68" s="565"/>
      <c r="E68" s="565"/>
      <c r="F68" s="565"/>
      <c r="G68" s="55" t="s">
        <v>110</v>
      </c>
    </row>
    <row r="69" spans="2:7">
      <c r="B69" s="565"/>
      <c r="C69" s="565"/>
      <c r="D69" s="565"/>
      <c r="E69" s="565"/>
      <c r="F69" s="565"/>
      <c r="G69" s="55" t="s">
        <v>110</v>
      </c>
    </row>
    <row r="70" spans="2:7">
      <c r="B70" s="6" t="s">
        <v>122</v>
      </c>
      <c r="C70" s="50">
        <f>'2 Gas Data'!$B$8</f>
        <v>4.6091924175538819E-2</v>
      </c>
      <c r="D70" s="301">
        <v>7</v>
      </c>
      <c r="E70" s="336"/>
      <c r="F70" s="336"/>
      <c r="G70" s="55"/>
    </row>
    <row r="71" spans="2:7">
      <c r="B71" s="6" t="s">
        <v>97</v>
      </c>
      <c r="C71" s="51">
        <f>'2 Gas Data'!$B$9</f>
        <v>24.795171026156947</v>
      </c>
      <c r="D71" s="301">
        <v>7</v>
      </c>
      <c r="G71" s="23"/>
    </row>
    <row r="72" spans="2:7">
      <c r="B72" s="567" t="s">
        <v>217</v>
      </c>
      <c r="C72" s="567"/>
      <c r="D72" s="567"/>
      <c r="E72" s="567"/>
      <c r="F72" s="567"/>
      <c r="G72" s="55" t="s">
        <v>110</v>
      </c>
    </row>
    <row r="73" spans="2:7" ht="12">
      <c r="B73" s="567"/>
      <c r="C73" s="567"/>
      <c r="D73" s="567"/>
      <c r="E73" s="567"/>
      <c r="F73" s="567"/>
    </row>
    <row r="74" spans="2:7">
      <c r="B74" s="567"/>
      <c r="C74" s="567"/>
      <c r="D74" s="567"/>
      <c r="E74" s="567"/>
      <c r="F74" s="567"/>
      <c r="G74" s="55" t="s">
        <v>110</v>
      </c>
    </row>
    <row r="75" spans="2:7">
      <c r="B75" s="567"/>
      <c r="C75" s="567"/>
      <c r="D75" s="567"/>
      <c r="E75" s="567"/>
      <c r="F75" s="567"/>
      <c r="G75" s="55" t="s">
        <v>110</v>
      </c>
    </row>
    <row r="76" spans="2:7" ht="15">
      <c r="B76" s="9" t="s">
        <v>124</v>
      </c>
      <c r="C76" s="52">
        <v>40</v>
      </c>
      <c r="D76" s="302" t="s">
        <v>234</v>
      </c>
      <c r="E76" s="48"/>
      <c r="F76" s="335"/>
      <c r="G76" s="23"/>
    </row>
    <row r="77" spans="2:7">
      <c r="B77" s="9" t="s">
        <v>167</v>
      </c>
      <c r="C77" s="259">
        <v>50</v>
      </c>
      <c r="D77" s="302" t="s">
        <v>234</v>
      </c>
      <c r="E77" s="48"/>
      <c r="F77" s="335"/>
      <c r="G77" s="23"/>
    </row>
    <row r="78" spans="2:7" ht="12" customHeight="1">
      <c r="B78" s="9" t="s">
        <v>187</v>
      </c>
      <c r="C78" s="52">
        <v>3</v>
      </c>
      <c r="D78" s="302" t="s">
        <v>234</v>
      </c>
      <c r="E78" s="157"/>
      <c r="F78" s="335"/>
      <c r="G78" s="23"/>
    </row>
    <row r="79" spans="2:7">
      <c r="B79" s="9" t="s">
        <v>119</v>
      </c>
      <c r="C79" s="10">
        <v>8710</v>
      </c>
      <c r="D79" s="302" t="s">
        <v>364</v>
      </c>
      <c r="E79" s="48"/>
      <c r="F79" s="17"/>
      <c r="G79" s="23"/>
    </row>
    <row r="80" spans="2:7" ht="12" customHeight="1">
      <c r="B80" s="17"/>
      <c r="C80" s="6"/>
      <c r="G80" s="165"/>
    </row>
    <row r="81" spans="2:7" ht="12" customHeight="1">
      <c r="B81" s="7" t="s">
        <v>32</v>
      </c>
      <c r="C81" s="7"/>
      <c r="D81" s="13"/>
      <c r="E81" s="13"/>
      <c r="F81" s="7"/>
      <c r="G81" s="23"/>
    </row>
    <row r="82" spans="2:7" ht="12" customHeight="1">
      <c r="B82" s="565" t="s">
        <v>236</v>
      </c>
      <c r="C82" s="565"/>
      <c r="D82" s="565"/>
      <c r="E82" s="565"/>
      <c r="F82" s="565"/>
      <c r="G82" s="55" t="s">
        <v>110</v>
      </c>
    </row>
    <row r="83" spans="2:7" ht="12">
      <c r="B83" s="565"/>
      <c r="C83" s="565"/>
      <c r="D83" s="565"/>
      <c r="E83" s="565"/>
      <c r="F83" s="565"/>
      <c r="G83" s="23"/>
    </row>
    <row r="84" spans="2:7" ht="13.9" customHeight="1">
      <c r="B84" s="565"/>
      <c r="C84" s="565"/>
      <c r="D84" s="565"/>
      <c r="E84" s="565"/>
      <c r="F84" s="565"/>
      <c r="G84" s="23"/>
    </row>
    <row r="85" spans="2:7" ht="13.9" customHeight="1">
      <c r="B85" s="565"/>
      <c r="C85" s="565"/>
      <c r="D85" s="565"/>
      <c r="E85" s="565"/>
      <c r="F85" s="565"/>
      <c r="G85" s="23"/>
    </row>
    <row r="86" spans="2:7">
      <c r="B86" s="565" t="s">
        <v>237</v>
      </c>
      <c r="C86" s="565"/>
      <c r="D86" s="565"/>
      <c r="E86" s="565"/>
      <c r="F86" s="565"/>
      <c r="G86" s="55" t="s">
        <v>110</v>
      </c>
    </row>
    <row r="87" spans="2:7">
      <c r="B87" s="565" t="s">
        <v>365</v>
      </c>
      <c r="C87" s="565"/>
      <c r="D87" s="565"/>
      <c r="E87" s="565"/>
      <c r="F87" s="565"/>
      <c r="G87" s="55" t="s">
        <v>110</v>
      </c>
    </row>
    <row r="88" spans="2:7" ht="12">
      <c r="B88" s="565"/>
      <c r="C88" s="565"/>
      <c r="D88" s="565"/>
      <c r="E88" s="565"/>
      <c r="F88" s="565"/>
    </row>
    <row r="89" spans="2:7" ht="12">
      <c r="B89" s="565"/>
      <c r="C89" s="565"/>
      <c r="D89" s="565"/>
      <c r="E89" s="565"/>
      <c r="F89" s="565"/>
    </row>
    <row r="90" spans="2:7" ht="12">
      <c r="B90" s="565"/>
      <c r="C90" s="565"/>
      <c r="D90" s="565"/>
      <c r="E90" s="565"/>
      <c r="F90" s="565"/>
    </row>
    <row r="91" spans="2:7">
      <c r="B91" s="566" t="s">
        <v>355</v>
      </c>
      <c r="C91" s="565"/>
      <c r="D91" s="565"/>
      <c r="E91" s="565"/>
      <c r="F91" s="565"/>
      <c r="G91" s="55" t="s">
        <v>110</v>
      </c>
    </row>
    <row r="92" spans="2:7" ht="12" customHeight="1">
      <c r="B92" s="565"/>
      <c r="C92" s="565"/>
      <c r="D92" s="565"/>
      <c r="E92" s="565"/>
      <c r="F92" s="565"/>
      <c r="G92" s="23"/>
    </row>
    <row r="93" spans="2:7" ht="12" customHeight="1">
      <c r="B93" s="565"/>
      <c r="C93" s="565"/>
      <c r="D93" s="565"/>
      <c r="E93" s="565"/>
      <c r="F93" s="565"/>
      <c r="G93" s="23"/>
    </row>
    <row r="94" spans="2:7" ht="12">
      <c r="B94" s="565"/>
      <c r="C94" s="565"/>
      <c r="D94" s="565"/>
      <c r="E94" s="565"/>
      <c r="F94" s="565"/>
      <c r="G94" s="23"/>
    </row>
    <row r="95" spans="2:7">
      <c r="B95" s="566" t="s">
        <v>357</v>
      </c>
      <c r="C95" s="565"/>
      <c r="D95" s="565"/>
      <c r="E95" s="565"/>
      <c r="F95" s="565"/>
      <c r="G95" s="55" t="s">
        <v>110</v>
      </c>
    </row>
    <row r="96" spans="2:7" ht="12" customHeight="1">
      <c r="B96" s="565"/>
      <c r="C96" s="565"/>
      <c r="D96" s="565"/>
      <c r="E96" s="565"/>
      <c r="F96" s="565"/>
      <c r="G96" s="324"/>
    </row>
    <row r="97" spans="2:7" ht="12">
      <c r="B97" s="565"/>
      <c r="C97" s="565"/>
      <c r="D97" s="565"/>
      <c r="E97" s="565"/>
      <c r="F97" s="565"/>
      <c r="G97" s="324"/>
    </row>
    <row r="98" spans="2:7" ht="12">
      <c r="B98" s="565"/>
      <c r="C98" s="565"/>
      <c r="D98" s="565"/>
      <c r="E98" s="565"/>
      <c r="F98" s="565"/>
      <c r="G98" s="324"/>
    </row>
    <row r="99" spans="2:7">
      <c r="B99" s="582" t="s">
        <v>359</v>
      </c>
      <c r="C99" s="564"/>
      <c r="D99" s="564"/>
      <c r="E99" s="564"/>
      <c r="F99" s="564"/>
      <c r="G99" s="23"/>
    </row>
    <row r="100" spans="2:7">
      <c r="B100" s="582" t="s">
        <v>361</v>
      </c>
      <c r="C100" s="564"/>
      <c r="D100" s="564"/>
      <c r="E100" s="564"/>
      <c r="F100" s="564"/>
      <c r="G100" s="23"/>
    </row>
    <row r="101" spans="2:7">
      <c r="B101" s="582" t="s">
        <v>363</v>
      </c>
      <c r="C101" s="564"/>
      <c r="D101" s="564"/>
      <c r="E101" s="564"/>
      <c r="F101" s="564"/>
      <c r="G101" s="23"/>
    </row>
  </sheetData>
  <mergeCells count="13">
    <mergeCell ref="B95:F98"/>
    <mergeCell ref="B99:F99"/>
    <mergeCell ref="B100:F100"/>
    <mergeCell ref="B101:F101"/>
    <mergeCell ref="C3:D4"/>
    <mergeCell ref="B61:F62"/>
    <mergeCell ref="B63:F64"/>
    <mergeCell ref="B68:F69"/>
    <mergeCell ref="B72:F75"/>
    <mergeCell ref="B82:F85"/>
    <mergeCell ref="B86:F86"/>
    <mergeCell ref="B91:F94"/>
    <mergeCell ref="B87:F90"/>
  </mergeCells>
  <conditionalFormatting sqref="F14 F17:F23 F31:F52 F54:F56 F25:F29">
    <cfRule type="cellIs" dxfId="53" priority="23" operator="greaterThan">
      <formula>#REF!</formula>
    </cfRule>
    <cfRule type="cellIs" dxfId="52" priority="24" operator="greaterThan">
      <formula>#REF!</formula>
    </cfRule>
  </conditionalFormatting>
  <conditionalFormatting sqref="F7:F12">
    <cfRule type="cellIs" dxfId="51" priority="17" operator="greaterThan">
      <formula>#REF!</formula>
    </cfRule>
    <cfRule type="cellIs" dxfId="50" priority="18" operator="greaterThan">
      <formula>#REF!</formula>
    </cfRule>
  </conditionalFormatting>
  <conditionalFormatting sqref="F30">
    <cfRule type="cellIs" dxfId="49" priority="11" operator="greaterThan">
      <formula>#REF!</formula>
    </cfRule>
    <cfRule type="cellIs" dxfId="48" priority="12" operator="greaterThan">
      <formula>#REF!</formula>
    </cfRule>
  </conditionalFormatting>
  <conditionalFormatting sqref="F15">
    <cfRule type="cellIs" dxfId="47" priority="9" operator="greaterThan">
      <formula>#REF!</formula>
    </cfRule>
    <cfRule type="cellIs" dxfId="46" priority="10" operator="greaterThan">
      <formula>#REF!</formula>
    </cfRule>
  </conditionalFormatting>
  <conditionalFormatting sqref="F16">
    <cfRule type="cellIs" dxfId="45" priority="7" operator="greaterThan">
      <formula>#REF!</formula>
    </cfRule>
    <cfRule type="cellIs" dxfId="44" priority="8" operator="greaterThan">
      <formula>#REF!</formula>
    </cfRule>
  </conditionalFormatting>
  <conditionalFormatting sqref="F53">
    <cfRule type="cellIs" dxfId="43" priority="5" operator="greaterThan">
      <formula>#REF!</formula>
    </cfRule>
    <cfRule type="cellIs" dxfId="42" priority="6" operator="greaterThan">
      <formula>#REF!</formula>
    </cfRule>
  </conditionalFormatting>
  <conditionalFormatting sqref="F57">
    <cfRule type="cellIs" dxfId="41" priority="3" operator="greaterThan">
      <formula>#REF!</formula>
    </cfRule>
    <cfRule type="cellIs" dxfId="40" priority="4" operator="greaterThan">
      <formula>#REF!</formula>
    </cfRule>
  </conditionalFormatting>
  <conditionalFormatting sqref="F24">
    <cfRule type="cellIs" dxfId="39" priority="1" operator="greaterThan">
      <formula>#REF!</formula>
    </cfRule>
    <cfRule type="cellIs" dxfId="38" priority="2" operator="greaterThan">
      <formula>#REF!</formula>
    </cfRule>
  </conditionalFormatting>
  <pageMargins left="0.7" right="0.7" top="0.90625" bottom="0.75" header="0.3" footer="0.3"/>
  <pageSetup orientation="portrait" r:id="rId1"/>
  <headerFooter>
    <oddHeader>&amp;C&amp;"-,Bold"Attachment A-1
Potential Emissions from WPG Pretreatment Heater
Puget Sound Energy - Liquefied Natural Gas Project
Tacoma, Washington</oddHeader>
  </headerFooter>
  <rowBreaks count="1" manualBreakCount="1">
    <brk id="5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J101"/>
  <sheetViews>
    <sheetView topLeftCell="B17" zoomScaleNormal="100" workbookViewId="0">
      <selection activeCell="G58" sqref="G58"/>
    </sheetView>
  </sheetViews>
  <sheetFormatPr defaultColWidth="9.140625" defaultRowHeight="12"/>
  <cols>
    <col min="1" max="1" width="0" style="17" hidden="1" customWidth="1"/>
    <col min="2" max="2" width="33.42578125" style="22" bestFit="1" customWidth="1"/>
    <col min="3" max="3" width="7.85546875" style="22" customWidth="1"/>
    <col min="4" max="4" width="1.85546875" style="15" customWidth="1"/>
    <col min="5" max="5" width="13.85546875" style="15" customWidth="1"/>
    <col min="6" max="6" width="15.5703125" style="22" customWidth="1"/>
    <col min="7" max="7" width="1.28515625" style="17" bestFit="1" customWidth="1"/>
    <col min="8" max="16384" width="9.140625" style="17"/>
  </cols>
  <sheetData>
    <row r="1" spans="1:6">
      <c r="B1" s="161" t="s">
        <v>278</v>
      </c>
      <c r="C1" s="161"/>
      <c r="D1" s="161"/>
      <c r="E1" s="161"/>
      <c r="F1" s="161"/>
    </row>
    <row r="2" spans="1:6">
      <c r="B2" s="26"/>
      <c r="C2" s="26"/>
      <c r="D2" s="260"/>
      <c r="E2" s="260"/>
      <c r="F2" s="26"/>
    </row>
    <row r="3" spans="1:6">
      <c r="B3" s="261"/>
      <c r="C3" s="614" t="s">
        <v>31</v>
      </c>
      <c r="D3" s="614"/>
      <c r="E3" s="262" t="s">
        <v>98</v>
      </c>
      <c r="F3" s="262"/>
    </row>
    <row r="4" spans="1:6" ht="14.25">
      <c r="B4" s="263"/>
      <c r="C4" s="615"/>
      <c r="D4" s="615"/>
      <c r="E4" s="264" t="s">
        <v>210</v>
      </c>
      <c r="F4" s="264" t="s">
        <v>211</v>
      </c>
    </row>
    <row r="5" spans="1:6" ht="12.75" thickBot="1">
      <c r="B5" s="265" t="s">
        <v>30</v>
      </c>
      <c r="C5" s="266" t="s">
        <v>99</v>
      </c>
      <c r="D5" s="266"/>
      <c r="E5" s="91" t="s">
        <v>113</v>
      </c>
      <c r="F5" s="91" t="s">
        <v>114</v>
      </c>
    </row>
    <row r="6" spans="1:6" ht="12.75" thickTop="1">
      <c r="B6" s="82" t="s">
        <v>77</v>
      </c>
      <c r="C6" s="420"/>
      <c r="D6" s="93"/>
      <c r="E6" s="421"/>
      <c r="F6" s="421"/>
    </row>
    <row r="7" spans="1:6" ht="14.25">
      <c r="B7" s="83" t="s">
        <v>185</v>
      </c>
      <c r="C7" s="95">
        <f>'3 Vapor'!C7</f>
        <v>7.6</v>
      </c>
      <c r="D7" s="362">
        <v>1</v>
      </c>
      <c r="E7" s="85">
        <f t="shared" ref="E7:E12" si="0">$C$65/$C$66*C7</f>
        <v>1.1125821375007564E-2</v>
      </c>
      <c r="F7" s="85">
        <f t="shared" ref="F7:F12" si="1">$C7*$C$65/$C$66*$C$67/2000</f>
        <v>4.8731097622533137E-2</v>
      </c>
    </row>
    <row r="8" spans="1:6" ht="14.25">
      <c r="B8" s="83" t="s">
        <v>184</v>
      </c>
      <c r="C8" s="96">
        <f>'3 Vapor'!C8</f>
        <v>2.285714285714286</v>
      </c>
      <c r="D8" s="362" t="s">
        <v>212</v>
      </c>
      <c r="E8" s="85">
        <f t="shared" si="0"/>
        <v>3.3461116917315988E-3</v>
      </c>
      <c r="F8" s="84">
        <f t="shared" si="1"/>
        <v>1.4655969209784405E-2</v>
      </c>
    </row>
    <row r="9" spans="1:6" ht="14.25">
      <c r="B9" s="83" t="s">
        <v>186</v>
      </c>
      <c r="C9" s="96">
        <f>C76*0.00000000259*46.01*$C$79*$C$66*(20.9/(20.9-$C$78))</f>
        <v>52.981578186708916</v>
      </c>
      <c r="D9" s="362" t="s">
        <v>218</v>
      </c>
      <c r="E9" s="85">
        <f t="shared" si="0"/>
        <v>7.756099671991061E-2</v>
      </c>
      <c r="F9" s="84">
        <f t="shared" si="1"/>
        <v>0.33971716563320847</v>
      </c>
    </row>
    <row r="10" spans="1:6" ht="14.25">
      <c r="B10" s="83" t="s">
        <v>0</v>
      </c>
      <c r="C10" s="96">
        <f>C77*0.00000000259*28*$C$79*$C$66*(20.9/(20.9-$C$78))</f>
        <v>40.303308770589268</v>
      </c>
      <c r="D10" s="362" t="s">
        <v>218</v>
      </c>
      <c r="E10" s="85">
        <f t="shared" si="0"/>
        <v>5.9000975553072627E-2</v>
      </c>
      <c r="F10" s="84">
        <f t="shared" si="1"/>
        <v>0.25842427292245812</v>
      </c>
    </row>
    <row r="11" spans="1:6" ht="14.25">
      <c r="B11" s="83" t="s">
        <v>1</v>
      </c>
      <c r="C11" s="97">
        <f>'3 Vapor'!C11</f>
        <v>5.5</v>
      </c>
      <c r="D11" s="362">
        <v>1</v>
      </c>
      <c r="E11" s="87">
        <f t="shared" si="0"/>
        <v>8.0515812582291589E-3</v>
      </c>
      <c r="F11" s="85">
        <f t="shared" si="1"/>
        <v>3.5265925911043716E-2</v>
      </c>
    </row>
    <row r="12" spans="1:6" ht="14.25">
      <c r="B12" s="98" t="s">
        <v>78</v>
      </c>
      <c r="C12" s="99">
        <f>'3 Vapor'!C12</f>
        <v>5.0000000000000001E-4</v>
      </c>
      <c r="D12" s="363">
        <v>1</v>
      </c>
      <c r="E12" s="90">
        <f t="shared" si="0"/>
        <v>7.3196193256628718E-7</v>
      </c>
      <c r="F12" s="90">
        <f t="shared" si="1"/>
        <v>3.2059932646403379E-6</v>
      </c>
    </row>
    <row r="13" spans="1:6">
      <c r="B13" s="101" t="s">
        <v>79</v>
      </c>
      <c r="C13" s="102"/>
      <c r="D13" s="16"/>
      <c r="E13" s="103"/>
      <c r="F13" s="103"/>
    </row>
    <row r="14" spans="1:6" ht="14.25">
      <c r="A14" s="395" t="s">
        <v>56</v>
      </c>
      <c r="B14" s="83" t="s">
        <v>9</v>
      </c>
      <c r="C14" s="104">
        <f>INDEX('3 Vapor'!C:C,MATCH(A14,'3 Vapor'!A:A,0))</f>
        <v>8.4700000000000001E-3</v>
      </c>
      <c r="D14" s="246" t="s">
        <v>235</v>
      </c>
      <c r="E14" s="90">
        <f t="shared" ref="E14:E45" si="2">$C$65/$C$66*C14</f>
        <v>1.2399435137672904E-5</v>
      </c>
      <c r="F14" s="90">
        <f t="shared" ref="F14:F57" si="3">$C14*$C$65/$C$66*$C$67/2000</f>
        <v>5.4309525903007325E-5</v>
      </c>
    </row>
    <row r="15" spans="1:6" ht="14.25">
      <c r="A15" s="395" t="s">
        <v>57</v>
      </c>
      <c r="B15" s="83" t="s">
        <v>10</v>
      </c>
      <c r="C15" s="104">
        <f>INDEX('3 Vapor'!C:C,MATCH(A15,'3 Vapor'!A:A,0))</f>
        <v>2.7000000000000001E-3</v>
      </c>
      <c r="D15" s="246" t="s">
        <v>235</v>
      </c>
      <c r="E15" s="90">
        <f t="shared" si="2"/>
        <v>3.9525944358579507E-6</v>
      </c>
      <c r="F15" s="90">
        <f t="shared" si="3"/>
        <v>1.7312363629057823E-5</v>
      </c>
    </row>
    <row r="16" spans="1:6" ht="14.25">
      <c r="A16" s="395" t="s">
        <v>153</v>
      </c>
      <c r="B16" s="83" t="s">
        <v>152</v>
      </c>
      <c r="C16" s="104">
        <f>INDEX('3 Vapor'!C:C,MATCH(A16,'3 Vapor'!A:A,0))</f>
        <v>3.2</v>
      </c>
      <c r="D16" s="246" t="s">
        <v>235</v>
      </c>
      <c r="E16" s="90">
        <f t="shared" si="2"/>
        <v>4.6845563684242385E-3</v>
      </c>
      <c r="F16" s="90">
        <f t="shared" si="3"/>
        <v>2.0518356893698166E-2</v>
      </c>
    </row>
    <row r="17" spans="1:7" ht="14.25">
      <c r="A17" s="395" t="s">
        <v>308</v>
      </c>
      <c r="B17" s="83" t="s">
        <v>33</v>
      </c>
      <c r="C17" s="104">
        <f>INDEX('3 Vapor'!C:C,MATCH(A17,'3 Vapor'!A:A,0))</f>
        <v>2.0000000000000001E-4</v>
      </c>
      <c r="D17" s="246" t="s">
        <v>235</v>
      </c>
      <c r="E17" s="90">
        <f t="shared" si="2"/>
        <v>2.9278477302651489E-7</v>
      </c>
      <c r="F17" s="90">
        <f t="shared" si="3"/>
        <v>1.2823973058561352E-6</v>
      </c>
    </row>
    <row r="18" spans="1:7" ht="14.25">
      <c r="A18" s="395" t="s">
        <v>59</v>
      </c>
      <c r="B18" s="83" t="s">
        <v>12</v>
      </c>
      <c r="C18" s="104">
        <f>INDEX('3 Vapor'!C:C,MATCH(A18,'3 Vapor'!A:A,0))</f>
        <v>5.7999999999999996E-3</v>
      </c>
      <c r="D18" s="246" t="s">
        <v>235</v>
      </c>
      <c r="E18" s="90">
        <f t="shared" si="2"/>
        <v>8.4907584177689301E-6</v>
      </c>
      <c r="F18" s="90">
        <f t="shared" si="3"/>
        <v>3.7189521869827916E-5</v>
      </c>
    </row>
    <row r="19" spans="1:7" ht="14.25">
      <c r="A19" s="395" t="s">
        <v>307</v>
      </c>
      <c r="B19" s="83" t="s">
        <v>34</v>
      </c>
      <c r="C19" s="104">
        <f>INDEX('3 Vapor'!C:C,MATCH(A19,'3 Vapor'!A:A,0))</f>
        <v>1.2E-5</v>
      </c>
      <c r="D19" s="246" t="s">
        <v>239</v>
      </c>
      <c r="E19" s="90">
        <f t="shared" si="2"/>
        <v>1.7567086381590892E-8</v>
      </c>
      <c r="F19" s="90">
        <f t="shared" si="3"/>
        <v>7.6943838351368112E-8</v>
      </c>
    </row>
    <row r="20" spans="1:7" ht="14.25">
      <c r="A20" s="395" t="s">
        <v>69</v>
      </c>
      <c r="B20" s="83" t="s">
        <v>35</v>
      </c>
      <c r="C20" s="104">
        <f>INDEX('3 Vapor'!C:C,MATCH(A20,'3 Vapor'!A:A,0))</f>
        <v>1.1000000000000001E-3</v>
      </c>
      <c r="D20" s="246" t="s">
        <v>239</v>
      </c>
      <c r="E20" s="90">
        <f t="shared" si="2"/>
        <v>1.6103162516458317E-6</v>
      </c>
      <c r="F20" s="90">
        <f t="shared" si="3"/>
        <v>7.053185182208744E-6</v>
      </c>
    </row>
    <row r="21" spans="1:7" ht="14.25">
      <c r="A21" s="395" t="s">
        <v>290</v>
      </c>
      <c r="B21" s="83" t="s">
        <v>80</v>
      </c>
      <c r="C21" s="104">
        <f>INDEX('3 Vapor'!C:C,MATCH(A21,'3 Vapor'!A:A,0))</f>
        <v>1.4E-3</v>
      </c>
      <c r="D21" s="246" t="s">
        <v>239</v>
      </c>
      <c r="E21" s="90">
        <f t="shared" si="2"/>
        <v>2.0494934111856039E-6</v>
      </c>
      <c r="F21" s="90">
        <f t="shared" si="3"/>
        <v>8.976781140992947E-6</v>
      </c>
    </row>
    <row r="22" spans="1:7" ht="14.25">
      <c r="A22" s="395" t="s">
        <v>70</v>
      </c>
      <c r="B22" s="83" t="s">
        <v>36</v>
      </c>
      <c r="C22" s="104">
        <f>INDEX('3 Vapor'!C:C,MATCH(A22,'3 Vapor'!A:A,0))</f>
        <v>8.3999999999999995E-5</v>
      </c>
      <c r="D22" s="246" t="s">
        <v>239</v>
      </c>
      <c r="E22" s="90">
        <f t="shared" si="2"/>
        <v>1.2296960467113625E-7</v>
      </c>
      <c r="F22" s="90">
        <f t="shared" si="3"/>
        <v>5.3860686845957662E-7</v>
      </c>
    </row>
    <row r="23" spans="1:7" ht="14.25">
      <c r="A23" s="395" t="s">
        <v>299</v>
      </c>
      <c r="B23" s="83" t="s">
        <v>37</v>
      </c>
      <c r="C23" s="104">
        <f>INDEX('3 Vapor'!C:C,MATCH(A23,'3 Vapor'!A:A,0))</f>
        <v>8.4999999999999995E-4</v>
      </c>
      <c r="D23" s="246" t="s">
        <v>239</v>
      </c>
      <c r="E23" s="90">
        <f t="shared" si="2"/>
        <v>1.2443352853626882E-6</v>
      </c>
      <c r="F23" s="90">
        <f t="shared" si="3"/>
        <v>5.4501885498885738E-6</v>
      </c>
    </row>
    <row r="24" spans="1:7" ht="14.25">
      <c r="A24" s="395" t="s">
        <v>150</v>
      </c>
      <c r="B24" s="83" t="s">
        <v>19</v>
      </c>
      <c r="C24" s="104">
        <f>INDEX('3 Vapor'!C:C,MATCH(A24,'3 Vapor'!A:A,0))</f>
        <v>6.8999999999999999E-3</v>
      </c>
      <c r="D24" s="246" t="s">
        <v>235</v>
      </c>
      <c r="E24" s="90">
        <f t="shared" si="2"/>
        <v>1.0101074669414762E-5</v>
      </c>
      <c r="F24" s="90">
        <f t="shared" si="3"/>
        <v>4.4242707052036664E-5</v>
      </c>
    </row>
    <row r="25" spans="1:7" ht="14.25">
      <c r="A25" s="395" t="s">
        <v>65</v>
      </c>
      <c r="B25" s="83" t="s">
        <v>22</v>
      </c>
      <c r="C25" s="104">
        <f>INDEX('3 Vapor'!C:C,MATCH(A25,'3 Vapor'!A:A,0))</f>
        <v>7.4999999999999997E-2</v>
      </c>
      <c r="D25" s="246" t="s">
        <v>240</v>
      </c>
      <c r="E25" s="90">
        <f t="shared" si="2"/>
        <v>1.0979428988494306E-4</v>
      </c>
      <c r="F25" s="90">
        <f t="shared" si="3"/>
        <v>4.8089898969605059E-4</v>
      </c>
    </row>
    <row r="26" spans="1:7" ht="14.25">
      <c r="A26" s="395" t="s">
        <v>154</v>
      </c>
      <c r="B26" s="83" t="s">
        <v>23</v>
      </c>
      <c r="C26" s="104">
        <f>INDEX('3 Vapor'!C:C,MATCH(A26,'3 Vapor'!A:A,0))</f>
        <v>1.8</v>
      </c>
      <c r="D26" s="246" t="s">
        <v>240</v>
      </c>
      <c r="E26" s="90">
        <f t="shared" si="2"/>
        <v>2.6350629572386339E-3</v>
      </c>
      <c r="F26" s="90">
        <f t="shared" si="3"/>
        <v>1.1541575752705218E-2</v>
      </c>
    </row>
    <row r="27" spans="1:7" ht="14.25">
      <c r="A27" s="395" t="s">
        <v>306</v>
      </c>
      <c r="B27" s="83" t="s">
        <v>81</v>
      </c>
      <c r="C27" s="104">
        <f>INDEX('3 Vapor'!C:C,MATCH(A27,'3 Vapor'!A:A,0))</f>
        <v>5.0000000000000001E-4</v>
      </c>
      <c r="D27" s="243">
        <v>1</v>
      </c>
      <c r="E27" s="90">
        <f t="shared" si="2"/>
        <v>7.3196193256628718E-7</v>
      </c>
      <c r="F27" s="90">
        <f t="shared" si="3"/>
        <v>3.2059932646403379E-6</v>
      </c>
    </row>
    <row r="28" spans="1:7" ht="14.25">
      <c r="A28" s="395" t="s">
        <v>305</v>
      </c>
      <c r="B28" s="83" t="s">
        <v>38</v>
      </c>
      <c r="C28" s="104">
        <f>INDEX('3 Vapor'!C:C,MATCH(A28,'3 Vapor'!A:A,0))</f>
        <v>3.8000000000000002E-4</v>
      </c>
      <c r="D28" s="246" t="s">
        <v>239</v>
      </c>
      <c r="E28" s="90">
        <f t="shared" si="2"/>
        <v>5.5629106875037831E-7</v>
      </c>
      <c r="F28" s="90">
        <f t="shared" si="3"/>
        <v>2.4365548811266566E-6</v>
      </c>
    </row>
    <row r="29" spans="1:7" ht="14.25">
      <c r="A29" s="395" t="s">
        <v>71</v>
      </c>
      <c r="B29" s="83" t="s">
        <v>39</v>
      </c>
      <c r="C29" s="104">
        <f>INDEX('3 Vapor'!C:C,MATCH(A29,'3 Vapor'!A:A,0))</f>
        <v>2.5999999999999998E-4</v>
      </c>
      <c r="D29" s="246" t="s">
        <v>239</v>
      </c>
      <c r="E29" s="90">
        <f t="shared" si="2"/>
        <v>3.8062020493446927E-7</v>
      </c>
      <c r="F29" s="90">
        <f t="shared" si="3"/>
        <v>1.6671164976129754E-6</v>
      </c>
    </row>
    <row r="30" spans="1:7" ht="14.25">
      <c r="A30" s="395" t="s">
        <v>67</v>
      </c>
      <c r="B30" s="83" t="s">
        <v>24</v>
      </c>
      <c r="C30" s="104">
        <f>INDEX('3 Vapor'!C:C,MATCH(A30,'3 Vapor'!A:A,0))</f>
        <v>6.0999999999999997E-4</v>
      </c>
      <c r="D30" s="246" t="s">
        <v>240</v>
      </c>
      <c r="E30" s="90">
        <f t="shared" si="2"/>
        <v>8.9299355773087031E-7</v>
      </c>
      <c r="F30" s="90">
        <f t="shared" si="3"/>
        <v>3.9113117828612122E-6</v>
      </c>
    </row>
    <row r="31" spans="1:7" ht="14.25">
      <c r="A31" s="395" t="s">
        <v>293</v>
      </c>
      <c r="B31" s="83" t="s">
        <v>40</v>
      </c>
      <c r="C31" s="104">
        <f>INDEX('3 Vapor'!C:C,MATCH(A31,'3 Vapor'!A:A,0))</f>
        <v>2.0999999999999999E-3</v>
      </c>
      <c r="D31" s="246" t="s">
        <v>239</v>
      </c>
      <c r="E31" s="90">
        <f t="shared" si="2"/>
        <v>3.0742401167784059E-6</v>
      </c>
      <c r="F31" s="90">
        <f t="shared" si="3"/>
        <v>1.3465171711489417E-5</v>
      </c>
      <c r="G31" s="210"/>
    </row>
    <row r="32" spans="1:7" ht="14.25">
      <c r="A32" s="395" t="s">
        <v>296</v>
      </c>
      <c r="B32" s="83" t="s">
        <v>82</v>
      </c>
      <c r="C32" s="104">
        <f>INDEX('3 Vapor'!C:C,MATCH(A32,'3 Vapor'!A:A,0))</f>
        <v>1.8981999999999998E-3</v>
      </c>
      <c r="D32" s="246" t="s">
        <v>240</v>
      </c>
      <c r="E32" s="90">
        <f t="shared" si="2"/>
        <v>2.7788202807946523E-6</v>
      </c>
      <c r="F32" s="90">
        <f t="shared" si="3"/>
        <v>1.2171232829880576E-5</v>
      </c>
    </row>
    <row r="33" spans="1:6" ht="14.25">
      <c r="A33" s="395" t="s">
        <v>285</v>
      </c>
      <c r="B33" s="105" t="s">
        <v>4</v>
      </c>
      <c r="C33" s="110">
        <f>INDEX('3 Vapor'!C:C,MATCH(A33,'3 Vapor'!A:A,0))</f>
        <v>2.4000000000000001E-5</v>
      </c>
      <c r="D33" s="246" t="s">
        <v>240</v>
      </c>
      <c r="E33" s="107">
        <f t="shared" si="2"/>
        <v>3.5134172763181785E-8</v>
      </c>
      <c r="F33" s="107">
        <f t="shared" si="3"/>
        <v>1.5388767670273622E-7</v>
      </c>
    </row>
    <row r="34" spans="1:6" ht="14.25">
      <c r="A34" s="395" t="s">
        <v>54</v>
      </c>
      <c r="B34" s="105" t="s">
        <v>5</v>
      </c>
      <c r="C34" s="110">
        <f>INDEX('3 Vapor'!C:C,MATCH(A34,'3 Vapor'!A:A,0))</f>
        <v>1.7999999999999999E-6</v>
      </c>
      <c r="D34" s="246" t="s">
        <v>240</v>
      </c>
      <c r="E34" s="107">
        <f t="shared" si="2"/>
        <v>2.6350629572386335E-9</v>
      </c>
      <c r="F34" s="107">
        <f t="shared" si="3"/>
        <v>1.1541575752705214E-8</v>
      </c>
    </row>
    <row r="35" spans="1:6" ht="14.25">
      <c r="A35" s="395" t="s">
        <v>55</v>
      </c>
      <c r="B35" s="105" t="s">
        <v>6</v>
      </c>
      <c r="C35" s="110">
        <f>INDEX('3 Vapor'!C:C,MATCH(A35,'3 Vapor'!A:A,0))</f>
        <v>1.5999999999999999E-5</v>
      </c>
      <c r="D35" s="246" t="s">
        <v>240</v>
      </c>
      <c r="E35" s="107">
        <f t="shared" si="2"/>
        <v>2.3422781842121189E-8</v>
      </c>
      <c r="F35" s="107">
        <f t="shared" si="3"/>
        <v>1.0259178446849079E-7</v>
      </c>
    </row>
    <row r="36" spans="1:6" ht="14.25">
      <c r="A36" s="395" t="s">
        <v>287</v>
      </c>
      <c r="B36" s="105" t="s">
        <v>7</v>
      </c>
      <c r="C36" s="110">
        <f>INDEX('3 Vapor'!C:C,MATCH(A36,'3 Vapor'!A:A,0))</f>
        <v>1.7999999999999999E-6</v>
      </c>
      <c r="D36" s="246" t="s">
        <v>240</v>
      </c>
      <c r="E36" s="107">
        <f t="shared" si="2"/>
        <v>2.6350629572386335E-9</v>
      </c>
      <c r="F36" s="107">
        <f t="shared" si="3"/>
        <v>1.1541575752705214E-8</v>
      </c>
    </row>
    <row r="37" spans="1:6" ht="14.25">
      <c r="A37" s="395" t="s">
        <v>286</v>
      </c>
      <c r="B37" s="105" t="s">
        <v>8</v>
      </c>
      <c r="C37" s="110">
        <f>INDEX('3 Vapor'!C:C,MATCH(A37,'3 Vapor'!A:A,0))</f>
        <v>1.7999999999999999E-6</v>
      </c>
      <c r="D37" s="246" t="s">
        <v>240</v>
      </c>
      <c r="E37" s="107">
        <f t="shared" si="2"/>
        <v>2.6350629572386335E-9</v>
      </c>
      <c r="F37" s="107">
        <f t="shared" si="3"/>
        <v>1.1541575752705214E-8</v>
      </c>
    </row>
    <row r="38" spans="1:6" ht="14.25">
      <c r="A38" s="395" t="s">
        <v>288</v>
      </c>
      <c r="B38" s="105" t="s">
        <v>11</v>
      </c>
      <c r="C38" s="110">
        <f>INDEX('3 Vapor'!C:C,MATCH(A38,'3 Vapor'!A:A,0))</f>
        <v>2.3999999999999999E-6</v>
      </c>
      <c r="D38" s="246" t="s">
        <v>240</v>
      </c>
      <c r="E38" s="107">
        <f t="shared" si="2"/>
        <v>3.5134172763181781E-9</v>
      </c>
      <c r="F38" s="107">
        <f t="shared" si="3"/>
        <v>1.538876767027362E-8</v>
      </c>
    </row>
    <row r="39" spans="1:6" ht="14.25">
      <c r="A39" s="395" t="s">
        <v>58</v>
      </c>
      <c r="B39" s="105" t="s">
        <v>83</v>
      </c>
      <c r="C39" s="110">
        <f>INDEX('3 Vapor'!C:C,MATCH(A39,'3 Vapor'!A:A,0))</f>
        <v>1.7999999999999999E-6</v>
      </c>
      <c r="D39" s="246" t="s">
        <v>240</v>
      </c>
      <c r="E39" s="107">
        <f t="shared" si="2"/>
        <v>2.6350629572386335E-9</v>
      </c>
      <c r="F39" s="107">
        <f t="shared" si="3"/>
        <v>1.1541575752705214E-8</v>
      </c>
    </row>
    <row r="40" spans="1:6" ht="14.25">
      <c r="A40" s="395" t="s">
        <v>60</v>
      </c>
      <c r="B40" s="105" t="s">
        <v>13</v>
      </c>
      <c r="C40" s="110">
        <f>INDEX('3 Vapor'!C:C,MATCH(A40,'3 Vapor'!A:A,0))</f>
        <v>1.1999999999999999E-6</v>
      </c>
      <c r="D40" s="246" t="s">
        <v>240</v>
      </c>
      <c r="E40" s="107">
        <f t="shared" si="2"/>
        <v>1.756708638159089E-9</v>
      </c>
      <c r="F40" s="107">
        <f t="shared" si="3"/>
        <v>7.6943838351368102E-9</v>
      </c>
    </row>
    <row r="41" spans="1:6" ht="14.25">
      <c r="A41" s="395" t="s">
        <v>61</v>
      </c>
      <c r="B41" s="105" t="s">
        <v>14</v>
      </c>
      <c r="C41" s="110">
        <f>INDEX('3 Vapor'!C:C,MATCH(A41,'3 Vapor'!A:A,0))</f>
        <v>1.7999999999999999E-6</v>
      </c>
      <c r="D41" s="246" t="s">
        <v>240</v>
      </c>
      <c r="E41" s="107">
        <f t="shared" si="2"/>
        <v>2.6350629572386335E-9</v>
      </c>
      <c r="F41" s="107">
        <f t="shared" si="3"/>
        <v>1.1541575752705214E-8</v>
      </c>
    </row>
    <row r="42" spans="1:6" ht="14.25">
      <c r="A42" s="395" t="s">
        <v>289</v>
      </c>
      <c r="B42" s="105" t="s">
        <v>15</v>
      </c>
      <c r="C42" s="110">
        <f>INDEX('3 Vapor'!C:C,MATCH(A42,'3 Vapor'!A:A,0))</f>
        <v>1.1999999999999999E-6</v>
      </c>
      <c r="D42" s="246" t="s">
        <v>240</v>
      </c>
      <c r="E42" s="107">
        <f t="shared" si="2"/>
        <v>1.756708638159089E-9</v>
      </c>
      <c r="F42" s="107">
        <f t="shared" si="3"/>
        <v>7.6943838351368102E-9</v>
      </c>
    </row>
    <row r="43" spans="1:6" ht="14.25">
      <c r="A43" s="395" t="s">
        <v>62</v>
      </c>
      <c r="B43" s="105" t="s">
        <v>16</v>
      </c>
      <c r="C43" s="110">
        <f>INDEX('3 Vapor'!C:C,MATCH(A43,'3 Vapor'!A:A,0))</f>
        <v>1.7999999999999999E-6</v>
      </c>
      <c r="D43" s="246" t="s">
        <v>240</v>
      </c>
      <c r="E43" s="107">
        <f t="shared" si="2"/>
        <v>2.6350629572386335E-9</v>
      </c>
      <c r="F43" s="107">
        <f t="shared" si="3"/>
        <v>1.1541575752705214E-8</v>
      </c>
    </row>
    <row r="44" spans="1:6" ht="14.25">
      <c r="A44" s="395" t="s">
        <v>63</v>
      </c>
      <c r="B44" s="109" t="s">
        <v>17</v>
      </c>
      <c r="C44" s="110">
        <f>INDEX('3 Vapor'!C:C,MATCH(A44,'3 Vapor'!A:A,0))</f>
        <v>1.7999999999999999E-6</v>
      </c>
      <c r="D44" s="246" t="s">
        <v>240</v>
      </c>
      <c r="E44" s="107">
        <f t="shared" si="2"/>
        <v>2.6350629572386335E-9</v>
      </c>
      <c r="F44" s="107">
        <f t="shared" si="3"/>
        <v>1.1541575752705214E-8</v>
      </c>
    </row>
    <row r="45" spans="1:6" ht="14.25">
      <c r="A45" s="395" t="s">
        <v>64</v>
      </c>
      <c r="B45" s="109" t="s">
        <v>84</v>
      </c>
      <c r="C45" s="110">
        <f>INDEX('3 Vapor'!C:C,MATCH(A45,'3 Vapor'!A:A,0))</f>
        <v>1.1999999999999999E-6</v>
      </c>
      <c r="D45" s="246" t="s">
        <v>240</v>
      </c>
      <c r="E45" s="107">
        <f t="shared" si="2"/>
        <v>1.756708638159089E-9</v>
      </c>
      <c r="F45" s="107">
        <f t="shared" si="3"/>
        <v>7.6943838351368102E-9</v>
      </c>
    </row>
    <row r="46" spans="1:6" ht="14.25">
      <c r="A46" s="395" t="s">
        <v>151</v>
      </c>
      <c r="B46" s="109" t="s">
        <v>283</v>
      </c>
      <c r="C46" s="110">
        <f>INDEX('3 Vapor'!C:C,MATCH(A46,'3 Vapor'!A:A,0))</f>
        <v>1.1999999999999999E-3</v>
      </c>
      <c r="D46" s="246" t="s">
        <v>240</v>
      </c>
      <c r="E46" s="107">
        <f t="shared" ref="E46" si="4">$C$65/$C$66*C46</f>
        <v>1.7567086381590889E-6</v>
      </c>
      <c r="F46" s="107">
        <f t="shared" si="3"/>
        <v>7.6943838351368088E-6</v>
      </c>
    </row>
    <row r="47" spans="1:6" ht="14.25">
      <c r="A47" s="395" t="s">
        <v>291</v>
      </c>
      <c r="B47" s="109" t="s">
        <v>20</v>
      </c>
      <c r="C47" s="110">
        <f>INDEX('3 Vapor'!C:C,MATCH(A47,'3 Vapor'!A:A,0))</f>
        <v>3.0000000000000001E-6</v>
      </c>
      <c r="D47" s="246" t="s">
        <v>240</v>
      </c>
      <c r="E47" s="107">
        <f t="shared" ref="E47:E55" si="5">$C$65/$C$66*C47</f>
        <v>4.3917715953977231E-9</v>
      </c>
      <c r="F47" s="107">
        <f t="shared" si="3"/>
        <v>1.9235959587842028E-8</v>
      </c>
    </row>
    <row r="48" spans="1:6" ht="14.25">
      <c r="A48" s="396" t="s">
        <v>292</v>
      </c>
      <c r="B48" s="109" t="s">
        <v>21</v>
      </c>
      <c r="C48" s="110">
        <f>INDEX('3 Vapor'!C:C,MATCH(A48,'3 Vapor'!A:A,0))</f>
        <v>2.7999999999999999E-6</v>
      </c>
      <c r="D48" s="246" t="s">
        <v>240</v>
      </c>
      <c r="E48" s="107">
        <f t="shared" si="5"/>
        <v>4.098986822371208E-9</v>
      </c>
      <c r="F48" s="107">
        <f t="shared" si="3"/>
        <v>1.795356228198589E-8</v>
      </c>
    </row>
    <row r="49" spans="1:7" ht="14.25">
      <c r="A49" s="396" t="s">
        <v>66</v>
      </c>
      <c r="B49" s="109" t="s">
        <v>52</v>
      </c>
      <c r="C49" s="110">
        <f>INDEX('3 Vapor'!C:C,MATCH(A49,'3 Vapor'!A:A,0))</f>
        <v>1.7999999999999999E-6</v>
      </c>
      <c r="D49" s="246" t="s">
        <v>240</v>
      </c>
      <c r="E49" s="107">
        <f t="shared" si="5"/>
        <v>2.6350629572386335E-9</v>
      </c>
      <c r="F49" s="107">
        <f t="shared" si="3"/>
        <v>1.1541575752705214E-8</v>
      </c>
    </row>
    <row r="50" spans="1:7" ht="14.25">
      <c r="A50" s="396" t="s">
        <v>67</v>
      </c>
      <c r="B50" s="109" t="s">
        <v>24</v>
      </c>
      <c r="C50" s="110">
        <f>INDEX('3 Vapor'!C:C,MATCH(A50,'3 Vapor'!A:A,0))</f>
        <v>6.0999999999999997E-4</v>
      </c>
      <c r="D50" s="246" t="s">
        <v>240</v>
      </c>
      <c r="E50" s="107">
        <f t="shared" si="5"/>
        <v>8.9299355773087031E-7</v>
      </c>
      <c r="F50" s="107">
        <f t="shared" si="3"/>
        <v>3.9113117828612122E-6</v>
      </c>
    </row>
    <row r="51" spans="1:7" ht="14.25">
      <c r="A51" s="396" t="s">
        <v>294</v>
      </c>
      <c r="B51" s="109" t="s">
        <v>85</v>
      </c>
      <c r="C51" s="110">
        <f>INDEX('3 Vapor'!C:C,MATCH(A51,'3 Vapor'!A:A,0))</f>
        <v>1.7E-5</v>
      </c>
      <c r="D51" s="246" t="s">
        <v>240</v>
      </c>
      <c r="E51" s="107">
        <f t="shared" si="5"/>
        <v>2.4886705707253762E-8</v>
      </c>
      <c r="F51" s="107">
        <f t="shared" si="3"/>
        <v>1.0900377099777147E-7</v>
      </c>
    </row>
    <row r="52" spans="1:7" ht="14.25">
      <c r="A52" s="396" t="s">
        <v>295</v>
      </c>
      <c r="B52" s="109" t="s">
        <v>26</v>
      </c>
      <c r="C52" s="110">
        <f>INDEX('3 Vapor'!C:C,MATCH(A52,'3 Vapor'!A:A,0))</f>
        <v>5.0000000000000004E-6</v>
      </c>
      <c r="D52" s="246" t="s">
        <v>240</v>
      </c>
      <c r="E52" s="107">
        <f t="shared" si="5"/>
        <v>7.3196193256628721E-9</v>
      </c>
      <c r="F52" s="107">
        <f t="shared" si="3"/>
        <v>3.2059932646403375E-8</v>
      </c>
    </row>
    <row r="53" spans="1:7" ht="14.25">
      <c r="A53" s="395" t="s">
        <v>68</v>
      </c>
      <c r="B53" s="83" t="s">
        <v>51</v>
      </c>
      <c r="C53" s="104">
        <f>INDEX('3 Vapor'!C:C,MATCH(A53,'3 Vapor'!A:A,0))</f>
        <v>0.53</v>
      </c>
      <c r="D53" s="246" t="s">
        <v>235</v>
      </c>
      <c r="E53" s="90">
        <f>$C$65/$C$66*C53</f>
        <v>7.7587964852026444E-4</v>
      </c>
      <c r="F53" s="90">
        <f t="shared" si="3"/>
        <v>3.3983528605187581E-3</v>
      </c>
      <c r="G53" s="210"/>
    </row>
    <row r="54" spans="1:7" ht="14.25">
      <c r="A54" s="396" t="s">
        <v>304</v>
      </c>
      <c r="B54" s="83" t="s">
        <v>41</v>
      </c>
      <c r="C54" s="104">
        <f>INDEX('3 Vapor'!C:C,MATCH(A54,'3 Vapor'!A:A,0))</f>
        <v>2.4000000000000001E-5</v>
      </c>
      <c r="D54" s="246" t="s">
        <v>239</v>
      </c>
      <c r="E54" s="90">
        <f t="shared" si="5"/>
        <v>3.5134172763181785E-8</v>
      </c>
      <c r="F54" s="90">
        <f t="shared" si="3"/>
        <v>1.5388767670273622E-7</v>
      </c>
    </row>
    <row r="55" spans="1:7" ht="14.25">
      <c r="A55" s="396" t="s">
        <v>303</v>
      </c>
      <c r="B55" s="83" t="s">
        <v>27</v>
      </c>
      <c r="C55" s="104">
        <f>MAX(0.0034,0.0265)</f>
        <v>2.6499999999999999E-2</v>
      </c>
      <c r="D55" s="246" t="s">
        <v>235</v>
      </c>
      <c r="E55" s="90">
        <f t="shared" si="5"/>
        <v>3.8793982426013221E-5</v>
      </c>
      <c r="F55" s="90">
        <f t="shared" si="3"/>
        <v>1.699176430259379E-4</v>
      </c>
    </row>
    <row r="56" spans="1:7" ht="14.25">
      <c r="A56" s="396" t="s">
        <v>72</v>
      </c>
      <c r="B56" s="83" t="s">
        <v>42</v>
      </c>
      <c r="C56" s="104">
        <f>INDEX('3 Vapor'!C:C,MATCH(A56,'3 Vapor'!A:A,0))</f>
        <v>2.3E-3</v>
      </c>
      <c r="D56" s="246" t="s">
        <v>239</v>
      </c>
      <c r="E56" s="90">
        <f>$C$65/$C$66*C56</f>
        <v>3.3670248898049207E-6</v>
      </c>
      <c r="F56" s="90">
        <f t="shared" si="3"/>
        <v>1.4747569017345554E-5</v>
      </c>
    </row>
    <row r="57" spans="1:7" ht="14.25">
      <c r="A57" s="396" t="s">
        <v>147</v>
      </c>
      <c r="B57" s="83" t="s">
        <v>28</v>
      </c>
      <c r="C57" s="104">
        <f>INDEX('3 Vapor'!C:C,MATCH(A57,'3 Vapor'!A:A,0))</f>
        <v>1.9699999999999999E-2</v>
      </c>
      <c r="D57" s="246" t="s">
        <v>235</v>
      </c>
      <c r="E57" s="90">
        <f>$C$65/$C$66*C57</f>
        <v>2.8839300143111712E-5</v>
      </c>
      <c r="F57" s="90">
        <f t="shared" si="3"/>
        <v>1.2631613462682931E-4</v>
      </c>
    </row>
    <row r="58" spans="1:7">
      <c r="A58" s="396" t="s">
        <v>301</v>
      </c>
      <c r="B58" s="111" t="s">
        <v>49</v>
      </c>
      <c r="C58" s="112"/>
      <c r="D58" s="113"/>
      <c r="E58" s="114">
        <f>SUM(E14:E32,E54:E57)-SUM(E30,E23,E56,E16)</f>
        <v>2.8590845912569154E-3</v>
      </c>
      <c r="F58" s="119">
        <f>SUM(F14:F32,F54:F57)-SUM(F30,F23,F56,F16)</f>
        <v>1.2522790509705291E-2</v>
      </c>
    </row>
    <row r="59" spans="1:7" ht="12" customHeight="1"/>
    <row r="60" spans="1:7">
      <c r="B60" s="7" t="s">
        <v>86</v>
      </c>
      <c r="C60" s="7"/>
      <c r="D60" s="8"/>
      <c r="E60" s="8"/>
      <c r="F60" s="7"/>
    </row>
    <row r="61" spans="1:7" ht="12" customHeight="1">
      <c r="B61" s="568" t="s">
        <v>214</v>
      </c>
      <c r="C61" s="568"/>
      <c r="D61" s="568"/>
      <c r="E61" s="568"/>
      <c r="F61" s="568"/>
      <c r="G61" s="55" t="s">
        <v>110</v>
      </c>
    </row>
    <row r="62" spans="1:7">
      <c r="B62" s="568"/>
      <c r="C62" s="568"/>
      <c r="D62" s="568"/>
      <c r="E62" s="568"/>
      <c r="F62" s="568"/>
      <c r="G62" s="23"/>
    </row>
    <row r="63" spans="1:7" ht="14.25">
      <c r="B63" s="565" t="s">
        <v>215</v>
      </c>
      <c r="C63" s="565"/>
      <c r="D63" s="565"/>
      <c r="E63" s="565"/>
      <c r="F63" s="565"/>
      <c r="G63" s="55" t="s">
        <v>110</v>
      </c>
    </row>
    <row r="64" spans="1:7">
      <c r="B64" s="565"/>
      <c r="C64" s="565"/>
      <c r="D64" s="565"/>
      <c r="E64" s="565"/>
      <c r="F64" s="565"/>
      <c r="G64" s="23"/>
    </row>
    <row r="65" spans="2:10" ht="14.25">
      <c r="B65" s="9" t="s">
        <v>166</v>
      </c>
      <c r="C65" s="532">
        <f>'1 Rates'!B46</f>
        <v>1.6</v>
      </c>
      <c r="D65" s="301">
        <v>6</v>
      </c>
      <c r="E65" s="18"/>
      <c r="F65" s="371"/>
      <c r="G65" s="23"/>
    </row>
    <row r="66" spans="2:10" ht="14.25" customHeight="1">
      <c r="B66" s="9" t="s">
        <v>128</v>
      </c>
      <c r="C66" s="10">
        <f>'2 Gas Data'!$B$7</f>
        <v>1092.953013546987</v>
      </c>
      <c r="D66" s="301">
        <v>7</v>
      </c>
      <c r="E66" s="18"/>
      <c r="F66" s="371"/>
      <c r="G66" s="23"/>
    </row>
    <row r="67" spans="2:10" ht="14.25">
      <c r="B67" s="20" t="s">
        <v>87</v>
      </c>
      <c r="C67" s="21">
        <f>'1 Rates'!D46</f>
        <v>8760</v>
      </c>
      <c r="D67" s="301">
        <v>6</v>
      </c>
      <c r="E67" s="11"/>
      <c r="F67" s="19"/>
      <c r="G67" s="23"/>
    </row>
    <row r="68" spans="2:10" ht="14.25">
      <c r="B68" s="565" t="s">
        <v>216</v>
      </c>
      <c r="C68" s="565"/>
      <c r="D68" s="565"/>
      <c r="E68" s="565"/>
      <c r="F68" s="565"/>
      <c r="G68" s="55" t="s">
        <v>110</v>
      </c>
    </row>
    <row r="69" spans="2:10" ht="14.25">
      <c r="B69" s="565"/>
      <c r="C69" s="565"/>
      <c r="D69" s="565"/>
      <c r="E69" s="565"/>
      <c r="F69" s="565"/>
      <c r="G69" s="55" t="s">
        <v>110</v>
      </c>
    </row>
    <row r="70" spans="2:10" ht="14.25" customHeight="1">
      <c r="B70" s="6" t="s">
        <v>122</v>
      </c>
      <c r="C70" s="50">
        <f>'2 Gas Data'!$B$8</f>
        <v>4.6091924175538819E-2</v>
      </c>
      <c r="D70" s="301">
        <v>7</v>
      </c>
      <c r="E70" s="371"/>
      <c r="F70" s="371"/>
      <c r="G70" s="55"/>
      <c r="H70" s="235"/>
      <c r="I70" s="235"/>
      <c r="J70" s="235"/>
    </row>
    <row r="71" spans="2:10" ht="14.25" customHeight="1">
      <c r="B71" s="6" t="s">
        <v>97</v>
      </c>
      <c r="C71" s="51">
        <f>'2 Gas Data'!$B$9</f>
        <v>24.795171026156947</v>
      </c>
      <c r="D71" s="301">
        <v>7</v>
      </c>
      <c r="G71" s="23"/>
      <c r="H71" s="235"/>
      <c r="I71" s="235"/>
      <c r="J71" s="235"/>
    </row>
    <row r="72" spans="2:10" ht="14.25" customHeight="1">
      <c r="B72" s="567" t="s">
        <v>217</v>
      </c>
      <c r="C72" s="567"/>
      <c r="D72" s="567"/>
      <c r="E72" s="567"/>
      <c r="F72" s="567"/>
      <c r="G72" s="55" t="s">
        <v>110</v>
      </c>
      <c r="H72" s="235"/>
      <c r="I72" s="235"/>
      <c r="J72" s="235"/>
    </row>
    <row r="73" spans="2:10">
      <c r="B73" s="567"/>
      <c r="C73" s="567"/>
      <c r="D73" s="567"/>
      <c r="E73" s="567"/>
      <c r="F73" s="567"/>
      <c r="H73" s="235"/>
      <c r="I73" s="235"/>
      <c r="J73" s="235"/>
    </row>
    <row r="74" spans="2:10" ht="14.25">
      <c r="B74" s="567"/>
      <c r="C74" s="567"/>
      <c r="D74" s="567"/>
      <c r="E74" s="567"/>
      <c r="F74" s="567"/>
      <c r="G74" s="55" t="s">
        <v>110</v>
      </c>
      <c r="H74" s="235"/>
      <c r="I74" s="235"/>
      <c r="J74" s="235"/>
    </row>
    <row r="75" spans="2:10" ht="14.25">
      <c r="B75" s="567"/>
      <c r="C75" s="567"/>
      <c r="D75" s="567"/>
      <c r="E75" s="567"/>
      <c r="F75" s="567"/>
      <c r="G75" s="55" t="s">
        <v>110</v>
      </c>
      <c r="H75" s="235"/>
      <c r="I75" s="235"/>
      <c r="J75" s="235"/>
    </row>
    <row r="76" spans="2:10" ht="15">
      <c r="B76" s="9" t="s">
        <v>124</v>
      </c>
      <c r="C76" s="52">
        <v>40</v>
      </c>
      <c r="D76" s="302" t="s">
        <v>234</v>
      </c>
      <c r="E76" s="48"/>
      <c r="F76" s="370"/>
      <c r="G76" s="23"/>
      <c r="J76" s="235"/>
    </row>
    <row r="77" spans="2:10" ht="14.25">
      <c r="B77" s="9" t="s">
        <v>167</v>
      </c>
      <c r="C77" s="259">
        <v>50</v>
      </c>
      <c r="D77" s="302" t="s">
        <v>234</v>
      </c>
      <c r="E77" s="48"/>
      <c r="F77" s="370"/>
      <c r="G77" s="23"/>
    </row>
    <row r="78" spans="2:10" ht="14.25">
      <c r="B78" s="9" t="s">
        <v>187</v>
      </c>
      <c r="C78" s="52">
        <v>3</v>
      </c>
      <c r="D78" s="302" t="s">
        <v>234</v>
      </c>
      <c r="E78" s="157"/>
      <c r="F78" s="370"/>
      <c r="G78" s="23"/>
    </row>
    <row r="79" spans="2:10" ht="14.25">
      <c r="B79" s="9" t="s">
        <v>119</v>
      </c>
      <c r="C79" s="10">
        <v>8710</v>
      </c>
      <c r="D79" s="302" t="s">
        <v>364</v>
      </c>
      <c r="E79" s="48"/>
      <c r="F79" s="17"/>
      <c r="G79" s="23"/>
    </row>
    <row r="80" spans="2:10">
      <c r="B80" s="17"/>
      <c r="C80" s="6"/>
      <c r="G80" s="165"/>
    </row>
    <row r="81" spans="2:7">
      <c r="B81" s="7" t="s">
        <v>32</v>
      </c>
      <c r="C81" s="7"/>
      <c r="D81" s="13"/>
      <c r="E81" s="13"/>
      <c r="F81" s="7"/>
      <c r="G81" s="23"/>
    </row>
    <row r="82" spans="2:7" ht="14.25">
      <c r="B82" s="580" t="s">
        <v>236</v>
      </c>
      <c r="C82" s="580"/>
      <c r="D82" s="580"/>
      <c r="E82" s="580"/>
      <c r="F82" s="580"/>
      <c r="G82" s="55" t="s">
        <v>110</v>
      </c>
    </row>
    <row r="83" spans="2:7">
      <c r="B83" s="580"/>
      <c r="C83" s="580"/>
      <c r="D83" s="580"/>
      <c r="E83" s="580"/>
      <c r="F83" s="580"/>
      <c r="G83" s="23"/>
    </row>
    <row r="84" spans="2:7">
      <c r="B84" s="580"/>
      <c r="C84" s="580"/>
      <c r="D84" s="580"/>
      <c r="E84" s="580"/>
      <c r="F84" s="580"/>
      <c r="G84" s="23"/>
    </row>
    <row r="85" spans="2:7">
      <c r="B85" s="580"/>
      <c r="C85" s="580"/>
      <c r="D85" s="580"/>
      <c r="E85" s="580"/>
      <c r="F85" s="580"/>
      <c r="G85" s="23"/>
    </row>
    <row r="86" spans="2:7" ht="14.25">
      <c r="B86" s="580" t="s">
        <v>237</v>
      </c>
      <c r="C86" s="580"/>
      <c r="D86" s="580"/>
      <c r="E86" s="580"/>
      <c r="F86" s="580"/>
      <c r="G86" s="55" t="s">
        <v>110</v>
      </c>
    </row>
    <row r="87" spans="2:7" ht="14.25">
      <c r="B87" s="618" t="s">
        <v>366</v>
      </c>
      <c r="C87" s="618"/>
      <c r="D87" s="618"/>
      <c r="E87" s="618"/>
      <c r="F87" s="618"/>
      <c r="G87" s="55" t="s">
        <v>110</v>
      </c>
    </row>
    <row r="88" spans="2:7">
      <c r="B88" s="618"/>
      <c r="C88" s="618"/>
      <c r="D88" s="618"/>
      <c r="E88" s="618"/>
      <c r="F88" s="618"/>
    </row>
    <row r="89" spans="2:7">
      <c r="B89" s="618"/>
      <c r="C89" s="618"/>
      <c r="D89" s="618"/>
      <c r="E89" s="618"/>
      <c r="F89" s="618"/>
    </row>
    <row r="90" spans="2:7">
      <c r="B90" s="618"/>
      <c r="C90" s="618"/>
      <c r="D90" s="618"/>
      <c r="E90" s="618"/>
      <c r="F90" s="618"/>
    </row>
    <row r="91" spans="2:7" ht="14.25">
      <c r="B91" s="618" t="s">
        <v>355</v>
      </c>
      <c r="C91" s="580"/>
      <c r="D91" s="580"/>
      <c r="E91" s="580"/>
      <c r="F91" s="580"/>
      <c r="G91" s="55" t="s">
        <v>110</v>
      </c>
    </row>
    <row r="92" spans="2:7">
      <c r="B92" s="580"/>
      <c r="C92" s="580"/>
      <c r="D92" s="580"/>
      <c r="E92" s="580"/>
      <c r="F92" s="580"/>
      <c r="G92" s="23"/>
    </row>
    <row r="93" spans="2:7">
      <c r="B93" s="580"/>
      <c r="C93" s="580"/>
      <c r="D93" s="580"/>
      <c r="E93" s="580"/>
      <c r="F93" s="580"/>
      <c r="G93" s="23"/>
    </row>
    <row r="94" spans="2:7">
      <c r="B94" s="580"/>
      <c r="C94" s="580"/>
      <c r="D94" s="580"/>
      <c r="E94" s="580"/>
      <c r="F94" s="580"/>
      <c r="G94" s="23"/>
    </row>
    <row r="95" spans="2:7" ht="14.25">
      <c r="B95" s="618" t="s">
        <v>357</v>
      </c>
      <c r="C95" s="580"/>
      <c r="D95" s="580"/>
      <c r="E95" s="580"/>
      <c r="F95" s="580"/>
      <c r="G95" s="55" t="s">
        <v>110</v>
      </c>
    </row>
    <row r="96" spans="2:7">
      <c r="B96" s="580"/>
      <c r="C96" s="580"/>
      <c r="D96" s="580"/>
      <c r="E96" s="580"/>
      <c r="F96" s="580"/>
      <c r="G96" s="324"/>
    </row>
    <row r="97" spans="2:7">
      <c r="B97" s="580"/>
      <c r="C97" s="580"/>
      <c r="D97" s="580"/>
      <c r="E97" s="580"/>
      <c r="F97" s="580"/>
      <c r="G97" s="324"/>
    </row>
    <row r="98" spans="2:7">
      <c r="B98" s="580"/>
      <c r="C98" s="580"/>
      <c r="D98" s="580"/>
      <c r="E98" s="580"/>
      <c r="F98" s="580"/>
      <c r="G98" s="324"/>
    </row>
    <row r="99" spans="2:7" ht="14.25">
      <c r="B99" s="616" t="s">
        <v>359</v>
      </c>
      <c r="C99" s="617"/>
      <c r="D99" s="617"/>
      <c r="E99" s="617"/>
      <c r="F99" s="617"/>
      <c r="G99" s="23"/>
    </row>
    <row r="100" spans="2:7" ht="14.25">
      <c r="B100" s="616" t="s">
        <v>361</v>
      </c>
      <c r="C100" s="617"/>
      <c r="D100" s="617"/>
      <c r="E100" s="617"/>
      <c r="F100" s="617"/>
      <c r="G100" s="23"/>
    </row>
    <row r="101" spans="2:7" ht="14.25">
      <c r="B101" s="616" t="s">
        <v>363</v>
      </c>
      <c r="C101" s="617"/>
      <c r="D101" s="617"/>
      <c r="E101" s="617"/>
      <c r="F101" s="617"/>
      <c r="G101" s="23"/>
    </row>
  </sheetData>
  <mergeCells count="13">
    <mergeCell ref="B99:F99"/>
    <mergeCell ref="B100:F100"/>
    <mergeCell ref="B101:F101"/>
    <mergeCell ref="B87:F90"/>
    <mergeCell ref="B72:F75"/>
    <mergeCell ref="B86:F86"/>
    <mergeCell ref="B91:F94"/>
    <mergeCell ref="B95:F98"/>
    <mergeCell ref="C3:D4"/>
    <mergeCell ref="B61:F62"/>
    <mergeCell ref="B63:F64"/>
    <mergeCell ref="B68:F69"/>
    <mergeCell ref="B82:F85"/>
  </mergeCells>
  <conditionalFormatting sqref="F14 F31:F45 F17:F23 F47:F52 F54:F56 F25:F29">
    <cfRule type="cellIs" dxfId="37" priority="21" operator="greaterThan">
      <formula>#REF!</formula>
    </cfRule>
    <cfRule type="cellIs" dxfId="36" priority="22" operator="greaterThan">
      <formula>#REF!</formula>
    </cfRule>
  </conditionalFormatting>
  <conditionalFormatting sqref="F7:F11">
    <cfRule type="cellIs" dxfId="35" priority="17" operator="greaterThan">
      <formula>#REF!</formula>
    </cfRule>
    <cfRule type="cellIs" dxfId="34" priority="18" operator="greaterThan">
      <formula>#REF!</formula>
    </cfRule>
  </conditionalFormatting>
  <conditionalFormatting sqref="F46">
    <cfRule type="cellIs" dxfId="33" priority="11" operator="greaterThan">
      <formula>#REF!</formula>
    </cfRule>
    <cfRule type="cellIs" dxfId="32" priority="12" operator="greaterThan">
      <formula>#REF!</formula>
    </cfRule>
  </conditionalFormatting>
  <conditionalFormatting sqref="F15">
    <cfRule type="cellIs" dxfId="31" priority="9" operator="greaterThan">
      <formula>#REF!</formula>
    </cfRule>
    <cfRule type="cellIs" dxfId="30" priority="10" operator="greaterThan">
      <formula>#REF!</formula>
    </cfRule>
  </conditionalFormatting>
  <conditionalFormatting sqref="F16">
    <cfRule type="cellIs" dxfId="29" priority="7" operator="greaterThan">
      <formula>#REF!</formula>
    </cfRule>
    <cfRule type="cellIs" dxfId="28" priority="8" operator="greaterThan">
      <formula>#REF!</formula>
    </cfRule>
  </conditionalFormatting>
  <conditionalFormatting sqref="F53">
    <cfRule type="cellIs" dxfId="27" priority="5" operator="greaterThan">
      <formula>#REF!</formula>
    </cfRule>
    <cfRule type="cellIs" dxfId="26" priority="6" operator="greaterThan">
      <formula>#REF!</formula>
    </cfRule>
  </conditionalFormatting>
  <conditionalFormatting sqref="F24">
    <cfRule type="cellIs" dxfId="25" priority="3" operator="greaterThan">
      <formula>#REF!</formula>
    </cfRule>
    <cfRule type="cellIs" dxfId="24" priority="4" operator="greaterThan">
      <formula>#REF!</formula>
    </cfRule>
  </conditionalFormatting>
  <conditionalFormatting sqref="F57">
    <cfRule type="cellIs" dxfId="23" priority="1" operator="greaterThan">
      <formula>#REF!</formula>
    </cfRule>
    <cfRule type="cellIs" dxfId="22" priority="2" operator="greaterThan">
      <formula>#REF!</formula>
    </cfRule>
  </conditionalFormatting>
  <pageMargins left="0.7" right="0.7" top="0.88541666666666663" bottom="0.75" header="0.3" footer="0.3"/>
  <pageSetup orientation="portrait" r:id="rId1"/>
  <headerFooter>
    <oddHeader>&amp;C&amp;"-,Bold"Attachment A-2
Potential Emissions from Regeneration Pretreatment Heater
Puget Sound Energy - Liquefied Natural Gas Project
Tacoma, Washington</oddHeader>
  </headerFooter>
  <rowBreaks count="1" manualBreakCount="1">
    <brk id="60" max="16383" man="1"/>
  </rowBreaks>
  <extLst>
    <ext xmlns:x14="http://schemas.microsoft.com/office/spreadsheetml/2009/9/main" uri="{78C0D931-6437-407d-A8EE-F0AAD7539E65}">
      <x14:conditionalFormattings>
        <x14:conditionalFormatting xmlns:xm="http://schemas.microsoft.com/office/excel/2006/main">
          <x14:cfRule type="cellIs" priority="13" operator="greaterThan" id="{9653C5C2-5D6D-4811-9ACB-7EEE4AEECE64}">
            <xm:f>'A1 WPG'!#REF!</xm:f>
            <x14:dxf>
              <font>
                <condense val="0"/>
                <extend val="0"/>
                <color rgb="FF9C6500"/>
              </font>
              <fill>
                <patternFill>
                  <bgColor rgb="FFFFEB9C"/>
                </patternFill>
              </fill>
            </x14:dxf>
          </x14:cfRule>
          <x14:cfRule type="cellIs" priority="14" operator="greaterThan" id="{C344333C-3719-40A8-BD36-2CE5D30CEA77}">
            <xm:f>'A1 WPG'!#REF!</xm:f>
            <x14:dxf>
              <font>
                <condense val="0"/>
                <extend val="0"/>
                <color rgb="FF9C0006"/>
              </font>
              <fill>
                <patternFill>
                  <bgColor rgb="FFFFC7CE"/>
                </patternFill>
              </fill>
            </x14:dxf>
          </x14:cfRule>
          <xm:sqref>F30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B1:IN75"/>
  <sheetViews>
    <sheetView topLeftCell="B4" zoomScaleNormal="100" zoomScaleSheetLayoutView="100" workbookViewId="0">
      <selection activeCell="G37" sqref="G37"/>
    </sheetView>
  </sheetViews>
  <sheetFormatPr defaultRowHeight="12"/>
  <cols>
    <col min="1" max="1" width="0" style="24" hidden="1" customWidth="1"/>
    <col min="2" max="2" width="20.85546875" style="286" customWidth="1"/>
    <col min="3" max="4" width="10.5703125" style="286" customWidth="1"/>
    <col min="5" max="5" width="2.28515625" style="286" bestFit="1" customWidth="1"/>
    <col min="6" max="6" width="17" style="286" customWidth="1"/>
    <col min="7" max="7" width="18" style="286" customWidth="1"/>
    <col min="8" max="8" width="1.28515625" style="541" bestFit="1" customWidth="1"/>
    <col min="9" max="9" width="20" style="24" bestFit="1" customWidth="1"/>
    <col min="10" max="11" width="13.140625" style="24" bestFit="1" customWidth="1"/>
    <col min="12" max="250" width="9.140625" style="24"/>
    <col min="251" max="251" width="29.7109375" style="24" customWidth="1"/>
    <col min="252" max="254" width="9.140625" style="24"/>
    <col min="255" max="255" width="14.42578125" style="24" customWidth="1"/>
    <col min="256" max="506" width="9.140625" style="24"/>
    <col min="507" max="507" width="29.7109375" style="24" customWidth="1"/>
    <col min="508" max="510" width="9.140625" style="24"/>
    <col min="511" max="511" width="14.42578125" style="24" customWidth="1"/>
    <col min="512" max="762" width="9.140625" style="24"/>
    <col min="763" max="763" width="29.7109375" style="24" customWidth="1"/>
    <col min="764" max="766" width="9.140625" style="24"/>
    <col min="767" max="767" width="14.42578125" style="24" customWidth="1"/>
    <col min="768" max="1018" width="9.140625" style="24"/>
    <col min="1019" max="1019" width="29.7109375" style="24" customWidth="1"/>
    <col min="1020" max="1022" width="9.140625" style="24"/>
    <col min="1023" max="1023" width="14.42578125" style="24" customWidth="1"/>
    <col min="1024" max="1274" width="9.140625" style="24"/>
    <col min="1275" max="1275" width="29.7109375" style="24" customWidth="1"/>
    <col min="1276" max="1278" width="9.140625" style="24"/>
    <col min="1279" max="1279" width="14.42578125" style="24" customWidth="1"/>
    <col min="1280" max="1530" width="9.140625" style="24"/>
    <col min="1531" max="1531" width="29.7109375" style="24" customWidth="1"/>
    <col min="1532" max="1534" width="9.140625" style="24"/>
    <col min="1535" max="1535" width="14.42578125" style="24" customWidth="1"/>
    <col min="1536" max="1786" width="9.140625" style="24"/>
    <col min="1787" max="1787" width="29.7109375" style="24" customWidth="1"/>
    <col min="1788" max="1790" width="9.140625" style="24"/>
    <col min="1791" max="1791" width="14.42578125" style="24" customWidth="1"/>
    <col min="1792" max="2042" width="9.140625" style="24"/>
    <col min="2043" max="2043" width="29.7109375" style="24" customWidth="1"/>
    <col min="2044" max="2046" width="9.140625" style="24"/>
    <col min="2047" max="2047" width="14.42578125" style="24" customWidth="1"/>
    <col min="2048" max="2298" width="9.140625" style="24"/>
    <col min="2299" max="2299" width="29.7109375" style="24" customWidth="1"/>
    <col min="2300" max="2302" width="9.140625" style="24"/>
    <col min="2303" max="2303" width="14.42578125" style="24" customWidth="1"/>
    <col min="2304" max="2554" width="9.140625" style="24"/>
    <col min="2555" max="2555" width="29.7109375" style="24" customWidth="1"/>
    <col min="2556" max="2558" width="9.140625" style="24"/>
    <col min="2559" max="2559" width="14.42578125" style="24" customWidth="1"/>
    <col min="2560" max="2810" width="9.140625" style="24"/>
    <col min="2811" max="2811" width="29.7109375" style="24" customWidth="1"/>
    <col min="2812" max="2814" width="9.140625" style="24"/>
    <col min="2815" max="2815" width="14.42578125" style="24" customWidth="1"/>
    <col min="2816" max="3066" width="9.140625" style="24"/>
    <col min="3067" max="3067" width="29.7109375" style="24" customWidth="1"/>
    <col min="3068" max="3070" width="9.140625" style="24"/>
    <col min="3071" max="3071" width="14.42578125" style="24" customWidth="1"/>
    <col min="3072" max="3322" width="9.140625" style="24"/>
    <col min="3323" max="3323" width="29.7109375" style="24" customWidth="1"/>
    <col min="3324" max="3326" width="9.140625" style="24"/>
    <col min="3327" max="3327" width="14.42578125" style="24" customWidth="1"/>
    <col min="3328" max="3578" width="9.140625" style="24"/>
    <col min="3579" max="3579" width="29.7109375" style="24" customWidth="1"/>
    <col min="3580" max="3582" width="9.140625" style="24"/>
    <col min="3583" max="3583" width="14.42578125" style="24" customWidth="1"/>
    <col min="3584" max="3834" width="9.140625" style="24"/>
    <col min="3835" max="3835" width="29.7109375" style="24" customWidth="1"/>
    <col min="3836" max="3838" width="9.140625" style="24"/>
    <col min="3839" max="3839" width="14.42578125" style="24" customWidth="1"/>
    <col min="3840" max="4090" width="9.140625" style="24"/>
    <col min="4091" max="4091" width="29.7109375" style="24" customWidth="1"/>
    <col min="4092" max="4094" width="9.140625" style="24"/>
    <col min="4095" max="4095" width="14.42578125" style="24" customWidth="1"/>
    <col min="4096" max="4346" width="9.140625" style="24"/>
    <col min="4347" max="4347" width="29.7109375" style="24" customWidth="1"/>
    <col min="4348" max="4350" width="9.140625" style="24"/>
    <col min="4351" max="4351" width="14.42578125" style="24" customWidth="1"/>
    <col min="4352" max="4602" width="9.140625" style="24"/>
    <col min="4603" max="4603" width="29.7109375" style="24" customWidth="1"/>
    <col min="4604" max="4606" width="9.140625" style="24"/>
    <col min="4607" max="4607" width="14.42578125" style="24" customWidth="1"/>
    <col min="4608" max="4858" width="9.140625" style="24"/>
    <col min="4859" max="4859" width="29.7109375" style="24" customWidth="1"/>
    <col min="4860" max="4862" width="9.140625" style="24"/>
    <col min="4863" max="4863" width="14.42578125" style="24" customWidth="1"/>
    <col min="4864" max="5114" width="9.140625" style="24"/>
    <col min="5115" max="5115" width="29.7109375" style="24" customWidth="1"/>
    <col min="5116" max="5118" width="9.140625" style="24"/>
    <col min="5119" max="5119" width="14.42578125" style="24" customWidth="1"/>
    <col min="5120" max="5370" width="9.140625" style="24"/>
    <col min="5371" max="5371" width="29.7109375" style="24" customWidth="1"/>
    <col min="5372" max="5374" width="9.140625" style="24"/>
    <col min="5375" max="5375" width="14.42578125" style="24" customWidth="1"/>
    <col min="5376" max="5626" width="9.140625" style="24"/>
    <col min="5627" max="5627" width="29.7109375" style="24" customWidth="1"/>
    <col min="5628" max="5630" width="9.140625" style="24"/>
    <col min="5631" max="5631" width="14.42578125" style="24" customWidth="1"/>
    <col min="5632" max="5882" width="9.140625" style="24"/>
    <col min="5883" max="5883" width="29.7109375" style="24" customWidth="1"/>
    <col min="5884" max="5886" width="9.140625" style="24"/>
    <col min="5887" max="5887" width="14.42578125" style="24" customWidth="1"/>
    <col min="5888" max="6138" width="9.140625" style="24"/>
    <col min="6139" max="6139" width="29.7109375" style="24" customWidth="1"/>
    <col min="6140" max="6142" width="9.140625" style="24"/>
    <col min="6143" max="6143" width="14.42578125" style="24" customWidth="1"/>
    <col min="6144" max="6394" width="9.140625" style="24"/>
    <col min="6395" max="6395" width="29.7109375" style="24" customWidth="1"/>
    <col min="6396" max="6398" width="9.140625" style="24"/>
    <col min="6399" max="6399" width="14.42578125" style="24" customWidth="1"/>
    <col min="6400" max="6650" width="9.140625" style="24"/>
    <col min="6651" max="6651" width="29.7109375" style="24" customWidth="1"/>
    <col min="6652" max="6654" width="9.140625" style="24"/>
    <col min="6655" max="6655" width="14.42578125" style="24" customWidth="1"/>
    <col min="6656" max="6906" width="9.140625" style="24"/>
    <col min="6907" max="6907" width="29.7109375" style="24" customWidth="1"/>
    <col min="6908" max="6910" width="9.140625" style="24"/>
    <col min="6911" max="6911" width="14.42578125" style="24" customWidth="1"/>
    <col min="6912" max="7162" width="9.140625" style="24"/>
    <col min="7163" max="7163" width="29.7109375" style="24" customWidth="1"/>
    <col min="7164" max="7166" width="9.140625" style="24"/>
    <col min="7167" max="7167" width="14.42578125" style="24" customWidth="1"/>
    <col min="7168" max="7418" width="9.140625" style="24"/>
    <col min="7419" max="7419" width="29.7109375" style="24" customWidth="1"/>
    <col min="7420" max="7422" width="9.140625" style="24"/>
    <col min="7423" max="7423" width="14.42578125" style="24" customWidth="1"/>
    <col min="7424" max="7674" width="9.140625" style="24"/>
    <col min="7675" max="7675" width="29.7109375" style="24" customWidth="1"/>
    <col min="7676" max="7678" width="9.140625" style="24"/>
    <col min="7679" max="7679" width="14.42578125" style="24" customWidth="1"/>
    <col min="7680" max="7930" width="9.140625" style="24"/>
    <col min="7931" max="7931" width="29.7109375" style="24" customWidth="1"/>
    <col min="7932" max="7934" width="9.140625" style="24"/>
    <col min="7935" max="7935" width="14.42578125" style="24" customWidth="1"/>
    <col min="7936" max="8186" width="9.140625" style="24"/>
    <col min="8187" max="8187" width="29.7109375" style="24" customWidth="1"/>
    <col min="8188" max="8190" width="9.140625" style="24"/>
    <col min="8191" max="8191" width="14.42578125" style="24" customWidth="1"/>
    <col min="8192" max="8442" width="9.140625" style="24"/>
    <col min="8443" max="8443" width="29.7109375" style="24" customWidth="1"/>
    <col min="8444" max="8446" width="9.140625" style="24"/>
    <col min="8447" max="8447" width="14.42578125" style="24" customWidth="1"/>
    <col min="8448" max="8698" width="9.140625" style="24"/>
    <col min="8699" max="8699" width="29.7109375" style="24" customWidth="1"/>
    <col min="8700" max="8702" width="9.140625" style="24"/>
    <col min="8703" max="8703" width="14.42578125" style="24" customWidth="1"/>
    <col min="8704" max="8954" width="9.140625" style="24"/>
    <col min="8955" max="8955" width="29.7109375" style="24" customWidth="1"/>
    <col min="8956" max="8958" width="9.140625" style="24"/>
    <col min="8959" max="8959" width="14.42578125" style="24" customWidth="1"/>
    <col min="8960" max="9210" width="9.140625" style="24"/>
    <col min="9211" max="9211" width="29.7109375" style="24" customWidth="1"/>
    <col min="9212" max="9214" width="9.140625" style="24"/>
    <col min="9215" max="9215" width="14.42578125" style="24" customWidth="1"/>
    <col min="9216" max="9466" width="9.140625" style="24"/>
    <col min="9467" max="9467" width="29.7109375" style="24" customWidth="1"/>
    <col min="9468" max="9470" width="9.140625" style="24"/>
    <col min="9471" max="9471" width="14.42578125" style="24" customWidth="1"/>
    <col min="9472" max="9722" width="9.140625" style="24"/>
    <col min="9723" max="9723" width="29.7109375" style="24" customWidth="1"/>
    <col min="9724" max="9726" width="9.140625" style="24"/>
    <col min="9727" max="9727" width="14.42578125" style="24" customWidth="1"/>
    <col min="9728" max="9978" width="9.140625" style="24"/>
    <col min="9979" max="9979" width="29.7109375" style="24" customWidth="1"/>
    <col min="9980" max="9982" width="9.140625" style="24"/>
    <col min="9983" max="9983" width="14.42578125" style="24" customWidth="1"/>
    <col min="9984" max="10234" width="9.140625" style="24"/>
    <col min="10235" max="10235" width="29.7109375" style="24" customWidth="1"/>
    <col min="10236" max="10238" width="9.140625" style="24"/>
    <col min="10239" max="10239" width="14.42578125" style="24" customWidth="1"/>
    <col min="10240" max="10490" width="9.140625" style="24"/>
    <col min="10491" max="10491" width="29.7109375" style="24" customWidth="1"/>
    <col min="10492" max="10494" width="9.140625" style="24"/>
    <col min="10495" max="10495" width="14.42578125" style="24" customWidth="1"/>
    <col min="10496" max="10746" width="9.140625" style="24"/>
    <col min="10747" max="10747" width="29.7109375" style="24" customWidth="1"/>
    <col min="10748" max="10750" width="9.140625" style="24"/>
    <col min="10751" max="10751" width="14.42578125" style="24" customWidth="1"/>
    <col min="10752" max="11002" width="9.140625" style="24"/>
    <col min="11003" max="11003" width="29.7109375" style="24" customWidth="1"/>
    <col min="11004" max="11006" width="9.140625" style="24"/>
    <col min="11007" max="11007" width="14.42578125" style="24" customWidth="1"/>
    <col min="11008" max="11258" width="9.140625" style="24"/>
    <col min="11259" max="11259" width="29.7109375" style="24" customWidth="1"/>
    <col min="11260" max="11262" width="9.140625" style="24"/>
    <col min="11263" max="11263" width="14.42578125" style="24" customWidth="1"/>
    <col min="11264" max="11514" width="9.140625" style="24"/>
    <col min="11515" max="11515" width="29.7109375" style="24" customWidth="1"/>
    <col min="11516" max="11518" width="9.140625" style="24"/>
    <col min="11519" max="11519" width="14.42578125" style="24" customWidth="1"/>
    <col min="11520" max="11770" width="9.140625" style="24"/>
    <col min="11771" max="11771" width="29.7109375" style="24" customWidth="1"/>
    <col min="11772" max="11774" width="9.140625" style="24"/>
    <col min="11775" max="11775" width="14.42578125" style="24" customWidth="1"/>
    <col min="11776" max="12026" width="9.140625" style="24"/>
    <col min="12027" max="12027" width="29.7109375" style="24" customWidth="1"/>
    <col min="12028" max="12030" width="9.140625" style="24"/>
    <col min="12031" max="12031" width="14.42578125" style="24" customWidth="1"/>
    <col min="12032" max="12282" width="9.140625" style="24"/>
    <col min="12283" max="12283" width="29.7109375" style="24" customWidth="1"/>
    <col min="12284" max="12286" width="9.140625" style="24"/>
    <col min="12287" max="12287" width="14.42578125" style="24" customWidth="1"/>
    <col min="12288" max="12538" width="9.140625" style="24"/>
    <col min="12539" max="12539" width="29.7109375" style="24" customWidth="1"/>
    <col min="12540" max="12542" width="9.140625" style="24"/>
    <col min="12543" max="12543" width="14.42578125" style="24" customWidth="1"/>
    <col min="12544" max="12794" width="9.140625" style="24"/>
    <col min="12795" max="12795" width="29.7109375" style="24" customWidth="1"/>
    <col min="12796" max="12798" width="9.140625" style="24"/>
    <col min="12799" max="12799" width="14.42578125" style="24" customWidth="1"/>
    <col min="12800" max="13050" width="9.140625" style="24"/>
    <col min="13051" max="13051" width="29.7109375" style="24" customWidth="1"/>
    <col min="13052" max="13054" width="9.140625" style="24"/>
    <col min="13055" max="13055" width="14.42578125" style="24" customWidth="1"/>
    <col min="13056" max="13306" width="9.140625" style="24"/>
    <col min="13307" max="13307" width="29.7109375" style="24" customWidth="1"/>
    <col min="13308" max="13310" width="9.140625" style="24"/>
    <col min="13311" max="13311" width="14.42578125" style="24" customWidth="1"/>
    <col min="13312" max="13562" width="9.140625" style="24"/>
    <col min="13563" max="13563" width="29.7109375" style="24" customWidth="1"/>
    <col min="13564" max="13566" width="9.140625" style="24"/>
    <col min="13567" max="13567" width="14.42578125" style="24" customWidth="1"/>
    <col min="13568" max="13818" width="9.140625" style="24"/>
    <col min="13819" max="13819" width="29.7109375" style="24" customWidth="1"/>
    <col min="13820" max="13822" width="9.140625" style="24"/>
    <col min="13823" max="13823" width="14.42578125" style="24" customWidth="1"/>
    <col min="13824" max="14074" width="9.140625" style="24"/>
    <col min="14075" max="14075" width="29.7109375" style="24" customWidth="1"/>
    <col min="14076" max="14078" width="9.140625" style="24"/>
    <col min="14079" max="14079" width="14.42578125" style="24" customWidth="1"/>
    <col min="14080" max="14330" width="9.140625" style="24"/>
    <col min="14331" max="14331" width="29.7109375" style="24" customWidth="1"/>
    <col min="14332" max="14334" width="9.140625" style="24"/>
    <col min="14335" max="14335" width="14.42578125" style="24" customWidth="1"/>
    <col min="14336" max="14586" width="9.140625" style="24"/>
    <col min="14587" max="14587" width="29.7109375" style="24" customWidth="1"/>
    <col min="14588" max="14590" width="9.140625" style="24"/>
    <col min="14591" max="14591" width="14.42578125" style="24" customWidth="1"/>
    <col min="14592" max="14842" width="9.140625" style="24"/>
    <col min="14843" max="14843" width="29.7109375" style="24" customWidth="1"/>
    <col min="14844" max="14846" width="9.140625" style="24"/>
    <col min="14847" max="14847" width="14.42578125" style="24" customWidth="1"/>
    <col min="14848" max="15098" width="9.140625" style="24"/>
    <col min="15099" max="15099" width="29.7109375" style="24" customWidth="1"/>
    <col min="15100" max="15102" width="9.140625" style="24"/>
    <col min="15103" max="15103" width="14.42578125" style="24" customWidth="1"/>
    <col min="15104" max="15354" width="9.140625" style="24"/>
    <col min="15355" max="15355" width="29.7109375" style="24" customWidth="1"/>
    <col min="15356" max="15358" width="9.140625" style="24"/>
    <col min="15359" max="15359" width="14.42578125" style="24" customWidth="1"/>
    <col min="15360" max="15610" width="9.140625" style="24"/>
    <col min="15611" max="15611" width="29.7109375" style="24" customWidth="1"/>
    <col min="15612" max="15614" width="9.140625" style="24"/>
    <col min="15615" max="15615" width="14.42578125" style="24" customWidth="1"/>
    <col min="15616" max="15866" width="9.140625" style="24"/>
    <col min="15867" max="15867" width="29.7109375" style="24" customWidth="1"/>
    <col min="15868" max="15870" width="9.140625" style="24"/>
    <col min="15871" max="15871" width="14.42578125" style="24" customWidth="1"/>
    <col min="15872" max="16122" width="9.140625" style="24"/>
    <col min="16123" max="16123" width="29.7109375" style="24" customWidth="1"/>
    <col min="16124" max="16126" width="9.140625" style="24"/>
    <col min="16127" max="16127" width="14.42578125" style="24" customWidth="1"/>
    <col min="16128" max="16384" width="9.140625" style="24"/>
  </cols>
  <sheetData>
    <row r="1" spans="2:18">
      <c r="B1" s="161" t="s">
        <v>279</v>
      </c>
      <c r="C1" s="161"/>
      <c r="D1" s="161"/>
      <c r="E1" s="161"/>
      <c r="F1" s="161"/>
      <c r="G1" s="161"/>
      <c r="H1" s="538"/>
    </row>
    <row r="2" spans="2:18">
      <c r="B2" s="267"/>
      <c r="C2" s="267"/>
      <c r="D2" s="267"/>
      <c r="E2" s="267"/>
      <c r="F2" s="267"/>
      <c r="G2" s="267"/>
      <c r="H2" s="539"/>
    </row>
    <row r="3" spans="2:18" ht="14.45" customHeight="1">
      <c r="B3" s="261"/>
      <c r="C3" s="621" t="s">
        <v>31</v>
      </c>
      <c r="D3" s="622"/>
      <c r="E3" s="623"/>
      <c r="F3" s="262" t="s">
        <v>98</v>
      </c>
      <c r="G3" s="262"/>
      <c r="H3" s="540"/>
    </row>
    <row r="4" spans="2:18" ht="14.45" customHeight="1">
      <c r="B4" s="263"/>
      <c r="C4" s="624"/>
      <c r="D4" s="625"/>
      <c r="E4" s="626"/>
      <c r="F4" s="264" t="s">
        <v>210</v>
      </c>
      <c r="G4" s="264" t="s">
        <v>211</v>
      </c>
      <c r="H4" s="540"/>
    </row>
    <row r="5" spans="2:18" ht="15" customHeight="1" thickBot="1">
      <c r="B5" s="265" t="s">
        <v>30</v>
      </c>
      <c r="C5" s="627"/>
      <c r="D5" s="628"/>
      <c r="E5" s="629"/>
      <c r="F5" s="91" t="s">
        <v>113</v>
      </c>
      <c r="G5" s="91" t="s">
        <v>114</v>
      </c>
      <c r="H5" s="540"/>
    </row>
    <row r="6" spans="2:18" ht="12.75" thickTop="1">
      <c r="B6" s="101" t="s">
        <v>77</v>
      </c>
      <c r="C6" s="92"/>
      <c r="D6" s="268"/>
      <c r="E6" s="93"/>
      <c r="F6" s="269"/>
      <c r="G6" s="269"/>
    </row>
    <row r="7" spans="2:18" ht="14.25">
      <c r="B7" s="83" t="s">
        <v>348</v>
      </c>
      <c r="C7" s="270">
        <f>$C$11+0.03</f>
        <v>0.18</v>
      </c>
      <c r="D7" s="268" t="s">
        <v>115</v>
      </c>
      <c r="E7" s="362" t="s">
        <v>350</v>
      </c>
      <c r="F7" s="334">
        <f>CONVERT(C7*$D$44,"g","lbm")</f>
        <v>0.87541155068371179</v>
      </c>
      <c r="G7" s="85">
        <f>F7*$D$49/2000</f>
        <v>2.8450875397220635E-2</v>
      </c>
    </row>
    <row r="8" spans="2:18" ht="14.25">
      <c r="B8" s="83" t="s">
        <v>184</v>
      </c>
      <c r="C8" s="271">
        <f>D53*D52*2/1000000</f>
        <v>2.1000000000000001E-4</v>
      </c>
      <c r="D8" s="268" t="s">
        <v>100</v>
      </c>
      <c r="E8" s="362" t="s">
        <v>212</v>
      </c>
      <c r="F8" s="85">
        <f>C8*D45</f>
        <v>2.1965999999999999E-2</v>
      </c>
      <c r="G8" s="294">
        <f>F8*$D$49/2000</f>
        <v>7.1389499999999998E-4</v>
      </c>
      <c r="R8" s="388"/>
    </row>
    <row r="9" spans="2:18" ht="14.25">
      <c r="B9" s="83" t="s">
        <v>186</v>
      </c>
      <c r="C9" s="270">
        <v>6.09</v>
      </c>
      <c r="D9" s="268" t="s">
        <v>115</v>
      </c>
      <c r="E9" s="362">
        <v>1</v>
      </c>
      <c r="F9" s="272">
        <f>CONVERT(C9*$D$44,"g","lbm")</f>
        <v>29.618090798132251</v>
      </c>
      <c r="G9" s="86">
        <f>F9*$D$49/2000</f>
        <v>0.96258795093929816</v>
      </c>
      <c r="I9" s="384"/>
    </row>
    <row r="10" spans="2:18" ht="14.25">
      <c r="B10" s="83" t="s">
        <v>0</v>
      </c>
      <c r="C10" s="270">
        <v>0.8</v>
      </c>
      <c r="D10" s="268" t="s">
        <v>115</v>
      </c>
      <c r="E10" s="362">
        <v>1</v>
      </c>
      <c r="F10" s="333">
        <f>CONVERT(C10*$D$44,"g","lbm")</f>
        <v>3.8907180030387196</v>
      </c>
      <c r="G10" s="84">
        <f>F10*$D$49/2000</f>
        <v>0.12644833509875839</v>
      </c>
      <c r="I10" s="384"/>
    </row>
    <row r="11" spans="2:18" ht="14.25">
      <c r="B11" s="89" t="s">
        <v>101</v>
      </c>
      <c r="C11" s="270">
        <v>0.15</v>
      </c>
      <c r="D11" s="268" t="s">
        <v>115</v>
      </c>
      <c r="E11" s="362">
        <v>1</v>
      </c>
      <c r="F11" s="334">
        <f>CONVERT(C11*$D$44,"g","lbm")</f>
        <v>0.72950962556975985</v>
      </c>
      <c r="G11" s="273">
        <f>F11*$D$49/2000</f>
        <v>2.3709062831017196E-2</v>
      </c>
      <c r="I11" s="384"/>
    </row>
    <row r="12" spans="2:18">
      <c r="B12" s="101" t="s">
        <v>79</v>
      </c>
      <c r="C12" s="274"/>
      <c r="D12" s="275"/>
      <c r="E12" s="16"/>
      <c r="F12" s="103"/>
      <c r="G12" s="103"/>
    </row>
    <row r="13" spans="2:18" ht="14.25">
      <c r="B13" s="83" t="s">
        <v>103</v>
      </c>
      <c r="C13" s="385">
        <v>2.12E-4</v>
      </c>
      <c r="D13" s="276" t="s">
        <v>102</v>
      </c>
      <c r="E13" s="530" t="s">
        <v>235</v>
      </c>
      <c r="F13" s="90">
        <f t="shared" ref="F13:F36" si="0">C13*$D$45*$D$46/1000000</f>
        <v>3.0601776000000001E-3</v>
      </c>
      <c r="G13" s="90">
        <f t="shared" ref="G13:G36" si="1">F13*$D$49/2000</f>
        <v>9.9455771999999994E-5</v>
      </c>
    </row>
    <row r="14" spans="2:18" ht="14.25">
      <c r="B14" s="109" t="s">
        <v>8</v>
      </c>
      <c r="C14" s="386">
        <v>9.2299999999999997E-6</v>
      </c>
      <c r="D14" s="277" t="s">
        <v>102</v>
      </c>
      <c r="E14" s="530" t="s">
        <v>235</v>
      </c>
      <c r="F14" s="107">
        <f t="shared" si="0"/>
        <v>1.3323320399999996E-4</v>
      </c>
      <c r="G14" s="107">
        <f t="shared" si="1"/>
        <v>4.330079129999998E-6</v>
      </c>
    </row>
    <row r="15" spans="2:18" ht="14.25">
      <c r="B15" s="109" t="s">
        <v>7</v>
      </c>
      <c r="C15" s="386">
        <v>4.6800000000000001E-6</v>
      </c>
      <c r="D15" s="277" t="s">
        <v>102</v>
      </c>
      <c r="E15" s="530" t="s">
        <v>235</v>
      </c>
      <c r="F15" s="107">
        <f t="shared" si="0"/>
        <v>6.7554864000000014E-5</v>
      </c>
      <c r="G15" s="107">
        <f t="shared" si="1"/>
        <v>2.1955330800000006E-6</v>
      </c>
    </row>
    <row r="16" spans="2:18" ht="14.25">
      <c r="B16" s="109" t="s">
        <v>21</v>
      </c>
      <c r="C16" s="386">
        <v>1.2799999999999999E-5</v>
      </c>
      <c r="D16" s="277" t="s">
        <v>102</v>
      </c>
      <c r="E16" s="530" t="s">
        <v>235</v>
      </c>
      <c r="F16" s="107">
        <f t="shared" si="0"/>
        <v>1.8476543999999999E-4</v>
      </c>
      <c r="G16" s="107">
        <f t="shared" si="1"/>
        <v>6.0048767999999996E-6</v>
      </c>
    </row>
    <row r="17" spans="2:7" ht="14.25">
      <c r="B17" s="109" t="s">
        <v>25</v>
      </c>
      <c r="C17" s="386">
        <v>4.0800000000000002E-5</v>
      </c>
      <c r="D17" s="277" t="s">
        <v>102</v>
      </c>
      <c r="E17" s="530" t="s">
        <v>235</v>
      </c>
      <c r="F17" s="107">
        <f t="shared" si="0"/>
        <v>5.8893984000000003E-4</v>
      </c>
      <c r="G17" s="107">
        <f t="shared" si="1"/>
        <v>1.9140544800000001E-5</v>
      </c>
    </row>
    <row r="18" spans="2:7" ht="14.25">
      <c r="B18" s="109" t="s">
        <v>11</v>
      </c>
      <c r="C18" s="386">
        <v>1.2300000000000001E-6</v>
      </c>
      <c r="D18" s="277" t="s">
        <v>102</v>
      </c>
      <c r="E18" s="530" t="s">
        <v>235</v>
      </c>
      <c r="F18" s="107">
        <f t="shared" si="0"/>
        <v>1.7754803999999999E-5</v>
      </c>
      <c r="G18" s="107">
        <f t="shared" si="1"/>
        <v>5.7703113E-7</v>
      </c>
    </row>
    <row r="19" spans="2:7" ht="14.25">
      <c r="B19" s="109" t="s">
        <v>20</v>
      </c>
      <c r="C19" s="386">
        <v>4.0300000000000004E-6</v>
      </c>
      <c r="D19" s="277" t="s">
        <v>102</v>
      </c>
      <c r="E19" s="530" t="s">
        <v>235</v>
      </c>
      <c r="F19" s="107">
        <f t="shared" si="0"/>
        <v>5.8172243999999999E-5</v>
      </c>
      <c r="G19" s="107">
        <f t="shared" si="1"/>
        <v>1.8905979299999999E-6</v>
      </c>
    </row>
    <row r="20" spans="2:7" ht="14.25">
      <c r="B20" s="109" t="s">
        <v>26</v>
      </c>
      <c r="C20" s="386">
        <v>3.7100000000000001E-6</v>
      </c>
      <c r="D20" s="277" t="s">
        <v>102</v>
      </c>
      <c r="E20" s="530" t="s">
        <v>235</v>
      </c>
      <c r="F20" s="107">
        <f t="shared" si="0"/>
        <v>5.3553108000000003E-5</v>
      </c>
      <c r="G20" s="107">
        <f t="shared" si="1"/>
        <v>1.7404760100000001E-6</v>
      </c>
    </row>
    <row r="21" spans="2:7" ht="14.25">
      <c r="B21" s="109" t="s">
        <v>83</v>
      </c>
      <c r="C21" s="386">
        <v>6.2200000000000004E-7</v>
      </c>
      <c r="D21" s="277" t="s">
        <v>102</v>
      </c>
      <c r="E21" s="530" t="s">
        <v>235</v>
      </c>
      <c r="F21" s="107">
        <f t="shared" si="0"/>
        <v>8.9784456000000014E-6</v>
      </c>
      <c r="G21" s="107">
        <f t="shared" si="1"/>
        <v>2.9179948200000003E-7</v>
      </c>
    </row>
    <row r="22" spans="2:7" ht="14.25">
      <c r="B22" s="109" t="s">
        <v>17</v>
      </c>
      <c r="C22" s="386">
        <v>1.53E-6</v>
      </c>
      <c r="D22" s="277" t="s">
        <v>102</v>
      </c>
      <c r="E22" s="530" t="s">
        <v>235</v>
      </c>
      <c r="F22" s="107">
        <f t="shared" si="0"/>
        <v>2.2085244E-5</v>
      </c>
      <c r="G22" s="107">
        <f t="shared" si="1"/>
        <v>7.1777042999999992E-7</v>
      </c>
    </row>
    <row r="23" spans="2:7" ht="14.25">
      <c r="B23" s="109" t="s">
        <v>14</v>
      </c>
      <c r="C23" s="386">
        <v>1.11E-6</v>
      </c>
      <c r="D23" s="277" t="s">
        <v>102</v>
      </c>
      <c r="E23" s="530" t="s">
        <v>235</v>
      </c>
      <c r="F23" s="107">
        <f t="shared" si="0"/>
        <v>1.6022627999999998E-5</v>
      </c>
      <c r="G23" s="107">
        <f t="shared" si="1"/>
        <v>5.2073540999999996E-7</v>
      </c>
    </row>
    <row r="24" spans="2:7" ht="14.25">
      <c r="B24" s="109" t="s">
        <v>16</v>
      </c>
      <c r="C24" s="386">
        <v>2.1799999999999999E-7</v>
      </c>
      <c r="D24" s="277" t="s">
        <v>102</v>
      </c>
      <c r="E24" s="530" t="s">
        <v>235</v>
      </c>
      <c r="F24" s="107">
        <f t="shared" si="0"/>
        <v>3.1467863999999999E-6</v>
      </c>
      <c r="G24" s="107">
        <f t="shared" si="1"/>
        <v>1.02270558E-7</v>
      </c>
    </row>
    <row r="25" spans="2:7" ht="14.25">
      <c r="B25" s="109" t="s">
        <v>13</v>
      </c>
      <c r="C25" s="386">
        <v>2.5699999999999999E-7</v>
      </c>
      <c r="D25" s="277" t="s">
        <v>102</v>
      </c>
      <c r="E25" s="530" t="s">
        <v>235</v>
      </c>
      <c r="F25" s="107">
        <f t="shared" si="0"/>
        <v>3.7097436E-6</v>
      </c>
      <c r="G25" s="107">
        <f t="shared" si="1"/>
        <v>1.2056666700000001E-7</v>
      </c>
    </row>
    <row r="26" spans="2:7" ht="14.25">
      <c r="B26" s="109" t="s">
        <v>52</v>
      </c>
      <c r="C26" s="386">
        <v>4.1399999999999997E-7</v>
      </c>
      <c r="D26" s="277" t="s">
        <v>102</v>
      </c>
      <c r="E26" s="530" t="s">
        <v>235</v>
      </c>
      <c r="F26" s="107">
        <f t="shared" si="0"/>
        <v>5.9760071999999999E-6</v>
      </c>
      <c r="G26" s="107">
        <f t="shared" si="1"/>
        <v>1.94220234E-7</v>
      </c>
    </row>
    <row r="27" spans="2:7" ht="14.25">
      <c r="B27" s="109" t="s">
        <v>18</v>
      </c>
      <c r="C27" s="386">
        <v>3.46E-7</v>
      </c>
      <c r="D27" s="277" t="s">
        <v>102</v>
      </c>
      <c r="E27" s="530" t="s">
        <v>235</v>
      </c>
      <c r="F27" s="107">
        <f t="shared" si="0"/>
        <v>4.9944408000000006E-6</v>
      </c>
      <c r="G27" s="107">
        <f t="shared" si="1"/>
        <v>1.62319326E-7</v>
      </c>
    </row>
    <row r="28" spans="2:7" ht="14.25">
      <c r="B28" s="109" t="s">
        <v>116</v>
      </c>
      <c r="C28" s="386">
        <v>5.5599999999999995E-7</v>
      </c>
      <c r="D28" s="277" t="s">
        <v>102</v>
      </c>
      <c r="E28" s="530" t="s">
        <v>235</v>
      </c>
      <c r="F28" s="107">
        <f t="shared" si="0"/>
        <v>8.0257487999999992E-6</v>
      </c>
      <c r="G28" s="107">
        <f t="shared" si="1"/>
        <v>2.6083683600000001E-7</v>
      </c>
    </row>
    <row r="29" spans="2:7" ht="14.25">
      <c r="B29" s="278" t="s">
        <v>9</v>
      </c>
      <c r="C29" s="385">
        <v>2.5199999999999999E-5</v>
      </c>
      <c r="D29" s="276" t="s">
        <v>102</v>
      </c>
      <c r="E29" s="530" t="s">
        <v>235</v>
      </c>
      <c r="F29" s="90">
        <f t="shared" si="0"/>
        <v>3.6375695999999998E-4</v>
      </c>
      <c r="G29" s="90">
        <f t="shared" si="1"/>
        <v>1.1822101199999999E-5</v>
      </c>
    </row>
    <row r="30" spans="2:7" ht="14.25">
      <c r="B30" s="278" t="s">
        <v>10</v>
      </c>
      <c r="C30" s="385">
        <v>7.8800000000000008E-6</v>
      </c>
      <c r="D30" s="276" t="s">
        <v>102</v>
      </c>
      <c r="E30" s="530" t="s">
        <v>235</v>
      </c>
      <c r="F30" s="90">
        <f t="shared" si="0"/>
        <v>1.1374622400000002E-4</v>
      </c>
      <c r="G30" s="90">
        <f t="shared" si="1"/>
        <v>3.6967522800000004E-6</v>
      </c>
    </row>
    <row r="31" spans="2:7" ht="14.25">
      <c r="B31" s="278" t="s">
        <v>12</v>
      </c>
      <c r="C31" s="385">
        <v>7.76E-4</v>
      </c>
      <c r="D31" s="276" t="s">
        <v>102</v>
      </c>
      <c r="E31" s="530" t="s">
        <v>235</v>
      </c>
      <c r="F31" s="90">
        <f t="shared" si="0"/>
        <v>1.1201404799999998E-2</v>
      </c>
      <c r="G31" s="90">
        <f t="shared" si="1"/>
        <v>3.6404565599999994E-4</v>
      </c>
    </row>
    <row r="32" spans="2:7" ht="14.25">
      <c r="B32" s="278" t="s">
        <v>22</v>
      </c>
      <c r="C32" s="385">
        <v>7.8899999999999993E-5</v>
      </c>
      <c r="D32" s="276" t="s">
        <v>102</v>
      </c>
      <c r="E32" s="530" t="s">
        <v>235</v>
      </c>
      <c r="F32" s="90">
        <f t="shared" si="0"/>
        <v>1.1389057199999997E-3</v>
      </c>
      <c r="G32" s="90">
        <f t="shared" si="1"/>
        <v>3.7014435899999989E-5</v>
      </c>
    </row>
    <row r="33" spans="2:248" ht="14.25">
      <c r="B33" s="83" t="s">
        <v>24</v>
      </c>
      <c r="C33" s="385">
        <v>1.2999999999999999E-4</v>
      </c>
      <c r="D33" s="276" t="s">
        <v>102</v>
      </c>
      <c r="E33" s="530" t="s">
        <v>235</v>
      </c>
      <c r="F33" s="90">
        <f t="shared" si="0"/>
        <v>1.8765239999999996E-3</v>
      </c>
      <c r="G33" s="90">
        <f t="shared" si="1"/>
        <v>6.0987029999999993E-5</v>
      </c>
    </row>
    <row r="34" spans="2:248" s="384" customFormat="1" ht="14.25">
      <c r="B34" s="83" t="s">
        <v>51</v>
      </c>
      <c r="C34" s="385">
        <v>2.7899999999999999E-3</v>
      </c>
      <c r="D34" s="276" t="s">
        <v>102</v>
      </c>
      <c r="E34" s="530" t="s">
        <v>235</v>
      </c>
      <c r="F34" s="90">
        <f t="shared" si="0"/>
        <v>4.0273091999999996E-2</v>
      </c>
      <c r="G34" s="90">
        <f t="shared" si="1"/>
        <v>1.3088754899999999E-3</v>
      </c>
      <c r="H34" s="541"/>
    </row>
    <row r="35" spans="2:248" ht="14.25">
      <c r="B35" s="278" t="s">
        <v>27</v>
      </c>
      <c r="C35" s="385">
        <v>2.81E-4</v>
      </c>
      <c r="D35" s="276" t="s">
        <v>102</v>
      </c>
      <c r="E35" s="530" t="s">
        <v>235</v>
      </c>
      <c r="F35" s="90">
        <f t="shared" si="0"/>
        <v>4.0561788E-3</v>
      </c>
      <c r="G35" s="90">
        <f t="shared" si="1"/>
        <v>1.3182581099999998E-4</v>
      </c>
    </row>
    <row r="36" spans="2:248" ht="14.25">
      <c r="B36" s="279" t="s">
        <v>28</v>
      </c>
      <c r="C36" s="385">
        <v>1.93E-4</v>
      </c>
      <c r="D36" s="276" t="s">
        <v>102</v>
      </c>
      <c r="E36" s="530" t="s">
        <v>235</v>
      </c>
      <c r="F36" s="90">
        <f t="shared" si="0"/>
        <v>2.7859163999999995E-3</v>
      </c>
      <c r="G36" s="90">
        <f t="shared" si="1"/>
        <v>9.0542282999999982E-5</v>
      </c>
    </row>
    <row r="37" spans="2:248">
      <c r="B37" s="280" t="s">
        <v>49</v>
      </c>
      <c r="C37" s="281"/>
      <c r="D37" s="282"/>
      <c r="E37" s="534"/>
      <c r="F37" s="119">
        <f>SUM(F14:F36)-F34</f>
        <v>2.2713345452399988E-2</v>
      </c>
      <c r="G37" s="531">
        <f>SUM(G14:G36)-G34</f>
        <v>7.3818372720299997E-4</v>
      </c>
    </row>
    <row r="38" spans="2:248">
      <c r="B38" s="37"/>
      <c r="C38" s="37"/>
      <c r="D38" s="37"/>
      <c r="E38" s="37"/>
      <c r="F38" s="37"/>
      <c r="G38" s="37"/>
      <c r="H38" s="542"/>
    </row>
    <row r="39" spans="2:248">
      <c r="B39" s="7" t="s">
        <v>86</v>
      </c>
      <c r="C39" s="7"/>
      <c r="D39" s="7"/>
      <c r="E39" s="7"/>
      <c r="F39" s="7"/>
      <c r="G39" s="7"/>
      <c r="H39" s="542"/>
    </row>
    <row r="40" spans="2:248" ht="14.25">
      <c r="B40" s="25" t="s">
        <v>275</v>
      </c>
      <c r="C40" s="26"/>
      <c r="D40" s="26"/>
      <c r="E40" s="26"/>
      <c r="F40" s="26"/>
      <c r="G40" s="26"/>
      <c r="H40" s="55" t="s">
        <v>110</v>
      </c>
    </row>
    <row r="41" spans="2:248">
      <c r="B41" s="27" t="s">
        <v>104</v>
      </c>
      <c r="C41" s="28"/>
      <c r="D41" s="28"/>
      <c r="E41" s="28"/>
      <c r="F41" s="28"/>
      <c r="G41" s="28"/>
      <c r="H41" s="542"/>
    </row>
    <row r="42" spans="2:248">
      <c r="B42" s="631" t="s">
        <v>105</v>
      </c>
      <c r="C42" s="631"/>
      <c r="D42" s="631"/>
      <c r="E42" s="631"/>
      <c r="F42" s="631"/>
      <c r="G42" s="631"/>
      <c r="H42" s="542"/>
    </row>
    <row r="43" spans="2:248">
      <c r="B43" s="631"/>
      <c r="C43" s="631"/>
      <c r="D43" s="631"/>
      <c r="E43" s="631"/>
      <c r="F43" s="631"/>
      <c r="G43" s="631"/>
      <c r="H43" s="542"/>
    </row>
    <row r="44" spans="2:248" ht="14.25">
      <c r="B44" s="26"/>
      <c r="C44" s="29" t="s">
        <v>106</v>
      </c>
      <c r="D44" s="30">
        <v>2206</v>
      </c>
      <c r="E44" s="364">
        <v>1</v>
      </c>
      <c r="F44" s="31"/>
      <c r="G44" s="32"/>
      <c r="H44" s="543"/>
      <c r="I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row>
    <row r="45" spans="2:248" ht="14.25">
      <c r="B45" s="26"/>
      <c r="C45" s="29" t="s">
        <v>107</v>
      </c>
      <c r="D45" s="30">
        <v>104.6</v>
      </c>
      <c r="E45" s="364">
        <v>1</v>
      </c>
      <c r="F45" s="32"/>
      <c r="G45" s="32"/>
      <c r="H45" s="544"/>
      <c r="I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c r="DQ45" s="36"/>
      <c r="DR45" s="36"/>
      <c r="DS45" s="36"/>
      <c r="DT45" s="36"/>
      <c r="DU45" s="36"/>
      <c r="DV45" s="36"/>
      <c r="DW45" s="36"/>
      <c r="DX45" s="36"/>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c r="HB45" s="36"/>
      <c r="HC45" s="36"/>
      <c r="HD45" s="36"/>
      <c r="HE45" s="36"/>
      <c r="HF45" s="36"/>
      <c r="HG45" s="36"/>
      <c r="HH45" s="36"/>
      <c r="HI45" s="36"/>
      <c r="HJ45" s="36"/>
      <c r="HK45" s="36"/>
      <c r="HL45" s="36"/>
      <c r="HM45" s="36"/>
      <c r="HN45" s="36"/>
      <c r="HO45" s="36"/>
      <c r="HP45" s="36"/>
      <c r="HQ45" s="36"/>
      <c r="HR45" s="36"/>
      <c r="HS45" s="36"/>
      <c r="HT45" s="36"/>
      <c r="HU45" s="36"/>
      <c r="HV45" s="36"/>
      <c r="HW45" s="36"/>
      <c r="HX45" s="36"/>
      <c r="HY45" s="36"/>
      <c r="HZ45" s="36"/>
      <c r="IA45" s="36"/>
      <c r="IB45" s="36"/>
      <c r="IC45" s="36"/>
      <c r="ID45" s="36"/>
      <c r="IE45" s="36"/>
      <c r="IF45" s="36"/>
      <c r="IG45" s="36"/>
      <c r="IH45" s="36"/>
      <c r="II45" s="36"/>
      <c r="IJ45" s="36"/>
      <c r="IK45" s="36"/>
      <c r="IL45" s="36"/>
      <c r="IM45" s="36"/>
      <c r="IN45" s="36"/>
    </row>
    <row r="46" spans="2:248" ht="14.25">
      <c r="B46" s="26"/>
      <c r="C46" s="29" t="s">
        <v>108</v>
      </c>
      <c r="D46" s="30">
        <f>'2 Gas Data'!L7</f>
        <v>138000</v>
      </c>
      <c r="E46" s="364" t="s">
        <v>239</v>
      </c>
      <c r="F46" s="32"/>
      <c r="G46" s="32"/>
      <c r="H46" s="544"/>
      <c r="I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c r="DQ46" s="36"/>
      <c r="DR46" s="36"/>
      <c r="DS46" s="36"/>
      <c r="DT46" s="36"/>
      <c r="DU46" s="36"/>
      <c r="DV46" s="36"/>
      <c r="DW46" s="36"/>
      <c r="DX46" s="36"/>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c r="HB46" s="36"/>
      <c r="HC46" s="36"/>
      <c r="HD46" s="36"/>
      <c r="HE46" s="36"/>
      <c r="HF46" s="36"/>
      <c r="HG46" s="36"/>
      <c r="HH46" s="36"/>
      <c r="HI46" s="36"/>
      <c r="HJ46" s="36"/>
      <c r="HK46" s="36"/>
      <c r="HL46" s="36"/>
      <c r="HM46" s="36"/>
      <c r="HN46" s="36"/>
      <c r="HO46" s="36"/>
      <c r="HP46" s="36"/>
      <c r="HQ46" s="36"/>
      <c r="HR46" s="36"/>
      <c r="HS46" s="36"/>
      <c r="HT46" s="36"/>
      <c r="HU46" s="36"/>
      <c r="HV46" s="36"/>
      <c r="HW46" s="36"/>
      <c r="HX46" s="36"/>
      <c r="HY46" s="36"/>
      <c r="HZ46" s="36"/>
      <c r="IA46" s="36"/>
      <c r="IB46" s="36"/>
      <c r="IC46" s="36"/>
      <c r="ID46" s="36"/>
      <c r="IE46" s="36"/>
      <c r="IF46" s="36"/>
      <c r="IG46" s="36"/>
      <c r="IH46" s="36"/>
      <c r="II46" s="36"/>
      <c r="IJ46" s="36"/>
      <c r="IK46" s="36"/>
      <c r="IL46" s="36"/>
      <c r="IM46" s="36"/>
      <c r="IN46" s="36"/>
    </row>
    <row r="47" spans="2:248" ht="14.25">
      <c r="B47" s="620" t="s">
        <v>351</v>
      </c>
      <c r="C47" s="620"/>
      <c r="D47" s="620"/>
      <c r="E47" s="620"/>
      <c r="F47" s="620"/>
      <c r="G47" s="620"/>
      <c r="H47" s="55" t="s">
        <v>110</v>
      </c>
    </row>
    <row r="48" spans="2:248" ht="14.25">
      <c r="B48" s="620"/>
      <c r="C48" s="620"/>
      <c r="D48" s="620"/>
      <c r="E48" s="620"/>
      <c r="F48" s="620"/>
      <c r="G48" s="620"/>
      <c r="H48" s="55"/>
    </row>
    <row r="49" spans="2:248">
      <c r="B49" s="26"/>
      <c r="C49" s="29" t="s">
        <v>109</v>
      </c>
      <c r="D49" s="30">
        <v>65</v>
      </c>
      <c r="E49" s="374"/>
      <c r="F49" s="32"/>
      <c r="G49" s="32"/>
      <c r="H49" s="544"/>
      <c r="I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c r="CA49" s="36"/>
      <c r="CB49" s="36"/>
      <c r="CC49" s="36"/>
      <c r="CD49" s="36"/>
      <c r="CE49" s="36"/>
      <c r="CF49" s="36"/>
      <c r="CG49" s="36"/>
      <c r="CH49" s="36"/>
      <c r="CI49" s="36"/>
      <c r="CJ49" s="36"/>
      <c r="CK49" s="36"/>
      <c r="CL49" s="36"/>
      <c r="CM49" s="36"/>
      <c r="CN49" s="36"/>
      <c r="CO49" s="36"/>
      <c r="CP49" s="36"/>
      <c r="CQ49" s="36"/>
      <c r="CR49" s="36"/>
      <c r="CS49" s="36"/>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c r="HB49" s="36"/>
      <c r="HC49" s="36"/>
      <c r="HD49" s="36"/>
      <c r="HE49" s="36"/>
      <c r="HF49" s="36"/>
      <c r="HG49" s="36"/>
      <c r="HH49" s="36"/>
      <c r="HI49" s="36"/>
      <c r="HJ49" s="36"/>
      <c r="HK49" s="36"/>
      <c r="HL49" s="36"/>
      <c r="HM49" s="36"/>
      <c r="HN49" s="36"/>
      <c r="HO49" s="36"/>
      <c r="HP49" s="36"/>
      <c r="HQ49" s="36"/>
      <c r="HR49" s="36"/>
      <c r="HS49" s="36"/>
      <c r="HT49" s="36"/>
      <c r="HU49" s="36"/>
      <c r="HV49" s="36"/>
      <c r="HW49" s="36"/>
      <c r="HX49" s="36"/>
      <c r="HY49" s="36"/>
      <c r="HZ49" s="36"/>
      <c r="IA49" s="36"/>
      <c r="IB49" s="36"/>
      <c r="IC49" s="36"/>
      <c r="ID49" s="36"/>
      <c r="IE49" s="36"/>
      <c r="IF49" s="36"/>
      <c r="IG49" s="36"/>
      <c r="IH49" s="36"/>
      <c r="II49" s="36"/>
      <c r="IJ49" s="36"/>
      <c r="IK49" s="36"/>
      <c r="IL49" s="36"/>
      <c r="IM49" s="36"/>
      <c r="IN49" s="36"/>
    </row>
    <row r="50" spans="2:248" ht="14.25">
      <c r="B50" s="632" t="s">
        <v>276</v>
      </c>
      <c r="C50" s="632"/>
      <c r="D50" s="632"/>
      <c r="E50" s="632"/>
      <c r="F50" s="632"/>
      <c r="G50" s="632"/>
      <c r="H50" s="55" t="s">
        <v>110</v>
      </c>
      <c r="I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c r="CA50" s="36"/>
      <c r="CB50" s="36"/>
      <c r="CC50" s="36"/>
      <c r="CD50" s="36"/>
      <c r="CE50" s="36"/>
      <c r="CF50" s="36"/>
      <c r="CG50" s="36"/>
      <c r="CH50" s="36"/>
      <c r="CI50" s="36"/>
      <c r="CJ50" s="36"/>
      <c r="CK50" s="36"/>
      <c r="CL50" s="36"/>
      <c r="CM50" s="36"/>
      <c r="CN50" s="36"/>
      <c r="CO50" s="36"/>
      <c r="CP50" s="36"/>
      <c r="CQ50" s="36"/>
      <c r="CR50" s="36"/>
      <c r="CS50" s="36"/>
      <c r="CT50" s="36"/>
      <c r="CU50" s="36"/>
      <c r="CV50" s="36"/>
      <c r="CW50" s="36"/>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c r="HB50" s="36"/>
      <c r="HC50" s="36"/>
      <c r="HD50" s="36"/>
      <c r="HE50" s="36"/>
      <c r="HF50" s="36"/>
      <c r="HG50" s="36"/>
      <c r="HH50" s="36"/>
      <c r="HI50" s="36"/>
      <c r="HJ50" s="36"/>
      <c r="HK50" s="36"/>
      <c r="HL50" s="36"/>
      <c r="HM50" s="36"/>
      <c r="HN50" s="36"/>
      <c r="HO50" s="36"/>
      <c r="HP50" s="36"/>
      <c r="HQ50" s="36"/>
      <c r="HR50" s="36"/>
      <c r="HS50" s="36"/>
      <c r="HT50" s="36"/>
      <c r="HU50" s="36"/>
      <c r="HV50" s="36"/>
      <c r="HW50" s="36"/>
      <c r="HX50" s="36"/>
      <c r="HY50" s="36"/>
      <c r="HZ50" s="36"/>
      <c r="IA50" s="36"/>
      <c r="IB50" s="36"/>
      <c r="IC50" s="36"/>
      <c r="ID50" s="36"/>
      <c r="IE50" s="36"/>
      <c r="IF50" s="36"/>
      <c r="IG50" s="36"/>
      <c r="IH50" s="36"/>
      <c r="II50" s="36"/>
      <c r="IJ50" s="36"/>
      <c r="IK50" s="36"/>
      <c r="IL50" s="36"/>
      <c r="IM50" s="36"/>
      <c r="IN50" s="36"/>
    </row>
    <row r="51" spans="2:248" ht="13.5">
      <c r="B51" s="632"/>
      <c r="C51" s="632"/>
      <c r="D51" s="632"/>
      <c r="E51" s="632"/>
      <c r="F51" s="632"/>
      <c r="G51" s="632"/>
      <c r="H51" s="545" t="s">
        <v>110</v>
      </c>
      <c r="I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c r="HB51" s="36"/>
      <c r="HC51" s="36"/>
      <c r="HD51" s="36"/>
      <c r="HE51" s="36"/>
      <c r="HF51" s="36"/>
      <c r="HG51" s="36"/>
      <c r="HH51" s="36"/>
      <c r="HI51" s="36"/>
      <c r="HJ51" s="36"/>
      <c r="HK51" s="36"/>
      <c r="HL51" s="36"/>
      <c r="HM51" s="36"/>
      <c r="HN51" s="36"/>
      <c r="HO51" s="36"/>
      <c r="HP51" s="36"/>
      <c r="HQ51" s="36"/>
      <c r="HR51" s="36"/>
      <c r="HS51" s="36"/>
      <c r="HT51" s="36"/>
      <c r="HU51" s="36"/>
      <c r="HV51" s="36"/>
      <c r="HW51" s="36"/>
      <c r="HX51" s="36"/>
      <c r="HY51" s="36"/>
      <c r="HZ51" s="36"/>
      <c r="IA51" s="36"/>
      <c r="IB51" s="36"/>
      <c r="IC51" s="36"/>
      <c r="ID51" s="36"/>
      <c r="IE51" s="36"/>
      <c r="IF51" s="36"/>
      <c r="IG51" s="36"/>
      <c r="IH51" s="36"/>
      <c r="II51" s="36"/>
      <c r="IJ51" s="36"/>
      <c r="IK51" s="36"/>
      <c r="IL51" s="36"/>
      <c r="IM51" s="36"/>
      <c r="IN51" s="36"/>
    </row>
    <row r="52" spans="2:248" ht="14.25">
      <c r="B52" s="25"/>
      <c r="C52" s="29" t="s">
        <v>111</v>
      </c>
      <c r="D52" s="30">
        <f>'2 Gas Data'!L9</f>
        <v>15</v>
      </c>
      <c r="E52" s="364" t="s">
        <v>240</v>
      </c>
      <c r="F52" s="32"/>
      <c r="G52" s="32"/>
      <c r="H52" s="544"/>
      <c r="I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row>
    <row r="53" spans="2:248">
      <c r="B53" s="34"/>
      <c r="C53" s="39" t="s">
        <v>112</v>
      </c>
      <c r="D53" s="40">
        <v>7</v>
      </c>
      <c r="E53" s="41"/>
      <c r="F53" s="35"/>
      <c r="G53" s="35"/>
      <c r="H53" s="544"/>
      <c r="I53" s="36"/>
      <c r="J53" s="36"/>
      <c r="K53" s="36"/>
      <c r="L53" s="36"/>
      <c r="M53" s="36"/>
      <c r="N53" s="36"/>
      <c r="O53" s="36"/>
      <c r="P53" s="388">
        <f>F52</f>
        <v>0</v>
      </c>
      <c r="Q53" s="388">
        <f>G52</f>
        <v>0</v>
      </c>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row>
    <row r="54" spans="2:248">
      <c r="B54" s="37"/>
      <c r="C54" s="37"/>
      <c r="D54" s="37"/>
      <c r="E54" s="37"/>
      <c r="F54" s="37"/>
      <c r="G54" s="37"/>
      <c r="H54" s="542"/>
    </row>
    <row r="55" spans="2:248">
      <c r="B55" s="12" t="s">
        <v>32</v>
      </c>
      <c r="C55" s="7"/>
      <c r="D55" s="7"/>
      <c r="E55" s="7"/>
      <c r="F55" s="7"/>
      <c r="G55" s="7"/>
      <c r="H55" s="54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36"/>
      <c r="FI55" s="36"/>
      <c r="FJ55" s="36"/>
      <c r="FK55" s="36"/>
      <c r="FL55" s="36"/>
      <c r="FM55" s="36"/>
      <c r="FN55" s="36"/>
      <c r="FO55" s="36"/>
      <c r="FP55" s="36"/>
      <c r="FQ55" s="36"/>
      <c r="FR55" s="36"/>
      <c r="FS55" s="36"/>
      <c r="FT55" s="36"/>
      <c r="FU55" s="36"/>
      <c r="FV55" s="36"/>
      <c r="FW55" s="36"/>
      <c r="FX55" s="36"/>
      <c r="FY55" s="36"/>
      <c r="FZ55" s="36"/>
      <c r="GA55" s="36"/>
      <c r="GB55" s="36"/>
      <c r="GC55" s="36"/>
      <c r="GD55" s="36"/>
      <c r="GE55" s="36"/>
      <c r="GF55" s="36"/>
      <c r="GG55" s="36"/>
      <c r="GH55" s="36"/>
      <c r="GI55" s="36"/>
      <c r="GJ55" s="36"/>
      <c r="GK55" s="36"/>
      <c r="GL55" s="36"/>
      <c r="GM55" s="36"/>
      <c r="GN55" s="36"/>
      <c r="GO55" s="36"/>
      <c r="GP55" s="36"/>
      <c r="GQ55" s="36"/>
      <c r="GR55" s="36"/>
      <c r="GS55" s="36"/>
      <c r="GT55" s="36"/>
      <c r="GU55" s="36"/>
      <c r="GV55" s="36"/>
      <c r="GW55" s="36"/>
      <c r="GX55" s="36"/>
      <c r="GY55" s="36"/>
      <c r="GZ55" s="36"/>
      <c r="HA55" s="36"/>
      <c r="HB55" s="36"/>
      <c r="HC55" s="36"/>
      <c r="HD55" s="36"/>
      <c r="HE55" s="36"/>
      <c r="HF55" s="36"/>
      <c r="HG55" s="36"/>
      <c r="HH55" s="36"/>
      <c r="HI55" s="36"/>
      <c r="HJ55" s="36"/>
      <c r="HK55" s="36"/>
      <c r="HL55" s="36"/>
      <c r="HM55" s="36"/>
      <c r="HN55" s="36"/>
      <c r="HO55" s="36"/>
      <c r="HP55" s="36"/>
      <c r="HQ55" s="36"/>
      <c r="HR55" s="36"/>
      <c r="HS55" s="36"/>
      <c r="HT55" s="36"/>
      <c r="HU55" s="36"/>
      <c r="HV55" s="36"/>
      <c r="HW55" s="36"/>
      <c r="HX55" s="36"/>
      <c r="HY55" s="36"/>
      <c r="HZ55" s="36"/>
      <c r="IA55" s="36"/>
      <c r="IB55" s="36"/>
      <c r="IC55" s="36"/>
      <c r="ID55" s="36"/>
      <c r="IE55" s="36"/>
      <c r="IF55" s="36"/>
      <c r="IG55" s="36"/>
      <c r="IH55" s="36"/>
      <c r="II55" s="36"/>
      <c r="IJ55" s="36"/>
      <c r="IK55" s="36"/>
      <c r="IL55" s="36"/>
      <c r="IM55" s="36"/>
      <c r="IN55" s="36"/>
    </row>
    <row r="56" spans="2:248" ht="14.25">
      <c r="B56" s="619" t="s">
        <v>346</v>
      </c>
      <c r="C56" s="619"/>
      <c r="D56" s="619"/>
      <c r="E56" s="619"/>
      <c r="F56" s="619"/>
      <c r="G56" s="619"/>
      <c r="H56" s="55" t="s">
        <v>110</v>
      </c>
      <c r="I56" s="138"/>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36"/>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c r="HB56" s="36"/>
      <c r="HC56" s="36"/>
      <c r="HD56" s="36"/>
      <c r="HE56" s="36"/>
      <c r="HF56" s="36"/>
      <c r="HG56" s="36"/>
      <c r="HH56" s="36"/>
      <c r="HI56" s="36"/>
      <c r="HJ56" s="36"/>
      <c r="HK56" s="36"/>
      <c r="HL56" s="36"/>
      <c r="HM56" s="36"/>
      <c r="HN56" s="36"/>
      <c r="HO56" s="36"/>
      <c r="HP56" s="36"/>
      <c r="HQ56" s="36"/>
      <c r="HR56" s="36"/>
      <c r="HS56" s="36"/>
      <c r="HT56" s="36"/>
      <c r="HU56" s="36"/>
      <c r="HV56" s="36"/>
      <c r="HW56" s="36"/>
      <c r="HX56" s="36"/>
      <c r="HY56" s="36"/>
      <c r="HZ56" s="36"/>
      <c r="IA56" s="36"/>
      <c r="IB56" s="36"/>
      <c r="IC56" s="36"/>
      <c r="ID56" s="36"/>
      <c r="IE56" s="36"/>
      <c r="IF56" s="36"/>
      <c r="IG56" s="36"/>
      <c r="IH56" s="36"/>
      <c r="II56" s="36"/>
      <c r="IJ56" s="36"/>
      <c r="IK56" s="36"/>
      <c r="IL56" s="36"/>
      <c r="IM56" s="36"/>
      <c r="IN56" s="36"/>
    </row>
    <row r="57" spans="2:248" ht="14.25">
      <c r="B57" s="633" t="s">
        <v>349</v>
      </c>
      <c r="C57" s="633"/>
      <c r="D57" s="633"/>
      <c r="E57" s="633"/>
      <c r="F57" s="633"/>
      <c r="G57" s="633"/>
      <c r="H57" s="55" t="s">
        <v>110</v>
      </c>
    </row>
    <row r="58" spans="2:248">
      <c r="B58" s="633"/>
      <c r="C58" s="633"/>
      <c r="D58" s="633"/>
      <c r="E58" s="633"/>
      <c r="F58" s="633"/>
      <c r="G58" s="633"/>
      <c r="H58" s="547"/>
    </row>
    <row r="59" spans="2:248">
      <c r="B59" s="633"/>
      <c r="C59" s="633"/>
      <c r="D59" s="633"/>
      <c r="E59" s="633"/>
      <c r="F59" s="633"/>
      <c r="G59" s="633"/>
      <c r="H59" s="547"/>
    </row>
    <row r="60" spans="2:248" ht="14.25">
      <c r="B60" s="630" t="s">
        <v>347</v>
      </c>
      <c r="C60" s="630"/>
      <c r="D60" s="630"/>
      <c r="E60" s="630"/>
      <c r="F60" s="630"/>
      <c r="G60" s="630"/>
      <c r="H60" s="55" t="s">
        <v>110</v>
      </c>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c r="HB60" s="36"/>
      <c r="HC60" s="36"/>
      <c r="HD60" s="36"/>
      <c r="HE60" s="36"/>
      <c r="HF60" s="36"/>
      <c r="HG60" s="36"/>
      <c r="HH60" s="36"/>
      <c r="HI60" s="36"/>
      <c r="HJ60" s="36"/>
      <c r="HK60" s="36"/>
      <c r="HL60" s="36"/>
      <c r="HM60" s="36"/>
      <c r="HN60" s="36"/>
      <c r="HO60" s="36"/>
      <c r="HP60" s="36"/>
      <c r="HQ60" s="36"/>
      <c r="HR60" s="36"/>
      <c r="HS60" s="36"/>
      <c r="HT60" s="36"/>
      <c r="HU60" s="36"/>
      <c r="HV60" s="36"/>
      <c r="HW60" s="36"/>
      <c r="HX60" s="36"/>
      <c r="HY60" s="36"/>
      <c r="HZ60" s="36"/>
      <c r="IA60" s="36"/>
      <c r="IB60" s="36"/>
      <c r="IC60" s="36"/>
      <c r="ID60" s="36"/>
      <c r="IE60" s="36"/>
      <c r="IF60" s="36"/>
      <c r="IG60" s="36"/>
      <c r="IH60" s="36"/>
      <c r="II60" s="36"/>
      <c r="IJ60" s="36"/>
      <c r="IK60" s="36"/>
      <c r="IL60" s="36"/>
      <c r="IM60" s="36"/>
      <c r="IN60" s="36"/>
    </row>
    <row r="61" spans="2:248">
      <c r="B61" s="630"/>
      <c r="C61" s="630"/>
      <c r="D61" s="630"/>
      <c r="E61" s="630"/>
      <c r="F61" s="630"/>
      <c r="G61" s="630"/>
      <c r="H61" s="54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36"/>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c r="HB61" s="36"/>
      <c r="HC61" s="36"/>
      <c r="HD61" s="36"/>
      <c r="HE61" s="36"/>
      <c r="HF61" s="36"/>
      <c r="HG61" s="36"/>
      <c r="HH61" s="36"/>
      <c r="HI61" s="36"/>
      <c r="HJ61" s="36"/>
      <c r="HK61" s="36"/>
      <c r="HL61" s="36"/>
      <c r="HM61" s="36"/>
      <c r="HN61" s="36"/>
      <c r="HO61" s="36"/>
      <c r="HP61" s="36"/>
      <c r="HQ61" s="36"/>
      <c r="HR61" s="36"/>
      <c r="HS61" s="36"/>
      <c r="HT61" s="36"/>
      <c r="HU61" s="36"/>
      <c r="HV61" s="36"/>
      <c r="HW61" s="36"/>
      <c r="HX61" s="36"/>
      <c r="HY61" s="36"/>
      <c r="HZ61" s="36"/>
      <c r="IA61" s="36"/>
      <c r="IB61" s="36"/>
      <c r="IC61" s="36"/>
      <c r="ID61" s="36"/>
      <c r="IE61" s="36"/>
      <c r="IF61" s="36"/>
      <c r="IG61" s="36"/>
      <c r="IH61" s="36"/>
      <c r="II61" s="36"/>
      <c r="IJ61" s="36"/>
      <c r="IK61" s="36"/>
      <c r="IL61" s="36"/>
      <c r="IM61" s="36"/>
      <c r="IN61" s="36"/>
    </row>
    <row r="62" spans="2:248" ht="14.25">
      <c r="B62" s="619" t="s">
        <v>352</v>
      </c>
      <c r="C62" s="619"/>
      <c r="D62" s="619"/>
      <c r="E62" s="619"/>
      <c r="F62" s="619"/>
      <c r="G62" s="619"/>
      <c r="H62" s="55" t="s">
        <v>110</v>
      </c>
    </row>
    <row r="63" spans="2:248" ht="14.25">
      <c r="B63" s="533" t="s">
        <v>353</v>
      </c>
      <c r="C63" s="235"/>
      <c r="D63" s="235"/>
      <c r="E63" s="235"/>
      <c r="F63" s="235"/>
      <c r="G63" s="235"/>
      <c r="H63" s="55" t="s">
        <v>110</v>
      </c>
    </row>
    <row r="64" spans="2:248">
      <c r="B64" s="283"/>
      <c r="C64" s="38"/>
      <c r="D64" s="38"/>
      <c r="E64" s="38"/>
      <c r="F64" s="38"/>
      <c r="G64" s="38"/>
    </row>
    <row r="65" spans="2:8">
      <c r="B65" s="390"/>
      <c r="C65" s="14"/>
      <c r="D65" s="14"/>
      <c r="E65" s="14"/>
      <c r="F65" s="14"/>
      <c r="G65" s="14"/>
      <c r="H65" s="542"/>
    </row>
    <row r="66" spans="2:8">
      <c r="B66" s="14"/>
      <c r="C66" s="14"/>
      <c r="D66" s="14"/>
      <c r="E66" s="14"/>
      <c r="F66" s="14"/>
      <c r="G66" s="14"/>
      <c r="H66" s="542"/>
    </row>
    <row r="67" spans="2:8">
      <c r="B67" s="1"/>
      <c r="C67" s="1"/>
      <c r="D67" s="1"/>
      <c r="E67" s="1"/>
      <c r="F67" s="1"/>
      <c r="G67" s="1"/>
      <c r="H67" s="71"/>
    </row>
    <row r="68" spans="2:8">
      <c r="B68" s="1"/>
      <c r="C68" s="1"/>
      <c r="D68" s="1"/>
      <c r="E68" s="1"/>
      <c r="F68" s="1"/>
      <c r="G68" s="1"/>
      <c r="H68" s="71"/>
    </row>
    <row r="69" spans="2:8">
      <c r="B69" s="284"/>
      <c r="C69" s="284"/>
      <c r="D69" s="284"/>
      <c r="E69" s="284"/>
      <c r="F69" s="284"/>
      <c r="G69" s="284"/>
      <c r="H69" s="548"/>
    </row>
    <row r="70" spans="2:8">
      <c r="B70" s="285"/>
      <c r="C70" s="285"/>
      <c r="D70" s="285"/>
      <c r="E70" s="285"/>
      <c r="F70" s="285"/>
      <c r="G70" s="285"/>
      <c r="H70" s="548"/>
    </row>
    <row r="71" spans="2:8">
      <c r="B71" s="285"/>
      <c r="C71" s="285"/>
      <c r="D71" s="285"/>
      <c r="E71" s="285"/>
      <c r="F71" s="285"/>
      <c r="G71" s="285"/>
      <c r="H71" s="548"/>
    </row>
    <row r="72" spans="2:8">
      <c r="B72" s="285"/>
      <c r="C72" s="285"/>
      <c r="D72" s="285"/>
      <c r="E72" s="285"/>
      <c r="F72" s="285"/>
      <c r="G72" s="285"/>
      <c r="H72" s="548"/>
    </row>
    <row r="73" spans="2:8">
      <c r="B73" s="285"/>
      <c r="C73" s="285"/>
      <c r="D73" s="285"/>
      <c r="E73" s="285"/>
      <c r="F73" s="285"/>
      <c r="G73" s="285"/>
      <c r="H73" s="548"/>
    </row>
    <row r="74" spans="2:8">
      <c r="B74" s="285"/>
      <c r="C74" s="285"/>
      <c r="D74" s="285"/>
      <c r="E74" s="285"/>
      <c r="F74" s="285"/>
      <c r="G74" s="285"/>
    </row>
    <row r="75" spans="2:8">
      <c r="B75" s="285"/>
      <c r="C75" s="285"/>
      <c r="D75" s="285"/>
      <c r="E75" s="285"/>
      <c r="F75" s="285"/>
      <c r="G75" s="285"/>
    </row>
  </sheetData>
  <mergeCells count="8">
    <mergeCell ref="B62:G62"/>
    <mergeCell ref="B47:G48"/>
    <mergeCell ref="C3:E5"/>
    <mergeCell ref="B60:G61"/>
    <mergeCell ref="B42:G43"/>
    <mergeCell ref="B50:G51"/>
    <mergeCell ref="B56:G56"/>
    <mergeCell ref="B57:G59"/>
  </mergeCells>
  <printOptions horizontalCentered="1"/>
  <pageMargins left="0.75" right="0.75" top="1.5006250000000001" bottom="1" header="0.75" footer="0.5"/>
  <pageSetup scale="98" orientation="portrait" r:id="rId1"/>
  <headerFooter>
    <oddHeader>&amp;C&amp;"-,Bold"Attachment A-3
Potential Emissions for Emergency Generator
Puget Sound Energy - Liquefied Natural Gas Project
Tacoma, Washington&amp;R&amp;8Page &amp;P of &amp;N</oddHeader>
  </headerFooter>
  <rowBreaks count="1" manualBreakCount="1">
    <brk id="46" min="1"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N83"/>
  <sheetViews>
    <sheetView tabSelected="1" zoomScale="85" zoomScaleNormal="85" workbookViewId="0">
      <pane xSplit="2" ySplit="4" topLeftCell="C5" activePane="bottomRight" state="frozen"/>
      <selection activeCell="N7" sqref="N7:N13"/>
      <selection pane="topRight" activeCell="N7" sqref="N7:N13"/>
      <selection pane="bottomLeft" activeCell="N7" sqref="N7:N13"/>
      <selection pane="bottomRight" activeCell="B58" sqref="B58"/>
    </sheetView>
  </sheetViews>
  <sheetFormatPr defaultColWidth="8.85546875" defaultRowHeight="12"/>
  <cols>
    <col min="1" max="1" width="8.85546875" style="1"/>
    <col min="2" max="2" width="30.140625" style="1" customWidth="1"/>
    <col min="3" max="30" width="0" style="319" hidden="1" customWidth="1"/>
    <col min="31" max="36" width="12.140625" style="455" hidden="1" customWidth="1"/>
    <col min="37" max="39" width="12.140625" style="455" customWidth="1"/>
    <col min="40" max="16384" width="8.85546875" style="1"/>
  </cols>
  <sheetData>
    <row r="1" spans="1:40">
      <c r="A1" s="434"/>
      <c r="B1" s="329"/>
      <c r="AE1" s="319"/>
      <c r="AF1" s="319"/>
      <c r="AG1" s="319"/>
      <c r="AH1" s="319"/>
      <c r="AI1" s="452"/>
      <c r="AJ1" s="452"/>
      <c r="AK1" s="452"/>
      <c r="AL1" s="452"/>
      <c r="AM1" s="452"/>
    </row>
    <row r="2" spans="1:40" ht="24.6" customHeight="1" thickBot="1">
      <c r="A2" s="434"/>
      <c r="B2" s="515" t="s">
        <v>310</v>
      </c>
      <c r="C2" s="634" t="s">
        <v>319</v>
      </c>
      <c r="D2" s="634"/>
      <c r="E2" s="634" t="s">
        <v>318</v>
      </c>
      <c r="F2" s="634"/>
      <c r="G2" s="634" t="s">
        <v>321</v>
      </c>
      <c r="H2" s="634"/>
      <c r="I2" s="634" t="s">
        <v>322</v>
      </c>
      <c r="J2" s="634"/>
      <c r="K2" s="516" t="s">
        <v>316</v>
      </c>
      <c r="L2" s="516"/>
      <c r="M2" s="634" t="s">
        <v>320</v>
      </c>
      <c r="N2" s="634"/>
      <c r="O2" s="634" t="s">
        <v>323</v>
      </c>
      <c r="P2" s="634"/>
      <c r="Q2" s="634" t="s">
        <v>324</v>
      </c>
      <c r="R2" s="634"/>
      <c r="S2" s="634" t="s">
        <v>332</v>
      </c>
      <c r="T2" s="634"/>
      <c r="U2" s="642" t="s">
        <v>317</v>
      </c>
      <c r="V2" s="642"/>
      <c r="W2" s="634" t="s">
        <v>328</v>
      </c>
      <c r="X2" s="634"/>
      <c r="Y2" s="634" t="s">
        <v>329</v>
      </c>
      <c r="Z2" s="634"/>
      <c r="AA2" s="634" t="s">
        <v>330</v>
      </c>
      <c r="AB2" s="634"/>
      <c r="AC2" s="641" t="s">
        <v>331</v>
      </c>
      <c r="AD2" s="641"/>
      <c r="AE2" s="174"/>
      <c r="AF2" s="174"/>
      <c r="AG2" s="174"/>
      <c r="AH2" s="174"/>
      <c r="AI2" s="174"/>
      <c r="AJ2" s="453"/>
      <c r="AK2" s="453"/>
      <c r="AL2" s="453"/>
      <c r="AM2" s="453"/>
    </row>
    <row r="3" spans="1:40">
      <c r="A3" s="434"/>
      <c r="B3" s="512"/>
      <c r="C3" s="635" t="s">
        <v>312</v>
      </c>
      <c r="D3" s="636"/>
      <c r="E3" s="635" t="s">
        <v>309</v>
      </c>
      <c r="F3" s="636"/>
      <c r="G3" s="639" t="s">
        <v>327</v>
      </c>
      <c r="H3" s="640"/>
      <c r="I3" s="640"/>
      <c r="J3" s="640"/>
      <c r="K3" s="640"/>
      <c r="L3" s="640"/>
      <c r="M3" s="640" t="s">
        <v>326</v>
      </c>
      <c r="N3" s="640"/>
      <c r="O3" s="640"/>
      <c r="P3" s="640"/>
      <c r="Q3" s="640"/>
      <c r="R3" s="640"/>
      <c r="S3" s="640"/>
      <c r="T3" s="640"/>
      <c r="U3" s="640"/>
      <c r="V3" s="640"/>
      <c r="W3" s="640" t="s">
        <v>313</v>
      </c>
      <c r="X3" s="640"/>
      <c r="Y3" s="640"/>
      <c r="Z3" s="640"/>
      <c r="AA3" s="640"/>
      <c r="AB3" s="640"/>
      <c r="AC3" s="640"/>
      <c r="AD3" s="653"/>
      <c r="AE3" s="649" t="s">
        <v>343</v>
      </c>
      <c r="AF3" s="650"/>
      <c r="AG3" s="650"/>
      <c r="AH3" s="651"/>
      <c r="AI3" s="652" t="s">
        <v>342</v>
      </c>
      <c r="AJ3" s="650"/>
      <c r="AK3" s="643" t="s">
        <v>261</v>
      </c>
      <c r="AL3" s="644"/>
      <c r="AM3" s="1"/>
    </row>
    <row r="4" spans="1:40" ht="12.75" thickBot="1">
      <c r="A4" s="437" t="s">
        <v>302</v>
      </c>
      <c r="B4" s="514" t="s">
        <v>30</v>
      </c>
      <c r="C4" s="637"/>
      <c r="D4" s="638"/>
      <c r="E4" s="637"/>
      <c r="F4" s="638"/>
      <c r="G4" s="647" t="s">
        <v>232</v>
      </c>
      <c r="H4" s="647"/>
      <c r="I4" s="648" t="s">
        <v>274</v>
      </c>
      <c r="J4" s="647"/>
      <c r="K4" s="648" t="s">
        <v>325</v>
      </c>
      <c r="L4" s="647"/>
      <c r="M4" s="648" t="s">
        <v>161</v>
      </c>
      <c r="N4" s="647"/>
      <c r="O4" s="648" t="s">
        <v>125</v>
      </c>
      <c r="P4" s="647"/>
      <c r="Q4" s="648" t="s">
        <v>126</v>
      </c>
      <c r="R4" s="647"/>
      <c r="S4" s="648" t="s">
        <v>127</v>
      </c>
      <c r="T4" s="647"/>
      <c r="U4" s="474" t="s">
        <v>325</v>
      </c>
      <c r="V4" s="475"/>
      <c r="W4" s="648" t="s">
        <v>258</v>
      </c>
      <c r="X4" s="647"/>
      <c r="Y4" s="648" t="s">
        <v>259</v>
      </c>
      <c r="Z4" s="647"/>
      <c r="AA4" s="648" t="s">
        <v>260</v>
      </c>
      <c r="AB4" s="647"/>
      <c r="AC4" s="648" t="s">
        <v>325</v>
      </c>
      <c r="AD4" s="654"/>
      <c r="AE4" s="476" t="s">
        <v>252</v>
      </c>
      <c r="AF4" s="475"/>
      <c r="AG4" s="475" t="s">
        <v>251</v>
      </c>
      <c r="AH4" s="475"/>
      <c r="AI4" s="475" t="s">
        <v>367</v>
      </c>
      <c r="AJ4" s="477"/>
      <c r="AK4" s="645"/>
      <c r="AL4" s="646"/>
      <c r="AM4" s="1"/>
    </row>
    <row r="5" spans="1:40" ht="12.75" thickTop="1">
      <c r="B5" s="402"/>
      <c r="C5" s="456" t="s">
        <v>148</v>
      </c>
      <c r="D5" s="457" t="s">
        <v>149</v>
      </c>
      <c r="E5" s="456" t="s">
        <v>148</v>
      </c>
      <c r="F5" s="457" t="s">
        <v>149</v>
      </c>
      <c r="G5" s="456" t="s">
        <v>148</v>
      </c>
      <c r="H5" s="457" t="s">
        <v>149</v>
      </c>
      <c r="I5" s="458" t="s">
        <v>148</v>
      </c>
      <c r="J5" s="457" t="s">
        <v>149</v>
      </c>
      <c r="K5" s="458" t="s">
        <v>148</v>
      </c>
      <c r="L5" s="457" t="s">
        <v>149</v>
      </c>
      <c r="M5" s="458" t="s">
        <v>148</v>
      </c>
      <c r="N5" s="457" t="s">
        <v>149</v>
      </c>
      <c r="O5" s="458" t="s">
        <v>148</v>
      </c>
      <c r="P5" s="457" t="s">
        <v>149</v>
      </c>
      <c r="Q5" s="458" t="s">
        <v>148</v>
      </c>
      <c r="R5" s="457" t="s">
        <v>149</v>
      </c>
      <c r="S5" s="458" t="s">
        <v>148</v>
      </c>
      <c r="T5" s="457" t="s">
        <v>149</v>
      </c>
      <c r="U5" s="458" t="s">
        <v>148</v>
      </c>
      <c r="V5" s="457" t="s">
        <v>149</v>
      </c>
      <c r="W5" s="458" t="s">
        <v>148</v>
      </c>
      <c r="X5" s="457" t="s">
        <v>149</v>
      </c>
      <c r="Y5" s="458" t="s">
        <v>148</v>
      </c>
      <c r="Z5" s="457" t="s">
        <v>149</v>
      </c>
      <c r="AA5" s="458" t="s">
        <v>148</v>
      </c>
      <c r="AB5" s="457" t="s">
        <v>149</v>
      </c>
      <c r="AC5" s="459" t="s">
        <v>148</v>
      </c>
      <c r="AD5" s="460" t="s">
        <v>149</v>
      </c>
      <c r="AE5" s="461" t="s">
        <v>148</v>
      </c>
      <c r="AF5" s="457" t="s">
        <v>149</v>
      </c>
      <c r="AG5" s="458" t="s">
        <v>148</v>
      </c>
      <c r="AH5" s="457" t="s">
        <v>149</v>
      </c>
      <c r="AI5" s="458" t="s">
        <v>148</v>
      </c>
      <c r="AJ5" s="466" t="s">
        <v>149</v>
      </c>
      <c r="AK5" s="468" t="s">
        <v>148</v>
      </c>
      <c r="AL5" s="469" t="s">
        <v>149</v>
      </c>
      <c r="AM5" s="469" t="s">
        <v>368</v>
      </c>
      <c r="AN5" s="1" t="s">
        <v>371</v>
      </c>
    </row>
    <row r="6" spans="1:40" ht="13.5">
      <c r="A6" s="398" t="s">
        <v>300</v>
      </c>
      <c r="B6" s="83" t="s">
        <v>185</v>
      </c>
      <c r="C6" s="328">
        <v>0</v>
      </c>
      <c r="D6" s="438">
        <v>0</v>
      </c>
      <c r="E6" s="322">
        <f>INDEX('3 Vapor'!E:E,MATCH($A6,'3 Vapor'!$A:$A,0))</f>
        <v>0.45894013171906201</v>
      </c>
      <c r="F6" s="439">
        <f>INDEX('3 Vapor'!F:F,MATCH($A6,'3 Vapor'!$A:$A,0))</f>
        <v>5.5072815806287437E-2</v>
      </c>
      <c r="G6" s="322">
        <f>INDEX('9 Flare Hold'!$F:$F,MATCH(Scenarios!$A6,'9 Flare Hold'!$A:$A,0))</f>
        <v>6.8052287581699357E-3</v>
      </c>
      <c r="H6" s="439">
        <f>INDEX('9 Flare Hold'!$G:$G,MATCH(Scenarios!$A6,'9 Flare Hold'!$A:$A,0))</f>
        <v>2.980690196078432E-2</v>
      </c>
      <c r="I6" s="126">
        <f>INDEX('5 Flare2'!$F:$F,MATCH(Scenarios!$A6,'5 Flare2'!$A:$A,0))</f>
        <v>1.8559150326797384E-2</v>
      </c>
      <c r="J6" s="436">
        <f>INDEX('5 Flare2'!$G:$G,MATCH(Scenarios!$A6,'5 Flare2'!$A:$A,0))</f>
        <v>8.128907843137255E-2</v>
      </c>
      <c r="K6" s="126">
        <f>MAX(Scenarios!I6,G6)</f>
        <v>1.8559150326797384E-2</v>
      </c>
      <c r="L6" s="436">
        <f>MAX(Scenarios!J6,H6)</f>
        <v>8.128907843137255E-2</v>
      </c>
      <c r="M6" s="126">
        <f>INDEX('4 Flare1'!$F:$F,MATCH(Scenarios!$A6,'4 Flare1'!$A:$A,0))</f>
        <v>7.5813725490196091E-2</v>
      </c>
      <c r="N6" s="436">
        <f>INDEX('4 Flare1'!$G:$G,MATCH(Scenarios!$A6,'4 Flare1'!$A:$A,0))</f>
        <v>0.3320641176470589</v>
      </c>
      <c r="O6" s="126">
        <f>INDEX('6 Flare3'!$F:$F,MATCH(Scenarios!$A6,'6 Flare3'!$A:$A,0))</f>
        <v>0.25674836601307188</v>
      </c>
      <c r="P6" s="436">
        <f>INDEX('6 Flare3'!$G:$G,MATCH(Scenarios!$A6,'6 Flare3'!$A:$A,0))</f>
        <v>1.1245578431372549</v>
      </c>
      <c r="Q6" s="323">
        <f>INDEX('7 Flare4'!$F:$F,MATCH(Scenarios!$A6,'7 Flare4'!$A:$A,0))</f>
        <v>0.26560882352941173</v>
      </c>
      <c r="R6" s="439">
        <f>INDEX('7 Flare4'!$G:$G,MATCH(Scenarios!$A6,'7 Flare4'!$A:$A,0))</f>
        <v>1.1633666470588235</v>
      </c>
      <c r="S6" s="323">
        <f>INDEX('8 Flare5'!$F:$F,MATCH(Scenarios!$A6,'8 Flare5'!$A:$A,0))</f>
        <v>0.27701813725490199</v>
      </c>
      <c r="T6" s="439">
        <f>INDEX('8 Flare5'!$G:$G,MATCH(Scenarios!$A6,'8 Flare5'!$A:$A,0))</f>
        <v>1.2133394411764706</v>
      </c>
      <c r="U6" s="126">
        <f t="shared" ref="U6:V57" si="0">MAX(M6,O6,Q6,S6)</f>
        <v>0.27701813725490199</v>
      </c>
      <c r="V6" s="436">
        <f t="shared" si="0"/>
        <v>1.2133394411764706</v>
      </c>
      <c r="W6" s="323">
        <f>INDEX('10 Flare Purge A1'!$F:$F,MATCH(Scenarios!$A6,'10 Flare Purge A1'!$A:$A,0))</f>
        <v>1.8327342047930281E-2</v>
      </c>
      <c r="X6" s="439">
        <f>INDEX('10 Flare Purge A1'!$G:$G,MATCH(Scenarios!$A6,'10 Flare Purge A1'!$A:$A,0))</f>
        <v>9.5302178649237467E-4</v>
      </c>
      <c r="Y6" s="323">
        <f>INDEX('11 Flare Purge A2'!$F:$F,MATCH(Scenarios!$A6,'11 Flare Purge A2'!$A:$A,0))</f>
        <v>1.5709150326797386E-2</v>
      </c>
      <c r="Z6" s="439">
        <f>INDEX('11 Flare Purge A2'!$G:$G,MATCH(Scenarios!$A6,'11 Flare Purge A2'!$A:$A,0))</f>
        <v>3.8035780228758173E-3</v>
      </c>
      <c r="AA6" s="323">
        <f>INDEX('12 Flare Purge B'!$F:$F,MATCH(Scenarios!$A6,'12 Flare Purge B'!$A:$A,0))</f>
        <v>6.9120261437908498E-3</v>
      </c>
      <c r="AB6" s="439">
        <f>INDEX('12 Flare Purge B'!$G:$G,MATCH(Scenarios!$A6,'12 Flare Purge B'!$A:$A,0))</f>
        <v>3.594253594771242E-4</v>
      </c>
      <c r="AC6" s="126">
        <f t="shared" ref="AC6:AD24" si="1">MAX(W6,Y6,AA6)</f>
        <v>1.8327342047930281E-2</v>
      </c>
      <c r="AD6" s="435">
        <f t="shared" si="1"/>
        <v>3.8035780228758173E-3</v>
      </c>
      <c r="AE6" s="462">
        <f t="shared" ref="AE6:AF57" si="2">K6+AC6</f>
        <v>3.6886492374727665E-2</v>
      </c>
      <c r="AF6" s="436">
        <f t="shared" si="2"/>
        <v>8.5092656454248364E-2</v>
      </c>
      <c r="AG6" s="126">
        <f t="shared" ref="AG6:AH57" si="3">U6+AC6</f>
        <v>0.29534547930283228</v>
      </c>
      <c r="AH6" s="436">
        <f t="shared" si="3"/>
        <v>1.2171430191993464</v>
      </c>
      <c r="AI6" s="126">
        <f t="shared" ref="AI6:AI57" si="4">G6+AC6+E6</f>
        <v>0.48407270252516221</v>
      </c>
      <c r="AJ6" s="435">
        <f>H6*240/8760+AD6+F6+MAX(Scenarios!J6,N6,P6,R6,T6)*8520/8760</f>
        <v>1.2397902859860259</v>
      </c>
      <c r="AK6" s="470">
        <f t="shared" ref="AK6:AL57" si="5">MAX(AE6,AG6,AI6)+C6</f>
        <v>0.48407270252516221</v>
      </c>
      <c r="AL6" s="471">
        <f t="shared" si="5"/>
        <v>1.2397902859860259</v>
      </c>
      <c r="AM6" s="471">
        <f>AL6*2000</f>
        <v>2479.580571972052</v>
      </c>
    </row>
    <row r="7" spans="1:40" ht="13.5">
      <c r="A7" s="398">
        <v>2025884</v>
      </c>
      <c r="B7" s="83" t="s">
        <v>184</v>
      </c>
      <c r="C7" s="328">
        <v>0</v>
      </c>
      <c r="D7" s="438">
        <v>0</v>
      </c>
      <c r="E7" s="322">
        <f>INDEX('3 Vapor'!E:E,MATCH($A7,'3 Vapor'!$A:$A,0))</f>
        <v>0.13802710728392845</v>
      </c>
      <c r="F7" s="439">
        <f>INDEX('3 Vapor'!F:F,MATCH($A7,'3 Vapor'!$A:$A,0))</f>
        <v>1.6563252874071413E-2</v>
      </c>
      <c r="G7" s="322">
        <f>INDEX('9 Flare Hold'!$F:$F,MATCH(Scenarios!$A7,'9 Flare Hold'!$A:$A,0))</f>
        <v>1.3666569521611903E-3</v>
      </c>
      <c r="H7" s="439">
        <f>INDEX('9 Flare Hold'!$G:$G,MATCH(Scenarios!$A7,'9 Flare Hold'!$A:$A,0))</f>
        <v>5.9859574504660135E-3</v>
      </c>
      <c r="I7" s="126">
        <f>INDEX('5 Flare2'!$F:$F,MATCH(Scenarios!$A7,'5 Flare2'!$A:$A,0))</f>
        <v>0.96010944253145381</v>
      </c>
      <c r="J7" s="436">
        <f>INDEX('5 Flare2'!$G:$G,MATCH(Scenarios!$A7,'5 Flare2'!$A:$A,0))</f>
        <v>4.2052793582877674</v>
      </c>
      <c r="K7" s="126">
        <f t="shared" ref="K7:L57" si="6">MAX(I7,G7)</f>
        <v>0.96010944253145381</v>
      </c>
      <c r="L7" s="436">
        <f t="shared" si="6"/>
        <v>4.2052793582877674</v>
      </c>
      <c r="M7" s="126">
        <f>INDEX('4 Flare1'!$F:$F,MATCH(Scenarios!$A7,'4 Flare1'!$A:$A,0))</f>
        <v>2.0827168687766453</v>
      </c>
      <c r="N7" s="436">
        <f>INDEX('4 Flare1'!$G:$G,MATCH(Scenarios!$A7,'4 Flare1'!$A:$A,0))</f>
        <v>9.1222998852417057</v>
      </c>
      <c r="O7" s="126">
        <f>INDEX('6 Flare3'!$F:$F,MATCH(Scenarios!$A7,'6 Flare3'!$A:$A,0))</f>
        <v>1.8991069981969959</v>
      </c>
      <c r="P7" s="436">
        <f>INDEX('6 Flare3'!$G:$G,MATCH(Scenarios!$A7,'6 Flare3'!$A:$A,0))</f>
        <v>8.3180886521028423</v>
      </c>
      <c r="Q7" s="323">
        <f>INDEX('7 Flare4'!$F:$F,MATCH(Scenarios!$A7,'7 Flare4'!$A:$A,0))</f>
        <v>1.9462789485060688</v>
      </c>
      <c r="R7" s="439">
        <f>INDEX('7 Flare4'!$G:$G,MATCH(Scenarios!$A7,'7 Flare4'!$A:$A,0))</f>
        <v>8.5247017944565808</v>
      </c>
      <c r="S7" s="323">
        <f>INDEX('8 Flare5'!$F:$F,MATCH(Scenarios!$A7,'8 Flare5'!$A:$A,0))</f>
        <v>2.0563044808848687</v>
      </c>
      <c r="T7" s="439">
        <f>INDEX('8 Flare5'!$G:$G,MATCH(Scenarios!$A7,'8 Flare5'!$A:$A,0))</f>
        <v>9.0066136262757244</v>
      </c>
      <c r="U7" s="126">
        <f t="shared" si="0"/>
        <v>2.0827168687766453</v>
      </c>
      <c r="V7" s="436">
        <f t="shared" si="0"/>
        <v>9.1222998852417057</v>
      </c>
      <c r="W7" s="323">
        <f>INDEX('10 Flare Purge A1'!$F:$F,MATCH(Scenarios!$A7,'10 Flare Purge A1'!$A:$A,0))</f>
        <v>0</v>
      </c>
      <c r="X7" s="439">
        <f>INDEX('10 Flare Purge A1'!$G:$G,MATCH(Scenarios!$A7,'10 Flare Purge A1'!$A:$A,0))</f>
        <v>0</v>
      </c>
      <c r="Y7" s="323">
        <f>INDEX('11 Flare Purge A2'!$F:$F,MATCH(Scenarios!$A7,'11 Flare Purge A2'!$A:$A,0))</f>
        <v>0</v>
      </c>
      <c r="Z7" s="439">
        <f>INDEX('11 Flare Purge A2'!$G:$G,MATCH(Scenarios!$A7,'11 Flare Purge A2'!$A:$A,0))</f>
        <v>0</v>
      </c>
      <c r="AA7" s="323">
        <f>INDEX('12 Flare Purge B'!$F:$F,MATCH(Scenarios!$A7,'12 Flare Purge B'!$A:$A,0))</f>
        <v>0</v>
      </c>
      <c r="AB7" s="439">
        <f>INDEX('12 Flare Purge B'!$G:$G,MATCH(Scenarios!$A7,'12 Flare Purge B'!$A:$A,0))</f>
        <v>0</v>
      </c>
      <c r="AC7" s="126">
        <f t="shared" si="1"/>
        <v>0</v>
      </c>
      <c r="AD7" s="435">
        <f t="shared" si="1"/>
        <v>0</v>
      </c>
      <c r="AE7" s="462">
        <f t="shared" si="2"/>
        <v>0.96010944253145381</v>
      </c>
      <c r="AF7" s="436">
        <f t="shared" si="2"/>
        <v>4.2052793582877674</v>
      </c>
      <c r="AG7" s="126">
        <f t="shared" si="3"/>
        <v>2.0827168687766453</v>
      </c>
      <c r="AH7" s="436">
        <f t="shared" si="3"/>
        <v>9.1222998852417057</v>
      </c>
      <c r="AI7" s="126">
        <f t="shared" si="4"/>
        <v>0.13939376423608962</v>
      </c>
      <c r="AJ7" s="435">
        <f t="shared" ref="AJ7:AJ57" si="7">H7*240/8760+AD7+F7+MAX(J7,N7,P7,R7,T7)*8520/8760</f>
        <v>8.8891011126968387</v>
      </c>
      <c r="AK7" s="470">
        <f t="shared" si="5"/>
        <v>2.0827168687766453</v>
      </c>
      <c r="AL7" s="471">
        <f t="shared" si="5"/>
        <v>9.1222998852417057</v>
      </c>
      <c r="AM7" s="471">
        <f t="shared" ref="AM7:AM57" si="8">AL7*2000</f>
        <v>18244.599770483412</v>
      </c>
      <c r="AN7" s="1" t="s">
        <v>370</v>
      </c>
    </row>
    <row r="8" spans="1:40" ht="13.5">
      <c r="A8" s="398" t="s">
        <v>311</v>
      </c>
      <c r="B8" s="83" t="s">
        <v>213</v>
      </c>
      <c r="C8" s="328">
        <v>0</v>
      </c>
      <c r="D8" s="438">
        <v>0</v>
      </c>
      <c r="E8" s="322">
        <f>INDEX('3 Vapor'!E:E,MATCH($A8,'3 Vapor'!$A:$A,0))</f>
        <v>0.71986300080667032</v>
      </c>
      <c r="F8" s="439">
        <f>INDEX('3 Vapor'!F:F,MATCH($A8,'3 Vapor'!$A:$A,0))</f>
        <v>8.6383560096800441E-2</v>
      </c>
      <c r="G8" s="322">
        <f>INDEX('9 Flare Hold'!$F:$F,MATCH(Scenarios!$A8,'9 Flare Hold'!$A:$A,0))</f>
        <v>5.8000000000000003E-2</v>
      </c>
      <c r="H8" s="439">
        <f>INDEX('9 Flare Hold'!$G:$G,MATCH(Scenarios!$A8,'9 Flare Hold'!$A:$A,0))</f>
        <v>0.25404000000000004</v>
      </c>
      <c r="I8" s="126">
        <f>INDEX('5 Flare2'!$F:$F,MATCH(Scenarios!$A8,'5 Flare2'!$A:$A,0))</f>
        <v>0.16400000000000001</v>
      </c>
      <c r="J8" s="436">
        <f>INDEX('5 Flare2'!$G:$G,MATCH(Scenarios!$A8,'5 Flare2'!$A:$A,0))</f>
        <v>0.71832000000000007</v>
      </c>
      <c r="K8" s="126">
        <f t="shared" si="6"/>
        <v>0.16400000000000001</v>
      </c>
      <c r="L8" s="436">
        <f t="shared" si="6"/>
        <v>0.71832000000000007</v>
      </c>
      <c r="M8" s="126">
        <f>INDEX('4 Flare1'!$F:$F,MATCH(Scenarios!$A8,'4 Flare1'!$A:$A,0))</f>
        <v>0.23899999999999996</v>
      </c>
      <c r="N8" s="436">
        <f>INDEX('4 Flare1'!$G:$G,MATCH(Scenarios!$A8,'4 Flare1'!$A:$A,0))</f>
        <v>1.0468199999999999</v>
      </c>
      <c r="O8" s="126">
        <f>INDEX('6 Flare3'!$F:$F,MATCH(Scenarios!$A8,'6 Flare3'!$A:$A,0))</f>
        <v>0.79200000000000004</v>
      </c>
      <c r="P8" s="436">
        <f>INDEX('6 Flare3'!$G:$G,MATCH(Scenarios!$A8,'6 Flare3'!$A:$A,0))</f>
        <v>3.46896</v>
      </c>
      <c r="Q8" s="323">
        <f>INDEX('7 Flare4'!$F:$F,MATCH(Scenarios!$A8,'7 Flare4'!$A:$A,0))</f>
        <v>0.82</v>
      </c>
      <c r="R8" s="439">
        <f>INDEX('7 Flare4'!$G:$G,MATCH(Scenarios!$A8,'7 Flare4'!$A:$A,0))</f>
        <v>3.5916000000000001</v>
      </c>
      <c r="S8" s="323">
        <f>INDEX('8 Flare5'!$F:$F,MATCH(Scenarios!$A8,'8 Flare5'!$A:$A,0))</f>
        <v>0.85499999999999998</v>
      </c>
      <c r="T8" s="439">
        <f>INDEX('8 Flare5'!$G:$G,MATCH(Scenarios!$A8,'8 Flare5'!$A:$A,0))</f>
        <v>3.7448999999999999</v>
      </c>
      <c r="U8" s="126">
        <f t="shared" si="0"/>
        <v>0.85499999999999998</v>
      </c>
      <c r="V8" s="436">
        <f t="shared" si="0"/>
        <v>3.7448999999999999</v>
      </c>
      <c r="W8" s="323">
        <f>INDEX('10 Flare Purge A1'!$F:$F,MATCH(Scenarios!$A8,'10 Flare Purge A1'!$A:$A,0))</f>
        <v>0.14816666666666667</v>
      </c>
      <c r="X8" s="439">
        <f>INDEX('10 Flare Purge A1'!$G:$G,MATCH(Scenarios!$A8,'10 Flare Purge A1'!$A:$A,0))</f>
        <v>7.7046666666666661E-3</v>
      </c>
      <c r="Y8" s="323">
        <f>INDEX('11 Flare Purge A2'!$F:$F,MATCH(Scenarios!$A8,'11 Flare Purge A2'!$A:$A,0))</f>
        <v>0.127</v>
      </c>
      <c r="Z8" s="439">
        <f>INDEX('11 Flare Purge A2'!$G:$G,MATCH(Scenarios!$A8,'11 Flare Purge A2'!$A:$A,0))</f>
        <v>3.0749874999999999E-2</v>
      </c>
      <c r="AA8" s="323">
        <f>INDEX('12 Flare Purge B'!$F:$F,MATCH(Scenarios!$A8,'12 Flare Purge B'!$A:$A,0))</f>
        <v>5.6000000000000001E-2</v>
      </c>
      <c r="AB8" s="439">
        <f>INDEX('12 Flare Purge B'!$G:$G,MATCH(Scenarios!$A8,'12 Flare Purge B'!$A:$A,0))</f>
        <v>2.9120000000000001E-3</v>
      </c>
      <c r="AC8" s="126">
        <f t="shared" si="1"/>
        <v>0.14816666666666667</v>
      </c>
      <c r="AD8" s="435">
        <f t="shared" si="1"/>
        <v>3.0749874999999999E-2</v>
      </c>
      <c r="AE8" s="462">
        <f t="shared" si="2"/>
        <v>0.3121666666666667</v>
      </c>
      <c r="AF8" s="436">
        <f t="shared" si="2"/>
        <v>0.74906987500000011</v>
      </c>
      <c r="AG8" s="126">
        <f t="shared" si="3"/>
        <v>1.0031666666666665</v>
      </c>
      <c r="AH8" s="436">
        <f t="shared" si="3"/>
        <v>3.775649875</v>
      </c>
      <c r="AI8" s="126">
        <f t="shared" si="4"/>
        <v>0.92602966747333704</v>
      </c>
      <c r="AJ8" s="435">
        <f t="shared" si="7"/>
        <v>3.7663934350968002</v>
      </c>
      <c r="AK8" s="470">
        <f t="shared" si="5"/>
        <v>1.0031666666666665</v>
      </c>
      <c r="AL8" s="471">
        <f t="shared" si="5"/>
        <v>3.775649875</v>
      </c>
      <c r="AM8" s="471">
        <f t="shared" si="8"/>
        <v>7551.2997500000001</v>
      </c>
      <c r="AN8" s="1" t="s">
        <v>370</v>
      </c>
    </row>
    <row r="9" spans="1:40">
      <c r="A9" s="398" t="s">
        <v>73</v>
      </c>
      <c r="B9" s="83" t="s">
        <v>0</v>
      </c>
      <c r="C9" s="328">
        <v>0</v>
      </c>
      <c r="D9" s="438">
        <v>0</v>
      </c>
      <c r="E9" s="322">
        <f>INDEX('3 Vapor'!E:E,MATCH($A9,'3 Vapor'!$A:$A,0))</f>
        <v>2.4337902415642456</v>
      </c>
      <c r="F9" s="439">
        <f>INDEX('3 Vapor'!F:F,MATCH($A9,'3 Vapor'!$A:$A,0))</f>
        <v>0.29205482898770946</v>
      </c>
      <c r="G9" s="322">
        <f>INDEX('9 Flare Hold'!$F:$F,MATCH(Scenarios!$A9,'9 Flare Hold'!$A:$A,0))</f>
        <v>0.17299999999999999</v>
      </c>
      <c r="H9" s="439">
        <f>INDEX('9 Flare Hold'!$G:$G,MATCH(Scenarios!$A9,'9 Flare Hold'!$A:$A,0))</f>
        <v>0.75773999999999986</v>
      </c>
      <c r="I9" s="126">
        <f>INDEX('5 Flare2'!$F:$F,MATCH(Scenarios!$A9,'5 Flare2'!$A:$A,0))</f>
        <v>0.48899999999999999</v>
      </c>
      <c r="J9" s="436">
        <f>INDEX('5 Flare2'!$G:$G,MATCH(Scenarios!$A9,'5 Flare2'!$A:$A,0))</f>
        <v>2.1418200000000001</v>
      </c>
      <c r="K9" s="126">
        <f t="shared" si="6"/>
        <v>0.48899999999999999</v>
      </c>
      <c r="L9" s="436">
        <f t="shared" si="6"/>
        <v>2.1418200000000001</v>
      </c>
      <c r="M9" s="126">
        <f>INDEX('4 Flare1'!$F:$F,MATCH(Scenarios!$A9,'4 Flare1'!$A:$A,0))</f>
        <v>0.76500000000000012</v>
      </c>
      <c r="N9" s="436">
        <f>INDEX('4 Flare1'!$G:$G,MATCH(Scenarios!$A9,'4 Flare1'!$A:$A,0))</f>
        <v>3.3507000000000007</v>
      </c>
      <c r="O9" s="126">
        <f>INDEX('6 Flare3'!$F:$F,MATCH(Scenarios!$A9,'6 Flare3'!$A:$A,0))</f>
        <v>2.5350000000000001</v>
      </c>
      <c r="P9" s="436">
        <f>INDEX('6 Flare3'!$G:$G,MATCH(Scenarios!$A9,'6 Flare3'!$A:$A,0))</f>
        <v>11.103300000000001</v>
      </c>
      <c r="Q9" s="323">
        <f>INDEX('7 Flare4'!$F:$F,MATCH(Scenarios!$A9,'7 Flare4'!$A:$A,0))</f>
        <v>2.6240000000000001</v>
      </c>
      <c r="R9" s="439">
        <f>INDEX('7 Flare4'!$G:$G,MATCH(Scenarios!$A9,'7 Flare4'!$A:$A,0))</f>
        <v>11.493120000000001</v>
      </c>
      <c r="S9" s="323">
        <f>INDEX('8 Flare5'!$F:$F,MATCH(Scenarios!$A9,'8 Flare5'!$A:$A,0))</f>
        <v>2.7349999999999999</v>
      </c>
      <c r="T9" s="439">
        <f>INDEX('8 Flare5'!$G:$G,MATCH(Scenarios!$A9,'8 Flare5'!$A:$A,0))</f>
        <v>11.979299999999999</v>
      </c>
      <c r="U9" s="126">
        <f t="shared" si="0"/>
        <v>2.7349999999999999</v>
      </c>
      <c r="V9" s="436">
        <f t="shared" si="0"/>
        <v>11.979299999999999</v>
      </c>
      <c r="W9" s="323">
        <f>INDEX('10 Flare Purge A1'!$F:$F,MATCH(Scenarios!$A9,'10 Flare Purge A1'!$A:$A,0))</f>
        <v>0.44274999999999998</v>
      </c>
      <c r="X9" s="439">
        <f>INDEX('10 Flare Purge A1'!$G:$G,MATCH(Scenarios!$A9,'10 Flare Purge A1'!$A:$A,0))</f>
        <v>2.3022999999999998E-2</v>
      </c>
      <c r="Y9" s="323">
        <f>INDEX('11 Flare Purge A2'!$F:$F,MATCH(Scenarios!$A9,'11 Flare Purge A2'!$A:$A,0))</f>
        <v>0.38</v>
      </c>
      <c r="Z9" s="439">
        <f>INDEX('11 Flare Purge A2'!$G:$G,MATCH(Scenarios!$A9,'11 Flare Purge A2'!$A:$A,0))</f>
        <v>9.2007500000000006E-2</v>
      </c>
      <c r="AA9" s="323">
        <f>INDEX('12 Flare Purge B'!$F:$F,MATCH(Scenarios!$A9,'12 Flare Purge B'!$A:$A,0))</f>
        <v>0.16700000000000001</v>
      </c>
      <c r="AB9" s="439">
        <f>INDEX('12 Flare Purge B'!$G:$G,MATCH(Scenarios!$A9,'12 Flare Purge B'!$A:$A,0))</f>
        <v>8.6840000000000007E-3</v>
      </c>
      <c r="AC9" s="126">
        <f t="shared" si="1"/>
        <v>0.44274999999999998</v>
      </c>
      <c r="AD9" s="435">
        <f t="shared" si="1"/>
        <v>9.2007500000000006E-2</v>
      </c>
      <c r="AE9" s="462">
        <f t="shared" si="2"/>
        <v>0.93174999999999997</v>
      </c>
      <c r="AF9" s="436">
        <f t="shared" si="2"/>
        <v>2.2338274999999999</v>
      </c>
      <c r="AG9" s="126">
        <f t="shared" si="3"/>
        <v>3.1777499999999996</v>
      </c>
      <c r="AH9" s="436">
        <f t="shared" si="3"/>
        <v>12.071307499999998</v>
      </c>
      <c r="AI9" s="126">
        <f t="shared" si="4"/>
        <v>3.0495402415642454</v>
      </c>
      <c r="AJ9" s="435">
        <f t="shared" si="7"/>
        <v>12.055922328987707</v>
      </c>
      <c r="AK9" s="470">
        <f t="shared" si="5"/>
        <v>3.1777499999999996</v>
      </c>
      <c r="AL9" s="471">
        <f t="shared" si="5"/>
        <v>12.071307499999998</v>
      </c>
      <c r="AM9" s="471">
        <f t="shared" si="8"/>
        <v>24142.614999999994</v>
      </c>
      <c r="AN9" s="1" t="s">
        <v>370</v>
      </c>
    </row>
    <row r="10" spans="1:40">
      <c r="A10" s="398" t="s">
        <v>1</v>
      </c>
      <c r="B10" s="83" t="s">
        <v>101</v>
      </c>
      <c r="C10" s="322">
        <f>'13 Fugitives'!L35</f>
        <v>0.95157320000000001</v>
      </c>
      <c r="D10" s="439">
        <f>'13 Fugitives'!L46</f>
        <v>4.1678906159999993</v>
      </c>
      <c r="E10" s="322">
        <f>INDEX('3 Vapor'!E:E,MATCH($A10,'3 Vapor'!$A:$A,0))</f>
        <v>0.3321277269019528</v>
      </c>
      <c r="F10" s="439">
        <f>INDEX('3 Vapor'!F:F,MATCH($A10,'3 Vapor'!$A:$A,0))</f>
        <v>3.9855327228234337E-2</v>
      </c>
      <c r="G10" s="322">
        <f>INDEX('9 Flare Hold'!$F:$F,MATCH(Scenarios!$A10,'9 Flare Hold'!$A:$A,0))</f>
        <v>7.0889935510756702E-2</v>
      </c>
      <c r="H10" s="439">
        <f>INDEX('9 Flare Hold'!$G:$G,MATCH(Scenarios!$A10,'9 Flare Hold'!$A:$A,0))</f>
        <v>0.31049791753711437</v>
      </c>
      <c r="I10" s="126">
        <f>INDEX('5 Flare2'!$F:$F,MATCH(Scenarios!$A10,'5 Flare2'!$A:$A,0))</f>
        <v>0.76448584073505566</v>
      </c>
      <c r="J10" s="436">
        <f>INDEX('5 Flare2'!$G:$G,MATCH(Scenarios!$A10,'5 Flare2'!$A:$A,0))</f>
        <v>3.3484479824195437</v>
      </c>
      <c r="K10" s="126">
        <f t="shared" si="6"/>
        <v>0.76448584073505566</v>
      </c>
      <c r="L10" s="436">
        <f t="shared" si="6"/>
        <v>3.3484479824195437</v>
      </c>
      <c r="M10" s="126">
        <f>INDEX('4 Flare1'!$F:$F,MATCH(Scenarios!$A10,'4 Flare1'!$A:$A,0))</f>
        <v>2.9970506926608209</v>
      </c>
      <c r="N10" s="436">
        <f>INDEX('4 Flare1'!$G:$G,MATCH(Scenarios!$A10,'4 Flare1'!$A:$A,0))</f>
        <v>13.127082033854396</v>
      </c>
      <c r="O10" s="126">
        <f>INDEX('6 Flare3'!$F:$F,MATCH(Scenarios!$A10,'6 Flare3'!$A:$A,0))</f>
        <v>9.2610973612752847</v>
      </c>
      <c r="P10" s="436">
        <f>INDEX('6 Flare3'!$G:$G,MATCH(Scenarios!$A10,'6 Flare3'!$A:$A,0))</f>
        <v>40.563606442385748</v>
      </c>
      <c r="Q10" s="323">
        <f>INDEX('7 Flare4'!$F:$F,MATCH(Scenarios!$A10,'7 Flare4'!$A:$A,0))</f>
        <v>9.5133248111071946</v>
      </c>
      <c r="R10" s="439">
        <f>INDEX('7 Flare4'!$G:$G,MATCH(Scenarios!$A10,'7 Flare4'!$A:$A,0))</f>
        <v>41.668362672649515</v>
      </c>
      <c r="S10" s="323">
        <f>INDEX('8 Flare5'!$F:$F,MATCH(Scenarios!$A10,'8 Flare5'!$A:$A,0))</f>
        <v>10.182065350147612</v>
      </c>
      <c r="T10" s="439">
        <f>INDEX('8 Flare5'!$G:$G,MATCH(Scenarios!$A10,'8 Flare5'!$A:$A,0))</f>
        <v>44.597446233646536</v>
      </c>
      <c r="U10" s="126">
        <f t="shared" si="0"/>
        <v>10.182065350147612</v>
      </c>
      <c r="V10" s="436">
        <f t="shared" si="0"/>
        <v>44.597446233646536</v>
      </c>
      <c r="W10" s="323">
        <f>INDEX('10 Flare Purge A1'!$F:$F,MATCH(Scenarios!$A10,'10 Flare Purge A1'!$A:$A,0))</f>
        <v>2.8852387443345879E-3</v>
      </c>
      <c r="X10" s="439">
        <f>INDEX('10 Flare Purge A1'!$G:$G,MATCH(Scenarios!$A10,'10 Flare Purge A1'!$A:$A,0))</f>
        <v>1.5003241470539858E-4</v>
      </c>
      <c r="Y10" s="323">
        <f>INDEX('11 Flare Purge A2'!$F:$F,MATCH(Scenarios!$A10,'11 Flare Purge A2'!$A:$A,0))</f>
        <v>2.4781399364657299E-3</v>
      </c>
      <c r="Z10" s="439">
        <f>INDEX('11 Flare Purge A2'!$G:$G,MATCH(Scenarios!$A10,'11 Flare Purge A2'!$A:$A,0))</f>
        <v>6.0001963211676489E-4</v>
      </c>
      <c r="AA10" s="323">
        <f>INDEX('12 Flare Purge B'!$F:$F,MATCH(Scenarios!$A10,'12 Flare Purge B'!$A:$A,0))</f>
        <v>2.8539234514215993E-3</v>
      </c>
      <c r="AB10" s="439">
        <f>INDEX('12 Flare Purge B'!$G:$G,MATCH(Scenarios!$A10,'12 Flare Purge B'!$A:$A,0))</f>
        <v>1.4840401947392316E-4</v>
      </c>
      <c r="AC10" s="126">
        <f t="shared" si="1"/>
        <v>2.8852387443345879E-3</v>
      </c>
      <c r="AD10" s="435">
        <f t="shared" si="1"/>
        <v>6.0001963211676489E-4</v>
      </c>
      <c r="AE10" s="462">
        <f t="shared" si="2"/>
        <v>0.76737107947939021</v>
      </c>
      <c r="AF10" s="436">
        <f t="shared" si="2"/>
        <v>3.3490480020516604</v>
      </c>
      <c r="AG10" s="126">
        <f t="shared" si="3"/>
        <v>10.184950588891947</v>
      </c>
      <c r="AH10" s="436">
        <f t="shared" si="3"/>
        <v>44.598046253278653</v>
      </c>
      <c r="AI10" s="126">
        <f t="shared" si="4"/>
        <v>0.40590290115704408</v>
      </c>
      <c r="AJ10" s="435">
        <f t="shared" si="7"/>
        <v>43.424560530750469</v>
      </c>
      <c r="AK10" s="470">
        <f t="shared" si="5"/>
        <v>11.136523788891948</v>
      </c>
      <c r="AL10" s="471">
        <f t="shared" si="5"/>
        <v>48.765936869278654</v>
      </c>
      <c r="AM10" s="471">
        <f t="shared" si="8"/>
        <v>97531.873738557304</v>
      </c>
    </row>
    <row r="11" spans="1:40">
      <c r="A11" s="398" t="s">
        <v>306</v>
      </c>
      <c r="B11" s="330" t="s">
        <v>78</v>
      </c>
      <c r="C11" s="328">
        <v>0</v>
      </c>
      <c r="D11" s="438">
        <v>0</v>
      </c>
      <c r="E11" s="322">
        <f>INDEX('3 Vapor'!E:E,MATCH($A11,'3 Vapor'!$A:$A,0))</f>
        <v>3.0193429718359346E-5</v>
      </c>
      <c r="F11" s="439">
        <f>INDEX('3 Vapor'!F:F,MATCH($A11,'3 Vapor'!$A:$A,0))</f>
        <v>3.6232115662031216E-6</v>
      </c>
      <c r="G11" s="322">
        <f>INDEX('9 Flare Hold'!$F:$F,MATCH(Scenarios!$A11,'9 Flare Hold'!$A:$A,0))</f>
        <v>4.4771241830065362E-7</v>
      </c>
      <c r="H11" s="439">
        <f>INDEX('9 Flare Hold'!$G:$G,MATCH(Scenarios!$A11,'9 Flare Hold'!$A:$A,0))</f>
        <v>1.9609803921568628E-6</v>
      </c>
      <c r="I11" s="126">
        <f>INDEX('5 Flare2'!$F:$F,MATCH(Scenarios!$A11,'5 Flare2'!$A:$A,0))</f>
        <v>1.2209967320261437E-6</v>
      </c>
      <c r="J11" s="436">
        <f>INDEX('5 Flare2'!$G:$G,MATCH(Scenarios!$A11,'5 Flare2'!$A:$A,0))</f>
        <v>5.3479656862745095E-6</v>
      </c>
      <c r="K11" s="126">
        <f t="shared" si="6"/>
        <v>1.2209967320261437E-6</v>
      </c>
      <c r="L11" s="436">
        <f t="shared" si="6"/>
        <v>5.3479656862745095E-6</v>
      </c>
      <c r="M11" s="126">
        <f>INDEX('4 Flare1'!$F:$F,MATCH(Scenarios!$A11,'4 Flare1'!$A:$A,0))</f>
        <v>4.9877450980392164E-6</v>
      </c>
      <c r="N11" s="436">
        <f>INDEX('4 Flare1'!$G:$G,MATCH(Scenarios!$A11,'4 Flare1'!$A:$A,0))</f>
        <v>2.1846323529411768E-5</v>
      </c>
      <c r="O11" s="126">
        <f>INDEX('6 Flare3'!$F:$F,MATCH(Scenarios!$A11,'6 Flare3'!$A:$A,0))</f>
        <v>1.6891339869281042E-5</v>
      </c>
      <c r="P11" s="436">
        <f>INDEX('6 Flare3'!$G:$G,MATCH(Scenarios!$A11,'6 Flare3'!$A:$A,0))</f>
        <v>7.398406862745096E-5</v>
      </c>
      <c r="Q11" s="323">
        <f>INDEX('7 Flare4'!$F:$F,MATCH(Scenarios!$A11,'7 Flare4'!$A:$A,0))</f>
        <v>1.7474264705882348E-5</v>
      </c>
      <c r="R11" s="439">
        <f>INDEX('7 Flare4'!$G:$G,MATCH(Scenarios!$A11,'7 Flare4'!$A:$A,0))</f>
        <v>7.6537279411764697E-5</v>
      </c>
      <c r="S11" s="323">
        <f>INDEX('8 Flare5'!$F:$F,MATCH(Scenarios!$A11,'8 Flare5'!$A:$A,0))</f>
        <v>1.8224877450980391E-5</v>
      </c>
      <c r="T11" s="439">
        <f>INDEX('8 Flare5'!$G:$G,MATCH(Scenarios!$A11,'8 Flare5'!$A:$A,0))</f>
        <v>7.9824963235294112E-5</v>
      </c>
      <c r="U11" s="126">
        <f t="shared" si="0"/>
        <v>1.8224877450980391E-5</v>
      </c>
      <c r="V11" s="436">
        <f t="shared" si="0"/>
        <v>7.9824963235294112E-5</v>
      </c>
      <c r="W11" s="323">
        <f>INDEX('10 Flare Purge A1'!$F:$F,MATCH(Scenarios!$A11,'10 Flare Purge A1'!$A:$A,0))</f>
        <v>1.2057461873638344E-6</v>
      </c>
      <c r="X11" s="439">
        <f>INDEX('10 Flare Purge A1'!$G:$G,MATCH(Scenarios!$A11,'10 Flare Purge A1'!$A:$A,0))</f>
        <v>6.269880174291938E-8</v>
      </c>
      <c r="Y11" s="323">
        <f>INDEX('11 Flare Purge A2'!$F:$F,MATCH(Scenarios!$A11,'11 Flare Purge A2'!$A:$A,0))</f>
        <v>1.0334967320261438E-6</v>
      </c>
      <c r="Z11" s="439">
        <f>INDEX('11 Flare Purge A2'!$G:$G,MATCH(Scenarios!$A11,'11 Flare Purge A2'!$A:$A,0))</f>
        <v>2.5023539624183005E-7</v>
      </c>
      <c r="AA11" s="323">
        <f>INDEX('12 Flare Purge B'!$F:$F,MATCH(Scenarios!$A11,'12 Flare Purge B'!$A:$A,0))</f>
        <v>4.5473856209150325E-7</v>
      </c>
      <c r="AB11" s="439">
        <f>INDEX('12 Flare Purge B'!$G:$G,MATCH(Scenarios!$A11,'12 Flare Purge B'!$A:$A,0))</f>
        <v>2.364640522875817E-8</v>
      </c>
      <c r="AC11" s="126">
        <f t="shared" si="1"/>
        <v>1.2057461873638344E-6</v>
      </c>
      <c r="AD11" s="435">
        <f t="shared" si="1"/>
        <v>2.5023539624183005E-7</v>
      </c>
      <c r="AE11" s="462">
        <f t="shared" si="2"/>
        <v>2.4267429193899781E-6</v>
      </c>
      <c r="AF11" s="436">
        <f t="shared" si="2"/>
        <v>5.5982010825163398E-6</v>
      </c>
      <c r="AG11" s="126">
        <f t="shared" si="3"/>
        <v>1.9430623638344225E-5</v>
      </c>
      <c r="AH11" s="436">
        <f t="shared" si="3"/>
        <v>8.0075198631535937E-5</v>
      </c>
      <c r="AI11" s="126">
        <f t="shared" si="4"/>
        <v>3.1846888324023837E-5</v>
      </c>
      <c r="AJ11" s="435">
        <f t="shared" si="7"/>
        <v>8.1565150393817485E-5</v>
      </c>
      <c r="AK11" s="470">
        <f t="shared" si="5"/>
        <v>3.1846888324023837E-5</v>
      </c>
      <c r="AL11" s="471">
        <f t="shared" si="5"/>
        <v>8.1565150393817485E-5</v>
      </c>
      <c r="AM11" s="471">
        <f t="shared" si="8"/>
        <v>0.16313030078763496</v>
      </c>
      <c r="AN11" s="1" t="s">
        <v>370</v>
      </c>
    </row>
    <row r="12" spans="1:40">
      <c r="A12" s="395" t="s">
        <v>56</v>
      </c>
      <c r="B12" s="83" t="s">
        <v>9</v>
      </c>
      <c r="C12" s="328">
        <v>0</v>
      </c>
      <c r="D12" s="438">
        <v>0</v>
      </c>
      <c r="E12" s="322">
        <f>INDEX('3 Vapor'!E:E,MATCH($A12,'3 Vapor'!$A:$A,0))</f>
        <v>5.114766994290073E-4</v>
      </c>
      <c r="F12" s="439">
        <f>INDEX('3 Vapor'!F:F,MATCH($A12,'3 Vapor'!$A:$A,0))</f>
        <v>6.1377203931480879E-5</v>
      </c>
      <c r="G12" s="322">
        <f>INDEX('9 Flare Hold'!$F:$F,MATCH(Scenarios!$A12,'9 Flare Hold'!$A:$A,0))</f>
        <v>7.5842483660130719E-6</v>
      </c>
      <c r="H12" s="439">
        <f>INDEX('9 Flare Hold'!$G:$G,MATCH(Scenarios!$A12,'9 Flare Hold'!$A:$A,0))</f>
        <v>3.3219007843137254E-5</v>
      </c>
      <c r="I12" s="126">
        <f>INDEX('5 Flare2'!$F:$F,MATCH(Scenarios!$A12,'5 Flare2'!$A:$A,0))</f>
        <v>2.0683684640522872E-5</v>
      </c>
      <c r="J12" s="436">
        <f>INDEX('5 Flare2'!$G:$G,MATCH(Scenarios!$A12,'5 Flare2'!$A:$A,0))</f>
        <v>9.0594538725490183E-5</v>
      </c>
      <c r="K12" s="126">
        <f t="shared" si="6"/>
        <v>2.0683684640522872E-5</v>
      </c>
      <c r="L12" s="436">
        <f t="shared" si="6"/>
        <v>9.0594538725490183E-5</v>
      </c>
      <c r="M12" s="126">
        <f>INDEX('4 Flare1'!$F:$F,MATCH(Scenarios!$A12,'4 Flare1'!$A:$A,0))</f>
        <v>8.4492401960784309E-5</v>
      </c>
      <c r="N12" s="436">
        <f>INDEX('4 Flare1'!$G:$G,MATCH(Scenarios!$A12,'4 Flare1'!$A:$A,0))</f>
        <v>3.7007672058823524E-4</v>
      </c>
      <c r="O12" s="126">
        <f>INDEX('6 Flare3'!$F:$F,MATCH(Scenarios!$A12,'6 Flare3'!$A:$A,0))</f>
        <v>2.8613929738562083E-4</v>
      </c>
      <c r="P12" s="436">
        <f>INDEX('6 Flare3'!$G:$G,MATCH(Scenarios!$A12,'6 Flare3'!$A:$A,0))</f>
        <v>1.2532901225490191E-3</v>
      </c>
      <c r="Q12" s="323">
        <f>INDEX('7 Flare4'!$F:$F,MATCH(Scenarios!$A12,'7 Flare4'!$A:$A,0))</f>
        <v>2.9601404411764697E-4</v>
      </c>
      <c r="R12" s="439">
        <f>INDEX('7 Flare4'!$G:$G,MATCH(Scenarios!$A12,'7 Flare4'!$A:$A,0))</f>
        <v>1.2965415132352937E-3</v>
      </c>
      <c r="S12" s="323">
        <f>INDEX('8 Flare5'!$F:$F,MATCH(Scenarios!$A12,'8 Flare5'!$A:$A,0))</f>
        <v>3.0872942401960783E-4</v>
      </c>
      <c r="T12" s="439">
        <f>INDEX('8 Flare5'!$G:$G,MATCH(Scenarios!$A12,'8 Flare5'!$A:$A,0))</f>
        <v>1.3522348772058823E-3</v>
      </c>
      <c r="U12" s="126">
        <f t="shared" si="0"/>
        <v>3.0872942401960783E-4</v>
      </c>
      <c r="V12" s="436">
        <f t="shared" si="0"/>
        <v>1.3522348772058823E-3</v>
      </c>
      <c r="W12" s="323">
        <f>INDEX('10 Flare Purge A1'!$F:$F,MATCH(Scenarios!$A12,'10 Flare Purge A1'!$A:$A,0))</f>
        <v>2.0425340413943353E-5</v>
      </c>
      <c r="X12" s="439">
        <f>INDEX('10 Flare Purge A1'!$G:$G,MATCH(Scenarios!$A12,'10 Flare Purge A1'!$A:$A,0))</f>
        <v>1.0621177015250545E-6</v>
      </c>
      <c r="Y12" s="323">
        <f>INDEX('11 Flare Purge A2'!$F:$F,MATCH(Scenarios!$A12,'11 Flare Purge A2'!$A:$A,0))</f>
        <v>1.7507434640522877E-5</v>
      </c>
      <c r="Z12" s="439">
        <f>INDEX('11 Flare Purge A2'!$G:$G,MATCH(Scenarios!$A12,'11 Flare Purge A2'!$A:$A,0))</f>
        <v>4.2389876123366015E-6</v>
      </c>
      <c r="AA12" s="323">
        <f>INDEX('12 Flare Purge B'!$F:$F,MATCH(Scenarios!$A12,'12 Flare Purge B'!$A:$A,0))</f>
        <v>7.7032712418300649E-6</v>
      </c>
      <c r="AB12" s="439">
        <f>INDEX('12 Flare Purge B'!$G:$G,MATCH(Scenarios!$A12,'12 Flare Purge B'!$A:$A,0))</f>
        <v>4.0057010457516338E-7</v>
      </c>
      <c r="AC12" s="126">
        <f t="shared" si="1"/>
        <v>2.0425340413943353E-5</v>
      </c>
      <c r="AD12" s="435">
        <f t="shared" si="1"/>
        <v>4.2389876123366015E-6</v>
      </c>
      <c r="AE12" s="462">
        <f t="shared" si="2"/>
        <v>4.1109025054466222E-5</v>
      </c>
      <c r="AF12" s="436">
        <f t="shared" si="2"/>
        <v>9.4833526337826789E-5</v>
      </c>
      <c r="AG12" s="126">
        <f t="shared" si="3"/>
        <v>3.2915476443355119E-4</v>
      </c>
      <c r="AH12" s="436">
        <f t="shared" si="3"/>
        <v>1.356473864818219E-3</v>
      </c>
      <c r="AI12" s="126">
        <f t="shared" si="4"/>
        <v>5.3948628820896368E-4</v>
      </c>
      <c r="AJ12" s="435">
        <f>H12*240/8760+AD12+F12+MAX(J12,N12,P12,R12,T12)*8520/8760</f>
        <v>1.3817136476712683E-3</v>
      </c>
      <c r="AK12" s="470">
        <f t="shared" si="5"/>
        <v>5.3948628820896368E-4</v>
      </c>
      <c r="AL12" s="471">
        <f t="shared" si="5"/>
        <v>1.3817136476712683E-3</v>
      </c>
      <c r="AM12" s="471">
        <f t="shared" si="8"/>
        <v>2.7634272953425367</v>
      </c>
      <c r="AN12" s="1" t="s">
        <v>370</v>
      </c>
    </row>
    <row r="13" spans="1:40">
      <c r="A13" s="395" t="s">
        <v>57</v>
      </c>
      <c r="B13" s="83" t="s">
        <v>10</v>
      </c>
      <c r="C13" s="328">
        <v>0</v>
      </c>
      <c r="D13" s="438">
        <v>0</v>
      </c>
      <c r="E13" s="322">
        <f>INDEX('3 Vapor'!E:E,MATCH($A13,'3 Vapor'!$A:$A,0))</f>
        <v>1.6304452047914047E-4</v>
      </c>
      <c r="F13" s="439">
        <f>INDEX('3 Vapor'!F:F,MATCH($A13,'3 Vapor'!$A:$A,0))</f>
        <v>1.9565342457496856E-5</v>
      </c>
      <c r="G13" s="322">
        <f>INDEX('9 Flare Hold'!$F:$F,MATCH(Scenarios!$A13,'9 Flare Hold'!$A:$A,0))</f>
        <v>2.4176470588235301E-6</v>
      </c>
      <c r="H13" s="439">
        <f>INDEX('9 Flare Hold'!$G:$G,MATCH(Scenarios!$A13,'9 Flare Hold'!$A:$A,0))</f>
        <v>1.0589294117647061E-5</v>
      </c>
      <c r="I13" s="126">
        <f>INDEX('5 Flare2'!$F:$F,MATCH(Scenarios!$A13,'5 Flare2'!$A:$A,0))</f>
        <v>6.593382352941177E-6</v>
      </c>
      <c r="J13" s="436">
        <f>INDEX('5 Flare2'!$G:$G,MATCH(Scenarios!$A13,'5 Flare2'!$A:$A,0))</f>
        <v>2.8879014705882354E-5</v>
      </c>
      <c r="K13" s="126">
        <f t="shared" si="6"/>
        <v>6.593382352941177E-6</v>
      </c>
      <c r="L13" s="436">
        <f t="shared" si="6"/>
        <v>2.8879014705882354E-5</v>
      </c>
      <c r="M13" s="126">
        <f>INDEX('4 Flare1'!$F:$F,MATCH(Scenarios!$A13,'4 Flare1'!$A:$A,0))</f>
        <v>2.6933823529411769E-5</v>
      </c>
      <c r="N13" s="436">
        <f>INDEX('4 Flare1'!$G:$G,MATCH(Scenarios!$A13,'4 Flare1'!$A:$A,0))</f>
        <v>1.1797014705882356E-4</v>
      </c>
      <c r="O13" s="126">
        <f>INDEX('6 Flare3'!$F:$F,MATCH(Scenarios!$A13,'6 Flare3'!$A:$A,0))</f>
        <v>9.1213235294117641E-5</v>
      </c>
      <c r="P13" s="436">
        <f>INDEX('6 Flare3'!$G:$G,MATCH(Scenarios!$A13,'6 Flare3'!$A:$A,0))</f>
        <v>3.9951397058823527E-4</v>
      </c>
      <c r="Q13" s="323">
        <f>INDEX('7 Flare4'!$F:$F,MATCH(Scenarios!$A13,'7 Flare4'!$A:$A,0))</f>
        <v>9.436102941176469E-5</v>
      </c>
      <c r="R13" s="439">
        <f>INDEX('7 Flare4'!$G:$G,MATCH(Scenarios!$A13,'7 Flare4'!$A:$A,0))</f>
        <v>4.1330130882352934E-4</v>
      </c>
      <c r="S13" s="323">
        <f>INDEX('8 Flare5'!$F:$F,MATCH(Scenarios!$A13,'8 Flare5'!$A:$A,0))</f>
        <v>9.8414338235294126E-5</v>
      </c>
      <c r="T13" s="439">
        <f>INDEX('8 Flare5'!$G:$G,MATCH(Scenarios!$A13,'8 Flare5'!$A:$A,0))</f>
        <v>4.310548014705883E-4</v>
      </c>
      <c r="U13" s="126">
        <f t="shared" si="0"/>
        <v>9.8414338235294126E-5</v>
      </c>
      <c r="V13" s="436">
        <f t="shared" si="0"/>
        <v>4.310548014705883E-4</v>
      </c>
      <c r="W13" s="323">
        <f>INDEX('10 Flare Purge A1'!$F:$F,MATCH(Scenarios!$A13,'10 Flare Purge A1'!$A:$A,0))</f>
        <v>6.5110294117647065E-6</v>
      </c>
      <c r="X13" s="439">
        <f>INDEX('10 Flare Purge A1'!$G:$G,MATCH(Scenarios!$A13,'10 Flare Purge A1'!$A:$A,0))</f>
        <v>3.3857352941176478E-7</v>
      </c>
      <c r="Y13" s="323">
        <f>INDEX('11 Flare Purge A2'!$F:$F,MATCH(Scenarios!$A13,'11 Flare Purge A2'!$A:$A,0))</f>
        <v>5.580882352941177E-6</v>
      </c>
      <c r="Z13" s="439">
        <f>INDEX('11 Flare Purge A2'!$G:$G,MATCH(Scenarios!$A13,'11 Flare Purge A2'!$A:$A,0))</f>
        <v>1.3512711397058824E-6</v>
      </c>
      <c r="AA13" s="323">
        <f>INDEX('12 Flare Purge B'!$F:$F,MATCH(Scenarios!$A13,'12 Flare Purge B'!$A:$A,0))</f>
        <v>2.4555882352941178E-6</v>
      </c>
      <c r="AB13" s="439">
        <f>INDEX('12 Flare Purge B'!$G:$G,MATCH(Scenarios!$A13,'12 Flare Purge B'!$A:$A,0))</f>
        <v>1.2769058823529412E-7</v>
      </c>
      <c r="AC13" s="126">
        <f t="shared" si="1"/>
        <v>6.5110294117647065E-6</v>
      </c>
      <c r="AD13" s="435">
        <f t="shared" si="1"/>
        <v>1.3512711397058824E-6</v>
      </c>
      <c r="AE13" s="462">
        <f t="shared" si="2"/>
        <v>1.3104411764705884E-5</v>
      </c>
      <c r="AF13" s="436">
        <f t="shared" si="2"/>
        <v>3.0230285845588238E-5</v>
      </c>
      <c r="AG13" s="126">
        <f t="shared" si="3"/>
        <v>1.0492536764705884E-4</v>
      </c>
      <c r="AH13" s="436">
        <f t="shared" si="3"/>
        <v>4.3240607261029417E-4</v>
      </c>
      <c r="AI13" s="126">
        <f t="shared" si="4"/>
        <v>1.719731969497287E-4</v>
      </c>
      <c r="AJ13" s="435">
        <f t="shared" ref="AJ13:AJ14" si="9">H13*240/8760+AD13+F13+MAX(J13,N13,P13,R13,T13)*8520/8760</f>
        <v>4.4045181212661456E-4</v>
      </c>
      <c r="AK13" s="470">
        <f t="shared" si="5"/>
        <v>1.719731969497287E-4</v>
      </c>
      <c r="AL13" s="471">
        <f t="shared" si="5"/>
        <v>4.4045181212661456E-4</v>
      </c>
      <c r="AM13" s="471">
        <f t="shared" si="8"/>
        <v>0.8809036242532291</v>
      </c>
      <c r="AN13" s="1" t="s">
        <v>370</v>
      </c>
    </row>
    <row r="14" spans="1:40">
      <c r="A14" s="395" t="s">
        <v>153</v>
      </c>
      <c r="B14" s="83" t="s">
        <v>152</v>
      </c>
      <c r="C14" s="328">
        <v>0</v>
      </c>
      <c r="D14" s="438">
        <v>0</v>
      </c>
      <c r="E14" s="322">
        <f>INDEX('3 Vapor'!E:E,MATCH($A14,'3 Vapor'!$A:$A,0))</f>
        <v>0.19323795019749981</v>
      </c>
      <c r="F14" s="439">
        <f>INDEX('3 Vapor'!F:F,MATCH($A14,'3 Vapor'!$A:$A,0))</f>
        <v>2.318855402369998E-2</v>
      </c>
      <c r="G14" s="322">
        <f>INDEX('9 Flare Hold'!$F:$F,MATCH(Scenarios!$A14,'9 Flare Hold'!$A:$A,0))</f>
        <v>2.8653594771241835E-3</v>
      </c>
      <c r="H14" s="439">
        <f>INDEX('9 Flare Hold'!$G:$G,MATCH(Scenarios!$A14,'9 Flare Hold'!$A:$A,0))</f>
        <v>1.2550274509803923E-2</v>
      </c>
      <c r="I14" s="126">
        <f>INDEX('5 Flare2'!$F:$F,MATCH(Scenarios!$A14,'5 Flare2'!$A:$A,0))</f>
        <v>7.8143790849673211E-3</v>
      </c>
      <c r="J14" s="436">
        <f>INDEX('5 Flare2'!$G:$G,MATCH(Scenarios!$A14,'5 Flare2'!$A:$A,0))</f>
        <v>3.4226980392156867E-2</v>
      </c>
      <c r="K14" s="126">
        <f t="shared" si="6"/>
        <v>7.8143790849673211E-3</v>
      </c>
      <c r="L14" s="436">
        <f t="shared" si="6"/>
        <v>3.4226980392156867E-2</v>
      </c>
      <c r="M14" s="126">
        <f>INDEX('4 Flare1'!$F:$F,MATCH(Scenarios!$A14,'4 Flare1'!$A:$A,0))</f>
        <v>3.1921568627450984E-2</v>
      </c>
      <c r="N14" s="436">
        <f>INDEX('4 Flare1'!$G:$G,MATCH(Scenarios!$A14,'4 Flare1'!$A:$A,0))</f>
        <v>0.13981647058823532</v>
      </c>
      <c r="O14" s="126">
        <f>INDEX('6 Flare3'!$F:$F,MATCH(Scenarios!$A14,'6 Flare3'!$A:$A,0))</f>
        <v>0.10810457516339869</v>
      </c>
      <c r="P14" s="436">
        <f>INDEX('6 Flare3'!$G:$G,MATCH(Scenarios!$A14,'6 Flare3'!$A:$A,0))</f>
        <v>0.47349803921568628</v>
      </c>
      <c r="Q14" s="323">
        <f>INDEX('7 Flare4'!$F:$F,MATCH(Scenarios!$A14,'7 Flare4'!$A:$A,0))</f>
        <v>0.11183529411764705</v>
      </c>
      <c r="R14" s="439">
        <f>INDEX('7 Flare4'!$G:$G,MATCH(Scenarios!$A14,'7 Flare4'!$A:$A,0))</f>
        <v>0.48983858823529408</v>
      </c>
      <c r="S14" s="323">
        <f>INDEX('8 Flare5'!$F:$F,MATCH(Scenarios!$A14,'8 Flare5'!$A:$A,0))</f>
        <v>0.11663921568627453</v>
      </c>
      <c r="T14" s="439">
        <f>INDEX('8 Flare5'!$G:$G,MATCH(Scenarios!$A14,'8 Flare5'!$A:$A,0))</f>
        <v>0.51087976470588248</v>
      </c>
      <c r="U14" s="126">
        <f t="shared" si="0"/>
        <v>0.11663921568627453</v>
      </c>
      <c r="V14" s="436">
        <f t="shared" si="0"/>
        <v>0.51087976470588248</v>
      </c>
      <c r="W14" s="323">
        <f>INDEX('10 Flare Purge A1'!$F:$F,MATCH(Scenarios!$A14,'10 Flare Purge A1'!$A:$A,0))</f>
        <v>0.32627450980392159</v>
      </c>
      <c r="X14" s="439">
        <f>INDEX('10 Flare Purge A1'!$G:$G,MATCH(Scenarios!$A14,'10 Flare Purge A1'!$A:$A,0))</f>
        <v>4.0127233115468407E-4</v>
      </c>
      <c r="Y14" s="323">
        <f>INDEX('11 Flare Purge A2'!$F:$F,MATCH(Scenarios!$A14,'11 Flare Purge A2'!$A:$A,0))</f>
        <v>1.5192156862745099</v>
      </c>
      <c r="Z14" s="439">
        <f>INDEX('11 Flare Purge A2'!$G:$G,MATCH(Scenarios!$A14,'11 Flare Purge A2'!$A:$A,0))</f>
        <v>1.6015065359477128E-3</v>
      </c>
      <c r="AA14" s="323">
        <f>INDEX('12 Flare Purge B'!$F:$F,MATCH(Scenarios!$A14,'12 Flare Purge B'!$A:$A,0))</f>
        <v>0.32627450980392159</v>
      </c>
      <c r="AB14" s="439">
        <f>INDEX('12 Flare Purge B'!$G:$G,MATCH(Scenarios!$A14,'12 Flare Purge B'!$A:$A,0))</f>
        <v>1.513369934640523E-4</v>
      </c>
      <c r="AC14" s="126">
        <f t="shared" si="1"/>
        <v>1.5192156862745099</v>
      </c>
      <c r="AD14" s="435">
        <f t="shared" si="1"/>
        <v>1.6015065359477128E-3</v>
      </c>
      <c r="AE14" s="462">
        <f t="shared" si="2"/>
        <v>1.5270300653594773</v>
      </c>
      <c r="AF14" s="436">
        <f t="shared" si="2"/>
        <v>3.5828486928104579E-2</v>
      </c>
      <c r="AG14" s="126">
        <f t="shared" si="3"/>
        <v>1.6358549019607844</v>
      </c>
      <c r="AH14" s="436">
        <f t="shared" si="3"/>
        <v>0.51248127124183018</v>
      </c>
      <c r="AI14" s="126">
        <f t="shared" si="4"/>
        <v>1.715318995949134</v>
      </c>
      <c r="AJ14" s="435">
        <f t="shared" si="9"/>
        <v>0.52201696252043217</v>
      </c>
      <c r="AK14" s="470">
        <f t="shared" si="5"/>
        <v>1.715318995949134</v>
      </c>
      <c r="AL14" s="471">
        <f t="shared" si="5"/>
        <v>0.52201696252043217</v>
      </c>
      <c r="AM14" s="471">
        <f t="shared" si="8"/>
        <v>1044.0339250408642</v>
      </c>
      <c r="AN14" s="1" t="s">
        <v>370</v>
      </c>
    </row>
    <row r="15" spans="1:40">
      <c r="A15" s="398" t="s">
        <v>308</v>
      </c>
      <c r="B15" s="83" t="s">
        <v>33</v>
      </c>
      <c r="C15" s="328">
        <v>0</v>
      </c>
      <c r="D15" s="438">
        <v>0</v>
      </c>
      <c r="E15" s="322">
        <f>INDEX('3 Vapor'!E:E,MATCH($A15,'3 Vapor'!$A:$A,0))</f>
        <v>1.2077371887343738E-5</v>
      </c>
      <c r="F15" s="439">
        <f>INDEX('3 Vapor'!F:F,MATCH($A15,'3 Vapor'!$A:$A,0))</f>
        <v>1.4492846264812485E-6</v>
      </c>
      <c r="G15" s="322">
        <f>INDEX('9 Flare Hold'!$F:$F,MATCH(Scenarios!$A15,'9 Flare Hold'!$A:$A,0))</f>
        <v>1.7908496732026147E-7</v>
      </c>
      <c r="H15" s="439">
        <f>INDEX('9 Flare Hold'!$G:$G,MATCH(Scenarios!$A15,'9 Flare Hold'!$A:$A,0))</f>
        <v>7.8439215686274518E-7</v>
      </c>
      <c r="I15" s="126">
        <f>INDEX('5 Flare2'!$F:$F,MATCH(Scenarios!$A15,'5 Flare2'!$A:$A,0))</f>
        <v>4.8839869281045751E-7</v>
      </c>
      <c r="J15" s="436">
        <f>INDEX('5 Flare2'!$G:$G,MATCH(Scenarios!$A15,'5 Flare2'!$A:$A,0))</f>
        <v>2.1391862745098039E-6</v>
      </c>
      <c r="K15" s="126">
        <f t="shared" si="6"/>
        <v>4.8839869281045751E-7</v>
      </c>
      <c r="L15" s="436">
        <f t="shared" si="6"/>
        <v>2.1391862745098039E-6</v>
      </c>
      <c r="M15" s="126">
        <f>INDEX('4 Flare1'!$F:$F,MATCH(Scenarios!$A15,'4 Flare1'!$A:$A,0))</f>
        <v>1.9950980392156867E-6</v>
      </c>
      <c r="N15" s="436">
        <f>INDEX('4 Flare1'!$G:$G,MATCH(Scenarios!$A15,'4 Flare1'!$A:$A,0))</f>
        <v>8.7385294117647068E-6</v>
      </c>
      <c r="O15" s="126">
        <f>INDEX('6 Flare3'!$F:$F,MATCH(Scenarios!$A15,'6 Flare3'!$A:$A,0))</f>
        <v>6.7565359477124179E-6</v>
      </c>
      <c r="P15" s="436">
        <f>INDEX('6 Flare3'!$G:$G,MATCH(Scenarios!$A15,'6 Flare3'!$A:$A,0))</f>
        <v>2.959362745098039E-5</v>
      </c>
      <c r="Q15" s="323">
        <f>INDEX('7 Flare4'!$F:$F,MATCH(Scenarios!$A15,'7 Flare4'!$A:$A,0))</f>
        <v>6.989705882352941E-6</v>
      </c>
      <c r="R15" s="439">
        <f>INDEX('7 Flare4'!$G:$G,MATCH(Scenarios!$A15,'7 Flare4'!$A:$A,0))</f>
        <v>3.0614911764705879E-5</v>
      </c>
      <c r="S15" s="323">
        <f>INDEX('8 Flare5'!$F:$F,MATCH(Scenarios!$A15,'8 Flare5'!$A:$A,0))</f>
        <v>7.2899509803921578E-6</v>
      </c>
      <c r="T15" s="439">
        <f>INDEX('8 Flare5'!$G:$G,MATCH(Scenarios!$A15,'8 Flare5'!$A:$A,0))</f>
        <v>3.1929985294117649E-5</v>
      </c>
      <c r="U15" s="126">
        <f t="shared" si="0"/>
        <v>7.2899509803921578E-6</v>
      </c>
      <c r="V15" s="436">
        <f t="shared" si="0"/>
        <v>3.1929985294117649E-5</v>
      </c>
      <c r="W15" s="323">
        <f>INDEX('10 Flare Purge A1'!$F:$F,MATCH(Scenarios!$A15,'10 Flare Purge A1'!$A:$A,0))</f>
        <v>4.8229847494553377E-7</v>
      </c>
      <c r="X15" s="439">
        <f>INDEX('10 Flare Purge A1'!$G:$G,MATCH(Scenarios!$A15,'10 Flare Purge A1'!$A:$A,0))</f>
        <v>2.5079520697167758E-8</v>
      </c>
      <c r="Y15" s="323">
        <f>INDEX('11 Flare Purge A2'!$F:$F,MATCH(Scenarios!$A15,'11 Flare Purge A2'!$A:$A,0))</f>
        <v>4.1339869281045759E-7</v>
      </c>
      <c r="Z15" s="439">
        <f>INDEX('11 Flare Purge A2'!$G:$G,MATCH(Scenarios!$A15,'11 Flare Purge A2'!$A:$A,0))</f>
        <v>1.0009415849673206E-7</v>
      </c>
      <c r="AA15" s="323">
        <f>INDEX('12 Flare Purge B'!$F:$F,MATCH(Scenarios!$A15,'12 Flare Purge B'!$A:$A,0))</f>
        <v>1.8189542483660132E-7</v>
      </c>
      <c r="AB15" s="439">
        <f>INDEX('12 Flare Purge B'!$G:$G,MATCH(Scenarios!$A15,'12 Flare Purge B'!$A:$A,0))</f>
        <v>9.4585620915032685E-9</v>
      </c>
      <c r="AC15" s="126">
        <f t="shared" si="1"/>
        <v>4.8229847494553377E-7</v>
      </c>
      <c r="AD15" s="435">
        <f t="shared" si="1"/>
        <v>1.0009415849673206E-7</v>
      </c>
      <c r="AE15" s="462">
        <f t="shared" si="2"/>
        <v>9.7069716775599117E-7</v>
      </c>
      <c r="AF15" s="436">
        <f t="shared" si="2"/>
        <v>2.2392804330065361E-6</v>
      </c>
      <c r="AG15" s="126">
        <f t="shared" si="3"/>
        <v>7.7722494553376911E-6</v>
      </c>
      <c r="AH15" s="436">
        <f t="shared" si="3"/>
        <v>3.2030079452614379E-5</v>
      </c>
      <c r="AI15" s="126">
        <f t="shared" si="4"/>
        <v>1.2738755329609533E-5</v>
      </c>
      <c r="AJ15" s="435">
        <f t="shared" si="7"/>
        <v>3.2626060157527E-5</v>
      </c>
      <c r="AK15" s="470">
        <f t="shared" si="5"/>
        <v>1.2738755329609533E-5</v>
      </c>
      <c r="AL15" s="471">
        <f t="shared" si="5"/>
        <v>3.2626060157527E-5</v>
      </c>
      <c r="AM15" s="471">
        <f t="shared" si="8"/>
        <v>6.5252120315053994E-2</v>
      </c>
      <c r="AN15" s="1" t="s">
        <v>370</v>
      </c>
    </row>
    <row r="16" spans="1:40">
      <c r="A16" s="398" t="s">
        <v>59</v>
      </c>
      <c r="B16" s="83" t="s">
        <v>12</v>
      </c>
      <c r="C16" s="322">
        <f>'13 Fugitives'!L38</f>
        <v>3.4055535108536269E-6</v>
      </c>
      <c r="D16" s="439">
        <f>'13 Fugitives'!L49</f>
        <v>1.4916324377538885E-5</v>
      </c>
      <c r="E16" s="322">
        <f>INDEX('3 Vapor'!E:E,MATCH($A16,'3 Vapor'!$A:$A,0))</f>
        <v>3.5024378473296836E-4</v>
      </c>
      <c r="F16" s="439">
        <f>INDEX('3 Vapor'!F:F,MATCH($A16,'3 Vapor'!$A:$A,0))</f>
        <v>4.2029254167956207E-5</v>
      </c>
      <c r="G16" s="322">
        <f>INDEX('9 Flare Hold'!$F:$F,MATCH(Scenarios!$A16,'9 Flare Hold'!$A:$A,0))</f>
        <v>1.5547956498713207E-6</v>
      </c>
      <c r="H16" s="439">
        <f>INDEX('9 Flare Hold'!$G:$G,MATCH(Scenarios!$A16,'9 Flare Hold'!$A:$A,0))</f>
        <v>6.8100049464363846E-6</v>
      </c>
      <c r="I16" s="126">
        <f>INDEX('5 Flare2'!$F:$F,MATCH(Scenarios!$A16,'5 Flare2'!$A:$A,0))</f>
        <v>4.2402228079063658E-6</v>
      </c>
      <c r="J16" s="436">
        <f>INDEX('5 Flare2'!$G:$G,MATCH(Scenarios!$A16,'5 Flare2'!$A:$A,0))</f>
        <v>1.8572175898629881E-5</v>
      </c>
      <c r="K16" s="126">
        <f t="shared" si="6"/>
        <v>4.2402228079063658E-6</v>
      </c>
      <c r="L16" s="436">
        <f t="shared" si="6"/>
        <v>1.8572175898629881E-5</v>
      </c>
      <c r="M16" s="126">
        <f>INDEX('4 Flare1'!$F:$F,MATCH(Scenarios!$A16,'4 Flare1'!$A:$A,0))</f>
        <v>1.7321217960701482E-5</v>
      </c>
      <c r="N16" s="436">
        <f>INDEX('4 Flare1'!$G:$G,MATCH(Scenarios!$A16,'4 Flare1'!$A:$A,0))</f>
        <v>7.5866934667872485E-5</v>
      </c>
      <c r="O16" s="126">
        <f>INDEX('6 Flare3'!$F:$F,MATCH(Scenarios!$A16,'6 Flare3'!$A:$A,0))</f>
        <v>5.8659489162572165E-5</v>
      </c>
      <c r="P16" s="436">
        <f>INDEX('6 Flare3'!$G:$G,MATCH(Scenarios!$A16,'6 Flare3'!$A:$A,0))</f>
        <v>2.5692856253206608E-4</v>
      </c>
      <c r="Q16" s="323">
        <f>INDEX('7 Flare4'!$F:$F,MATCH(Scenarios!$A16,'7 Flare4'!$A:$A,0))</f>
        <v>6.068384444757798E-5</v>
      </c>
      <c r="R16" s="439">
        <f>INDEX('7 Flare4'!$G:$G,MATCH(Scenarios!$A16,'7 Flare4'!$A:$A,0))</f>
        <v>2.6579523868039157E-4</v>
      </c>
      <c r="S16" s="323">
        <f>INDEX('8 Flare5'!$F:$F,MATCH(Scenarios!$A16,'8 Flare5'!$A:$A,0))</f>
        <v>6.3290538796700763E-5</v>
      </c>
      <c r="T16" s="439">
        <f>INDEX('8 Flare5'!$G:$G,MATCH(Scenarios!$A16,'8 Flare5'!$A:$A,0))</f>
        <v>2.7721255992954933E-4</v>
      </c>
      <c r="U16" s="126">
        <f t="shared" si="0"/>
        <v>6.3290538796700763E-5</v>
      </c>
      <c r="V16" s="436">
        <f t="shared" si="0"/>
        <v>2.7721255992954933E-4</v>
      </c>
      <c r="W16" s="323">
        <f>INDEX('10 Flare Purge A1'!$F:$F,MATCH(Scenarios!$A16,'10 Flare Purge A1'!$A:$A,0))</f>
        <v>4.1872613989083154E-6</v>
      </c>
      <c r="X16" s="439">
        <f>INDEX('10 Flare Purge A1'!$G:$G,MATCH(Scenarios!$A16,'10 Flare Purge A1'!$A:$A,0))</f>
        <v>2.1773759274323238E-7</v>
      </c>
      <c r="Y16" s="323">
        <f>INDEX('11 Flare Purge A2'!$F:$F,MATCH(Scenarios!$A16,'11 Flare Purge A2'!$A:$A,0))</f>
        <v>3.5890811990642709E-6</v>
      </c>
      <c r="Z16" s="439">
        <f>INDEX('11 Flare Purge A2'!$G:$G,MATCH(Scenarios!$A16,'11 Flare Purge A2'!$A:$A,0))</f>
        <v>8.6900628532343656E-7</v>
      </c>
      <c r="AA16" s="323">
        <f>INDEX('12 Flare Purge B'!$F:$F,MATCH(Scenarios!$A16,'12 Flare Purge B'!$A:$A,0))</f>
        <v>1.5791957275882791E-6</v>
      </c>
      <c r="AB16" s="439">
        <f>INDEX('12 Flare Purge B'!$G:$G,MATCH(Scenarios!$A16,'12 Flare Purge B'!$A:$A,0))</f>
        <v>8.2118177834590511E-8</v>
      </c>
      <c r="AC16" s="126">
        <f t="shared" si="1"/>
        <v>4.1872613989083154E-6</v>
      </c>
      <c r="AD16" s="435">
        <f t="shared" si="1"/>
        <v>8.6900628532343656E-7</v>
      </c>
      <c r="AE16" s="462">
        <f t="shared" si="2"/>
        <v>8.4274842068146812E-6</v>
      </c>
      <c r="AF16" s="436">
        <f t="shared" si="2"/>
        <v>1.9441182183953317E-5</v>
      </c>
      <c r="AG16" s="126">
        <f t="shared" si="3"/>
        <v>6.7477800195609079E-5</v>
      </c>
      <c r="AH16" s="436">
        <f t="shared" si="3"/>
        <v>2.7808156621487274E-4</v>
      </c>
      <c r="AI16" s="126">
        <f t="shared" si="4"/>
        <v>3.55985841781748E-4</v>
      </c>
      <c r="AJ16" s="435">
        <f t="shared" si="7"/>
        <v>3.1270253120520942E-4</v>
      </c>
      <c r="AK16" s="470">
        <f t="shared" si="5"/>
        <v>3.5939139529260163E-4</v>
      </c>
      <c r="AL16" s="471">
        <f t="shared" si="5"/>
        <v>3.2761885558274832E-4</v>
      </c>
      <c r="AM16" s="471">
        <f t="shared" si="8"/>
        <v>0.65523771116549667</v>
      </c>
      <c r="AN16" s="1" t="s">
        <v>370</v>
      </c>
    </row>
    <row r="17" spans="1:40">
      <c r="A17" s="398" t="s">
        <v>307</v>
      </c>
      <c r="B17" s="83" t="s">
        <v>34</v>
      </c>
      <c r="C17" s="328">
        <v>0</v>
      </c>
      <c r="D17" s="438">
        <v>0</v>
      </c>
      <c r="E17" s="322">
        <f>INDEX('3 Vapor'!E:E,MATCH($A17,'3 Vapor'!$A:$A,0))</f>
        <v>7.2464231324062436E-7</v>
      </c>
      <c r="F17" s="439">
        <f>INDEX('3 Vapor'!F:F,MATCH($A17,'3 Vapor'!$A:$A,0))</f>
        <v>8.6957077588874924E-8</v>
      </c>
      <c r="G17" s="322">
        <f>INDEX('9 Flare Hold'!$F:$F,MATCH(Scenarios!$A17,'9 Flare Hold'!$A:$A,0))</f>
        <v>1.0745098039215688E-8</v>
      </c>
      <c r="H17" s="439">
        <f>INDEX('9 Flare Hold'!$G:$G,MATCH(Scenarios!$A17,'9 Flare Hold'!$A:$A,0))</f>
        <v>4.7063529411764715E-8</v>
      </c>
      <c r="I17" s="126">
        <f>INDEX('5 Flare2'!$F:$F,MATCH(Scenarios!$A17,'5 Flare2'!$A:$A,0))</f>
        <v>2.9303921568627448E-8</v>
      </c>
      <c r="J17" s="436">
        <f>INDEX('5 Flare2'!$G:$G,MATCH(Scenarios!$A17,'5 Flare2'!$A:$A,0))</f>
        <v>1.2835117647058822E-7</v>
      </c>
      <c r="K17" s="126">
        <f t="shared" si="6"/>
        <v>2.9303921568627448E-8</v>
      </c>
      <c r="L17" s="436">
        <f t="shared" si="6"/>
        <v>1.2835117647058822E-7</v>
      </c>
      <c r="M17" s="126">
        <f>INDEX('4 Flare1'!$F:$F,MATCH(Scenarios!$A17,'4 Flare1'!$A:$A,0))</f>
        <v>1.1970588235294118E-7</v>
      </c>
      <c r="N17" s="436">
        <f>INDEX('4 Flare1'!$G:$G,MATCH(Scenarios!$A17,'4 Flare1'!$A:$A,0))</f>
        <v>5.2431176470588233E-7</v>
      </c>
      <c r="O17" s="126">
        <f>INDEX('6 Flare3'!$F:$F,MATCH(Scenarios!$A17,'6 Flare3'!$A:$A,0))</f>
        <v>4.0539215686274503E-7</v>
      </c>
      <c r="P17" s="436">
        <f>INDEX('6 Flare3'!$G:$G,MATCH(Scenarios!$A17,'6 Flare3'!$A:$A,0))</f>
        <v>1.7756176470588232E-6</v>
      </c>
      <c r="Q17" s="323">
        <f>INDEX('7 Flare4'!$F:$F,MATCH(Scenarios!$A17,'7 Flare4'!$A:$A,0))</f>
        <v>4.1938235294117637E-7</v>
      </c>
      <c r="R17" s="439">
        <f>INDEX('7 Flare4'!$G:$G,MATCH(Scenarios!$A17,'7 Flare4'!$A:$A,0))</f>
        <v>1.8368947058823524E-6</v>
      </c>
      <c r="S17" s="323">
        <f>INDEX('8 Flare5'!$F:$F,MATCH(Scenarios!$A17,'8 Flare5'!$A:$A,0))</f>
        <v>4.3739705882352943E-7</v>
      </c>
      <c r="T17" s="439">
        <f>INDEX('8 Flare5'!$G:$G,MATCH(Scenarios!$A17,'8 Flare5'!$A:$A,0))</f>
        <v>1.9157991176470591E-6</v>
      </c>
      <c r="U17" s="126">
        <f t="shared" si="0"/>
        <v>4.3739705882352943E-7</v>
      </c>
      <c r="V17" s="436">
        <f t="shared" si="0"/>
        <v>1.9157991176470591E-6</v>
      </c>
      <c r="W17" s="323">
        <f>INDEX('10 Flare Purge A1'!$F:$F,MATCH(Scenarios!$A17,'10 Flare Purge A1'!$A:$A,0))</f>
        <v>2.8937908496732024E-8</v>
      </c>
      <c r="X17" s="439">
        <f>INDEX('10 Flare Purge A1'!$G:$G,MATCH(Scenarios!$A17,'10 Flare Purge A1'!$A:$A,0))</f>
        <v>1.5047712418300653E-9</v>
      </c>
      <c r="Y17" s="323">
        <f>INDEX('11 Flare Purge A2'!$F:$F,MATCH(Scenarios!$A17,'11 Flare Purge A2'!$A:$A,0))</f>
        <v>2.4803921568627451E-8</v>
      </c>
      <c r="Z17" s="439">
        <f>INDEX('11 Flare Purge A2'!$G:$G,MATCH(Scenarios!$A17,'11 Flare Purge A2'!$A:$A,0))</f>
        <v>6.0056495098039217E-9</v>
      </c>
      <c r="AA17" s="323">
        <f>INDEX('12 Flare Purge B'!$F:$F,MATCH(Scenarios!$A17,'12 Flare Purge B'!$A:$A,0))</f>
        <v>1.0913725490196078E-8</v>
      </c>
      <c r="AB17" s="439">
        <f>INDEX('12 Flare Purge B'!$G:$G,MATCH(Scenarios!$A17,'12 Flare Purge B'!$A:$A,0))</f>
        <v>5.6751372549019611E-10</v>
      </c>
      <c r="AC17" s="126">
        <f t="shared" si="1"/>
        <v>2.8937908496732024E-8</v>
      </c>
      <c r="AD17" s="435">
        <f t="shared" si="1"/>
        <v>6.0056495098039217E-9</v>
      </c>
      <c r="AE17" s="462">
        <f t="shared" si="2"/>
        <v>5.8241830065359476E-8</v>
      </c>
      <c r="AF17" s="436">
        <f t="shared" si="2"/>
        <v>1.3435682598039213E-7</v>
      </c>
      <c r="AG17" s="126">
        <f t="shared" si="3"/>
        <v>4.6633496732026145E-7</v>
      </c>
      <c r="AH17" s="436">
        <f t="shared" si="3"/>
        <v>1.9218047671568629E-6</v>
      </c>
      <c r="AI17" s="126">
        <f t="shared" si="4"/>
        <v>7.6432531977657206E-7</v>
      </c>
      <c r="AJ17" s="435">
        <f t="shared" si="7"/>
        <v>1.9575636094516203E-6</v>
      </c>
      <c r="AK17" s="470">
        <f t="shared" si="5"/>
        <v>7.6432531977657206E-7</v>
      </c>
      <c r="AL17" s="471">
        <f t="shared" si="5"/>
        <v>1.9575636094516203E-6</v>
      </c>
      <c r="AM17" s="471">
        <f t="shared" si="8"/>
        <v>3.915127218903241E-3</v>
      </c>
      <c r="AN17" s="1" t="s">
        <v>370</v>
      </c>
    </row>
    <row r="18" spans="1:40">
      <c r="A18" s="398" t="s">
        <v>69</v>
      </c>
      <c r="B18" s="83" t="s">
        <v>35</v>
      </c>
      <c r="C18" s="328">
        <v>0</v>
      </c>
      <c r="D18" s="438">
        <v>0</v>
      </c>
      <c r="E18" s="322">
        <f>INDEX('3 Vapor'!E:E,MATCH($A18,'3 Vapor'!$A:$A,0))</f>
        <v>6.6425545380390549E-5</v>
      </c>
      <c r="F18" s="439">
        <f>INDEX('3 Vapor'!F:F,MATCH($A18,'3 Vapor'!$A:$A,0))</f>
        <v>7.9710654456468661E-6</v>
      </c>
      <c r="G18" s="322">
        <f>INDEX('9 Flare Hold'!$F:$F,MATCH(Scenarios!$A18,'9 Flare Hold'!$A:$A,0))</f>
        <v>9.8496732026143813E-7</v>
      </c>
      <c r="H18" s="439">
        <f>INDEX('9 Flare Hold'!$G:$G,MATCH(Scenarios!$A18,'9 Flare Hold'!$A:$A,0))</f>
        <v>4.314156862745099E-6</v>
      </c>
      <c r="I18" s="126">
        <f>INDEX('5 Flare2'!$F:$F,MATCH(Scenarios!$A18,'5 Flare2'!$A:$A,0))</f>
        <v>2.6861928104575166E-6</v>
      </c>
      <c r="J18" s="436">
        <f>INDEX('5 Flare2'!$G:$G,MATCH(Scenarios!$A18,'5 Flare2'!$A:$A,0))</f>
        <v>1.1765524509803922E-5</v>
      </c>
      <c r="K18" s="126">
        <f t="shared" si="6"/>
        <v>2.6861928104575166E-6</v>
      </c>
      <c r="L18" s="436">
        <f t="shared" si="6"/>
        <v>1.1765524509803922E-5</v>
      </c>
      <c r="M18" s="126">
        <f>INDEX('4 Flare1'!$F:$F,MATCH(Scenarios!$A18,'4 Flare1'!$A:$A,0))</f>
        <v>1.0973039215686276E-5</v>
      </c>
      <c r="N18" s="436">
        <f>INDEX('4 Flare1'!$G:$G,MATCH(Scenarios!$A18,'4 Flare1'!$A:$A,0))</f>
        <v>4.806191176470589E-5</v>
      </c>
      <c r="O18" s="126">
        <f>INDEX('6 Flare3'!$F:$F,MATCH(Scenarios!$A18,'6 Flare3'!$A:$A,0))</f>
        <v>3.7160947712418298E-5</v>
      </c>
      <c r="P18" s="436">
        <f>INDEX('6 Flare3'!$G:$G,MATCH(Scenarios!$A18,'6 Flare3'!$A:$A,0))</f>
        <v>1.6276495098039215E-4</v>
      </c>
      <c r="Q18" s="323">
        <f>INDEX('7 Flare4'!$F:$F,MATCH(Scenarios!$A18,'7 Flare4'!$A:$A,0))</f>
        <v>3.8443382352941169E-5</v>
      </c>
      <c r="R18" s="439">
        <f>INDEX('7 Flare4'!$G:$G,MATCH(Scenarios!$A18,'7 Flare4'!$A:$A,0))</f>
        <v>1.6838201470588233E-4</v>
      </c>
      <c r="S18" s="323">
        <f>INDEX('8 Flare5'!$F:$F,MATCH(Scenarios!$A18,'8 Flare5'!$A:$A,0))</f>
        <v>4.0094730392156864E-5</v>
      </c>
      <c r="T18" s="439">
        <f>INDEX('8 Flare5'!$G:$G,MATCH(Scenarios!$A18,'8 Flare5'!$A:$A,0))</f>
        <v>1.7561491911764708E-4</v>
      </c>
      <c r="U18" s="126">
        <f t="shared" si="0"/>
        <v>4.0094730392156864E-5</v>
      </c>
      <c r="V18" s="436">
        <f t="shared" si="0"/>
        <v>1.7561491911764708E-4</v>
      </c>
      <c r="W18" s="323">
        <f>INDEX('10 Flare Purge A1'!$F:$F,MATCH(Scenarios!$A18,'10 Flare Purge A1'!$A:$A,0))</f>
        <v>2.6526416122004359E-6</v>
      </c>
      <c r="X18" s="439">
        <f>INDEX('10 Flare Purge A1'!$G:$G,MATCH(Scenarios!$A18,'10 Flare Purge A1'!$A:$A,0))</f>
        <v>1.3793736383442266E-7</v>
      </c>
      <c r="Y18" s="323">
        <f>INDEX('11 Flare Purge A2'!$F:$F,MATCH(Scenarios!$A18,'11 Flare Purge A2'!$A:$A,0))</f>
        <v>2.2736928104575167E-6</v>
      </c>
      <c r="Z18" s="439">
        <f>INDEX('11 Flare Purge A2'!$G:$G,MATCH(Scenarios!$A18,'11 Flare Purge A2'!$A:$A,0))</f>
        <v>5.5051787173202619E-7</v>
      </c>
      <c r="AA18" s="323">
        <f>INDEX('12 Flare Purge B'!$F:$F,MATCH(Scenarios!$A18,'12 Flare Purge B'!$A:$A,0))</f>
        <v>1.0004248366013073E-6</v>
      </c>
      <c r="AB18" s="439">
        <f>INDEX('12 Flare Purge B'!$G:$G,MATCH(Scenarios!$A18,'12 Flare Purge B'!$A:$A,0))</f>
        <v>5.2022091503267981E-8</v>
      </c>
      <c r="AC18" s="126">
        <f t="shared" si="1"/>
        <v>2.6526416122004359E-6</v>
      </c>
      <c r="AD18" s="435">
        <f t="shared" si="1"/>
        <v>5.5051787173202619E-7</v>
      </c>
      <c r="AE18" s="462">
        <f t="shared" si="2"/>
        <v>5.3388344226579525E-6</v>
      </c>
      <c r="AF18" s="436">
        <f t="shared" si="2"/>
        <v>1.2316042381535947E-5</v>
      </c>
      <c r="AG18" s="126">
        <f t="shared" si="3"/>
        <v>4.27473720043573E-5</v>
      </c>
      <c r="AH18" s="436">
        <f t="shared" si="3"/>
        <v>1.7616543698937911E-4</v>
      </c>
      <c r="AI18" s="126">
        <f t="shared" si="4"/>
        <v>7.0063154312852423E-5</v>
      </c>
      <c r="AJ18" s="435">
        <f t="shared" si="7"/>
        <v>1.7944333086639854E-4</v>
      </c>
      <c r="AK18" s="470">
        <f t="shared" si="5"/>
        <v>7.0063154312852423E-5</v>
      </c>
      <c r="AL18" s="471">
        <f t="shared" si="5"/>
        <v>1.7944333086639854E-4</v>
      </c>
      <c r="AM18" s="471">
        <f t="shared" si="8"/>
        <v>0.3588866617327971</v>
      </c>
      <c r="AN18" s="1" t="s">
        <v>370</v>
      </c>
    </row>
    <row r="19" spans="1:40">
      <c r="A19" s="398" t="s">
        <v>290</v>
      </c>
      <c r="B19" s="83" t="s">
        <v>80</v>
      </c>
      <c r="C19" s="328">
        <v>0</v>
      </c>
      <c r="D19" s="438">
        <v>0</v>
      </c>
      <c r="E19" s="322">
        <f>INDEX('3 Vapor'!E:E,MATCH($A19,'3 Vapor'!$A:$A,0))</f>
        <v>8.4541603211406161E-5</v>
      </c>
      <c r="F19" s="439">
        <f>INDEX('3 Vapor'!F:F,MATCH($A19,'3 Vapor'!$A:$A,0))</f>
        <v>1.0144992385368739E-5</v>
      </c>
      <c r="G19" s="322">
        <f>INDEX('9 Flare Hold'!$F:$F,MATCH(Scenarios!$A19,'9 Flare Hold'!$A:$A,0))</f>
        <v>1.2535947712418302E-6</v>
      </c>
      <c r="H19" s="439">
        <f>INDEX('9 Flare Hold'!$G:$G,MATCH(Scenarios!$A19,'9 Flare Hold'!$A:$A,0))</f>
        <v>5.4907450980392165E-6</v>
      </c>
      <c r="I19" s="126">
        <f>INDEX('5 Flare2'!$F:$F,MATCH(Scenarios!$A19,'5 Flare2'!$A:$A,0))</f>
        <v>3.4187908496732027E-6</v>
      </c>
      <c r="J19" s="436">
        <f>INDEX('5 Flare2'!$G:$G,MATCH(Scenarios!$A19,'5 Flare2'!$A:$A,0))</f>
        <v>1.4974303921568628E-5</v>
      </c>
      <c r="K19" s="126">
        <f t="shared" si="6"/>
        <v>3.4187908496732027E-6</v>
      </c>
      <c r="L19" s="436">
        <f t="shared" si="6"/>
        <v>1.4974303921568628E-5</v>
      </c>
      <c r="M19" s="126">
        <f>INDEX('4 Flare1'!$F:$F,MATCH(Scenarios!$A19,'4 Flare1'!$A:$A,0))</f>
        <v>1.3965686274509805E-5</v>
      </c>
      <c r="N19" s="436">
        <f>INDEX('4 Flare1'!$G:$G,MATCH(Scenarios!$A19,'4 Flare1'!$A:$A,0))</f>
        <v>6.1169705882352946E-5</v>
      </c>
      <c r="O19" s="126">
        <f>INDEX('6 Flare3'!$F:$F,MATCH(Scenarios!$A19,'6 Flare3'!$A:$A,0))</f>
        <v>4.7295751633986924E-5</v>
      </c>
      <c r="P19" s="436">
        <f>INDEX('6 Flare3'!$G:$G,MATCH(Scenarios!$A19,'6 Flare3'!$A:$A,0))</f>
        <v>2.0715539215686275E-4</v>
      </c>
      <c r="Q19" s="323">
        <f>INDEX('7 Flare4'!$F:$F,MATCH(Scenarios!$A19,'7 Flare4'!$A:$A,0))</f>
        <v>4.8927941176470582E-5</v>
      </c>
      <c r="R19" s="439">
        <f>INDEX('7 Flare4'!$G:$G,MATCH(Scenarios!$A19,'7 Flare4'!$A:$A,0))</f>
        <v>2.1430438235294112E-4</v>
      </c>
      <c r="S19" s="323">
        <f>INDEX('8 Flare5'!$F:$F,MATCH(Scenarios!$A19,'8 Flare5'!$A:$A,0))</f>
        <v>5.10296568627451E-5</v>
      </c>
      <c r="T19" s="439">
        <f>INDEX('8 Flare5'!$G:$G,MATCH(Scenarios!$A19,'8 Flare5'!$A:$A,0))</f>
        <v>2.2350989705882354E-4</v>
      </c>
      <c r="U19" s="126">
        <f t="shared" si="0"/>
        <v>5.10296568627451E-5</v>
      </c>
      <c r="V19" s="436">
        <f t="shared" si="0"/>
        <v>2.2350989705882354E-4</v>
      </c>
      <c r="W19" s="323">
        <f>INDEX('10 Flare Purge A1'!$F:$F,MATCH(Scenarios!$A19,'10 Flare Purge A1'!$A:$A,0))</f>
        <v>3.3760893246187364E-6</v>
      </c>
      <c r="X19" s="439">
        <f>INDEX('10 Flare Purge A1'!$G:$G,MATCH(Scenarios!$A19,'10 Flare Purge A1'!$A:$A,0))</f>
        <v>1.755566448801743E-7</v>
      </c>
      <c r="Y19" s="323">
        <f>INDEX('11 Flare Purge A2'!$F:$F,MATCH(Scenarios!$A19,'11 Flare Purge A2'!$A:$A,0))</f>
        <v>2.8937908496732026E-6</v>
      </c>
      <c r="Z19" s="439">
        <f>INDEX('11 Flare Purge A2'!$G:$G,MATCH(Scenarios!$A19,'11 Flare Purge A2'!$A:$A,0))</f>
        <v>7.0065910947712416E-7</v>
      </c>
      <c r="AA19" s="323">
        <f>INDEX('12 Flare Purge B'!$F:$F,MATCH(Scenarios!$A19,'12 Flare Purge B'!$A:$A,0))</f>
        <v>1.2732679738562092E-6</v>
      </c>
      <c r="AB19" s="439">
        <f>INDEX('12 Flare Purge B'!$G:$G,MATCH(Scenarios!$A19,'12 Flare Purge B'!$A:$A,0))</f>
        <v>6.6209934640522881E-8</v>
      </c>
      <c r="AC19" s="126">
        <f t="shared" si="1"/>
        <v>3.3760893246187364E-6</v>
      </c>
      <c r="AD19" s="435">
        <f t="shared" si="1"/>
        <v>7.0065910947712416E-7</v>
      </c>
      <c r="AE19" s="462">
        <f t="shared" si="2"/>
        <v>6.7948801742919386E-6</v>
      </c>
      <c r="AF19" s="436">
        <f t="shared" si="2"/>
        <v>1.5674963031045753E-5</v>
      </c>
      <c r="AG19" s="126">
        <f t="shared" si="3"/>
        <v>5.4405746187363836E-5</v>
      </c>
      <c r="AH19" s="436">
        <f t="shared" si="3"/>
        <v>2.2421055616830067E-4</v>
      </c>
      <c r="AI19" s="126">
        <f t="shared" si="4"/>
        <v>8.9171287307266727E-5</v>
      </c>
      <c r="AJ19" s="435">
        <f t="shared" si="7"/>
        <v>2.28382421102689E-4</v>
      </c>
      <c r="AK19" s="470">
        <f t="shared" si="5"/>
        <v>8.9171287307266727E-5</v>
      </c>
      <c r="AL19" s="471">
        <f t="shared" si="5"/>
        <v>2.28382421102689E-4</v>
      </c>
      <c r="AM19" s="471">
        <f t="shared" si="8"/>
        <v>0.456764842205378</v>
      </c>
      <c r="AN19" s="1" t="s">
        <v>370</v>
      </c>
    </row>
    <row r="20" spans="1:40">
      <c r="A20" s="398" t="s">
        <v>70</v>
      </c>
      <c r="B20" s="83" t="s">
        <v>36</v>
      </c>
      <c r="C20" s="328">
        <v>0</v>
      </c>
      <c r="D20" s="438">
        <v>0</v>
      </c>
      <c r="E20" s="322">
        <f>INDEX('3 Vapor'!E:E,MATCH($A20,'3 Vapor'!$A:$A,0))</f>
        <v>5.0724961926843695E-6</v>
      </c>
      <c r="F20" s="439">
        <f>INDEX('3 Vapor'!F:F,MATCH($A20,'3 Vapor'!$A:$A,0))</f>
        <v>6.0869954312212428E-7</v>
      </c>
      <c r="G20" s="322">
        <f>INDEX('9 Flare Hold'!$F:$F,MATCH(Scenarios!$A20,'9 Flare Hold'!$A:$A,0))</f>
        <v>7.5215686274509815E-8</v>
      </c>
      <c r="H20" s="439">
        <f>INDEX('9 Flare Hold'!$G:$G,MATCH(Scenarios!$A20,'9 Flare Hold'!$A:$A,0))</f>
        <v>3.2944470588235299E-7</v>
      </c>
      <c r="I20" s="126">
        <f>INDEX('5 Flare2'!$F:$F,MATCH(Scenarios!$A20,'5 Flare2'!$A:$A,0))</f>
        <v>2.0512745098039214E-7</v>
      </c>
      <c r="J20" s="436">
        <f>INDEX('5 Flare2'!$G:$G,MATCH(Scenarios!$A20,'5 Flare2'!$A:$A,0))</f>
        <v>8.9845823529411765E-7</v>
      </c>
      <c r="K20" s="126">
        <f t="shared" si="6"/>
        <v>2.0512745098039214E-7</v>
      </c>
      <c r="L20" s="436">
        <f t="shared" si="6"/>
        <v>8.9845823529411765E-7</v>
      </c>
      <c r="M20" s="126">
        <f>INDEX('4 Flare1'!$F:$F,MATCH(Scenarios!$A20,'4 Flare1'!$A:$A,0))</f>
        <v>8.3794117647058824E-7</v>
      </c>
      <c r="N20" s="436">
        <f>INDEX('4 Flare1'!$G:$G,MATCH(Scenarios!$A20,'4 Flare1'!$A:$A,0))</f>
        <v>3.6701823529411764E-6</v>
      </c>
      <c r="O20" s="126">
        <f>INDEX('6 Flare3'!$F:$F,MATCH(Scenarios!$A20,'6 Flare3'!$A:$A,0))</f>
        <v>2.8377450980392154E-6</v>
      </c>
      <c r="P20" s="436">
        <f>INDEX('6 Flare3'!$G:$G,MATCH(Scenarios!$A20,'6 Flare3'!$A:$A,0))</f>
        <v>1.2429323529411763E-5</v>
      </c>
      <c r="Q20" s="323">
        <f>INDEX('7 Flare4'!$F:$F,MATCH(Scenarios!$A20,'7 Flare4'!$A:$A,0))</f>
        <v>2.9356764705882348E-6</v>
      </c>
      <c r="R20" s="439">
        <f>INDEX('7 Flare4'!$G:$G,MATCH(Scenarios!$A20,'7 Flare4'!$A:$A,0))</f>
        <v>1.2858262941176469E-5</v>
      </c>
      <c r="S20" s="323">
        <f>INDEX('8 Flare5'!$F:$F,MATCH(Scenarios!$A20,'8 Flare5'!$A:$A,0))</f>
        <v>3.061779411764706E-6</v>
      </c>
      <c r="T20" s="439">
        <f>INDEX('8 Flare5'!$G:$G,MATCH(Scenarios!$A20,'8 Flare5'!$A:$A,0))</f>
        <v>1.3410593823529414E-5</v>
      </c>
      <c r="U20" s="126">
        <f t="shared" si="0"/>
        <v>3.061779411764706E-6</v>
      </c>
      <c r="V20" s="436">
        <f t="shared" si="0"/>
        <v>1.3410593823529414E-5</v>
      </c>
      <c r="W20" s="323">
        <f>INDEX('10 Flare Purge A1'!$F:$F,MATCH(Scenarios!$A20,'10 Flare Purge A1'!$A:$A,0))</f>
        <v>2.0256535947712418E-7</v>
      </c>
      <c r="X20" s="439">
        <f>INDEX('10 Flare Purge A1'!$G:$G,MATCH(Scenarios!$A20,'10 Flare Purge A1'!$A:$A,0))</f>
        <v>1.0533398692810458E-8</v>
      </c>
      <c r="Y20" s="323">
        <f>INDEX('11 Flare Purge A2'!$F:$F,MATCH(Scenarios!$A20,'11 Flare Purge A2'!$A:$A,0))</f>
        <v>1.7362745098039216E-7</v>
      </c>
      <c r="Z20" s="439">
        <f>INDEX('11 Flare Purge A2'!$G:$G,MATCH(Scenarios!$A20,'11 Flare Purge A2'!$A:$A,0))</f>
        <v>4.203954656862745E-8</v>
      </c>
      <c r="AA20" s="323">
        <f>INDEX('12 Flare Purge B'!$F:$F,MATCH(Scenarios!$A20,'12 Flare Purge B'!$A:$A,0))</f>
        <v>7.6396078431372542E-8</v>
      </c>
      <c r="AB20" s="439">
        <f>INDEX('12 Flare Purge B'!$G:$G,MATCH(Scenarios!$A20,'12 Flare Purge B'!$A:$A,0))</f>
        <v>3.9725960784313719E-9</v>
      </c>
      <c r="AC20" s="126">
        <f t="shared" si="1"/>
        <v>2.0256535947712418E-7</v>
      </c>
      <c r="AD20" s="435">
        <f t="shared" si="1"/>
        <v>4.203954656862745E-8</v>
      </c>
      <c r="AE20" s="462">
        <f t="shared" si="2"/>
        <v>4.0769281045751632E-7</v>
      </c>
      <c r="AF20" s="436">
        <f t="shared" si="2"/>
        <v>9.4049778186274513E-7</v>
      </c>
      <c r="AG20" s="126">
        <f t="shared" si="3"/>
        <v>3.2643447712418301E-6</v>
      </c>
      <c r="AH20" s="436">
        <f t="shared" si="3"/>
        <v>1.345263337009804E-5</v>
      </c>
      <c r="AI20" s="126">
        <f t="shared" si="4"/>
        <v>5.3502772384360035E-6</v>
      </c>
      <c r="AJ20" s="435">
        <f t="shared" si="7"/>
        <v>1.3702945266161341E-5</v>
      </c>
      <c r="AK20" s="470">
        <f t="shared" si="5"/>
        <v>5.3502772384360035E-6</v>
      </c>
      <c r="AL20" s="471">
        <f t="shared" si="5"/>
        <v>1.3702945266161341E-5</v>
      </c>
      <c r="AM20" s="471">
        <f t="shared" si="8"/>
        <v>2.7405890532322681E-2</v>
      </c>
      <c r="AN20" s="1" t="s">
        <v>370</v>
      </c>
    </row>
    <row r="21" spans="1:40">
      <c r="A21" s="398" t="s">
        <v>299</v>
      </c>
      <c r="B21" s="83" t="s">
        <v>37</v>
      </c>
      <c r="C21" s="328">
        <v>0</v>
      </c>
      <c r="D21" s="438">
        <v>0</v>
      </c>
      <c r="E21" s="322">
        <f>INDEX('3 Vapor'!E:E,MATCH($A21,'3 Vapor'!$A:$A,0))</f>
        <v>5.132883052121088E-5</v>
      </c>
      <c r="F21" s="439">
        <f>INDEX('3 Vapor'!F:F,MATCH($A21,'3 Vapor'!$A:$A,0))</f>
        <v>6.1594596625453059E-6</v>
      </c>
      <c r="G21" s="322">
        <f>INDEX('9 Flare Hold'!$F:$F,MATCH(Scenarios!$A21,'9 Flare Hold'!$A:$A,0))</f>
        <v>7.6111111111111121E-7</v>
      </c>
      <c r="H21" s="439">
        <f>INDEX('9 Flare Hold'!$G:$G,MATCH(Scenarios!$A21,'9 Flare Hold'!$A:$A,0))</f>
        <v>3.333666666666667E-6</v>
      </c>
      <c r="I21" s="126">
        <f>INDEX('5 Flare2'!$F:$F,MATCH(Scenarios!$A21,'5 Flare2'!$A:$A,0))</f>
        <v>2.0756944444444442E-6</v>
      </c>
      <c r="J21" s="436">
        <f>INDEX('5 Flare2'!$G:$G,MATCH(Scenarios!$A21,'5 Flare2'!$A:$A,0))</f>
        <v>9.091541666666666E-6</v>
      </c>
      <c r="K21" s="126">
        <f t="shared" si="6"/>
        <v>2.0756944444444442E-6</v>
      </c>
      <c r="L21" s="436">
        <f t="shared" si="6"/>
        <v>9.091541666666666E-6</v>
      </c>
      <c r="M21" s="126">
        <f>INDEX('4 Flare1'!$F:$F,MATCH(Scenarios!$A21,'4 Flare1'!$A:$A,0))</f>
        <v>8.4791666666666667E-6</v>
      </c>
      <c r="N21" s="436">
        <f>INDEX('4 Flare1'!$G:$G,MATCH(Scenarios!$A21,'4 Flare1'!$A:$A,0))</f>
        <v>3.7138750000000001E-5</v>
      </c>
      <c r="O21" s="126">
        <f>INDEX('6 Flare3'!$F:$F,MATCH(Scenarios!$A21,'6 Flare3'!$A:$A,0))</f>
        <v>2.8715277777777775E-5</v>
      </c>
      <c r="P21" s="436">
        <f>INDEX('6 Flare3'!$G:$G,MATCH(Scenarios!$A21,'6 Flare3'!$A:$A,0))</f>
        <v>1.2577291666666666E-4</v>
      </c>
      <c r="Q21" s="323">
        <f>INDEX('7 Flare4'!$F:$F,MATCH(Scenarios!$A21,'7 Flare4'!$A:$A,0))</f>
        <v>2.9706249999999994E-5</v>
      </c>
      <c r="R21" s="439">
        <f>INDEX('7 Flare4'!$G:$G,MATCH(Scenarios!$A21,'7 Flare4'!$A:$A,0))</f>
        <v>1.3011337499999997E-4</v>
      </c>
      <c r="S21" s="323">
        <f>INDEX('8 Flare5'!$F:$F,MATCH(Scenarios!$A21,'8 Flare5'!$A:$A,0))</f>
        <v>3.0982291666666665E-5</v>
      </c>
      <c r="T21" s="439">
        <f>INDEX('8 Flare5'!$G:$G,MATCH(Scenarios!$A21,'8 Flare5'!$A:$A,0))</f>
        <v>1.3570243749999998E-4</v>
      </c>
      <c r="U21" s="126">
        <f t="shared" si="0"/>
        <v>3.0982291666666665E-5</v>
      </c>
      <c r="V21" s="436">
        <f t="shared" si="0"/>
        <v>1.3570243749999998E-4</v>
      </c>
      <c r="W21" s="323">
        <f>INDEX('10 Flare Purge A1'!$F:$F,MATCH(Scenarios!$A21,'10 Flare Purge A1'!$A:$A,0))</f>
        <v>2.0497685185185186E-6</v>
      </c>
      <c r="X21" s="439">
        <f>INDEX('10 Flare Purge A1'!$G:$G,MATCH(Scenarios!$A21,'10 Flare Purge A1'!$A:$A,0))</f>
        <v>1.0658796296296297E-7</v>
      </c>
      <c r="Y21" s="323">
        <f>INDEX('11 Flare Purge A2'!$F:$F,MATCH(Scenarios!$A21,'11 Flare Purge A2'!$A:$A,0))</f>
        <v>1.7569444444444445E-6</v>
      </c>
      <c r="Z21" s="439">
        <f>INDEX('11 Flare Purge A2'!$G:$G,MATCH(Scenarios!$A21,'11 Flare Purge A2'!$A:$A,0))</f>
        <v>4.2540017361111111E-7</v>
      </c>
      <c r="AA21" s="323">
        <f>INDEX('12 Flare Purge B'!$F:$F,MATCH(Scenarios!$A21,'12 Flare Purge B'!$A:$A,0))</f>
        <v>7.7305555555555555E-7</v>
      </c>
      <c r="AB21" s="439">
        <f>INDEX('12 Flare Purge B'!$G:$G,MATCH(Scenarios!$A21,'12 Flare Purge B'!$A:$A,0))</f>
        <v>4.0198888888888887E-8</v>
      </c>
      <c r="AC21" s="126">
        <f t="shared" si="1"/>
        <v>2.0497685185185186E-6</v>
      </c>
      <c r="AD21" s="435">
        <f t="shared" si="1"/>
        <v>4.2540017361111111E-7</v>
      </c>
      <c r="AE21" s="462">
        <f t="shared" si="2"/>
        <v>4.1254629629629628E-6</v>
      </c>
      <c r="AF21" s="436">
        <f t="shared" si="2"/>
        <v>9.5169418402777773E-6</v>
      </c>
      <c r="AG21" s="126">
        <f t="shared" si="3"/>
        <v>3.3032060185185183E-5</v>
      </c>
      <c r="AH21" s="436">
        <f t="shared" si="3"/>
        <v>1.3612783767361111E-4</v>
      </c>
      <c r="AI21" s="126">
        <f t="shared" si="4"/>
        <v>5.4139710150840508E-5</v>
      </c>
      <c r="AJ21" s="435">
        <f t="shared" si="7"/>
        <v>1.3866075566948971E-4</v>
      </c>
      <c r="AK21" s="470">
        <f t="shared" si="5"/>
        <v>5.4139710150840508E-5</v>
      </c>
      <c r="AL21" s="471">
        <f t="shared" si="5"/>
        <v>1.3866075566948971E-4</v>
      </c>
      <c r="AM21" s="471">
        <f t="shared" si="8"/>
        <v>0.27732151133897942</v>
      </c>
      <c r="AN21" s="1" t="s">
        <v>370</v>
      </c>
    </row>
    <row r="22" spans="1:40">
      <c r="A22" s="398" t="s">
        <v>150</v>
      </c>
      <c r="B22" s="83" t="s">
        <v>19</v>
      </c>
      <c r="C22" s="322">
        <f>'13 Fugitives'!L39</f>
        <v>1.6456365958487323E-7</v>
      </c>
      <c r="D22" s="439">
        <f>'13 Fugitives'!L50</f>
        <v>7.2078882898174472E-7</v>
      </c>
      <c r="E22" s="322">
        <f>INDEX('3 Vapor'!E:E,MATCH($A22,'3 Vapor'!$A:$A,0))</f>
        <v>4.1666933011335895E-4</v>
      </c>
      <c r="F22" s="439">
        <f>INDEX('3 Vapor'!F:F,MATCH($A22,'3 Vapor'!$A:$A,0))</f>
        <v>5.0000319613603069E-5</v>
      </c>
      <c r="G22" s="322">
        <f>INDEX('9 Flare Hold'!$F:$F,MATCH(Scenarios!$A22,'9 Flare Hold'!$A:$A,0))</f>
        <v>7.5131064960224905E-8</v>
      </c>
      <c r="H22" s="439">
        <f>INDEX('9 Flare Hold'!$G:$G,MATCH(Scenarios!$A22,'9 Flare Hold'!$A:$A,0))</f>
        <v>3.2907406452578511E-7</v>
      </c>
      <c r="I22" s="126">
        <f>INDEX('5 Flare2'!$F:$F,MATCH(Scenarios!$A22,'5 Flare2'!$A:$A,0))</f>
        <v>2.0489667259681768E-7</v>
      </c>
      <c r="J22" s="436">
        <f>INDEX('5 Flare2'!$G:$G,MATCH(Scenarios!$A22,'5 Flare2'!$A:$A,0))</f>
        <v>8.9744742597406148E-7</v>
      </c>
      <c r="K22" s="126">
        <f t="shared" si="6"/>
        <v>2.0489667259681768E-7</v>
      </c>
      <c r="L22" s="436">
        <f t="shared" si="6"/>
        <v>8.9744742597406148E-7</v>
      </c>
      <c r="M22" s="126">
        <f>INDEX('4 Flare1'!$F:$F,MATCH(Scenarios!$A22,'4 Flare1'!$A:$A,0))</f>
        <v>8.3699845179228644E-7</v>
      </c>
      <c r="N22" s="436">
        <f>INDEX('4 Flare1'!$G:$G,MATCH(Scenarios!$A22,'4 Flare1'!$A:$A,0))</f>
        <v>3.6660532188502147E-6</v>
      </c>
      <c r="O22" s="126">
        <f>INDEX('6 Flare3'!$F:$F,MATCH(Scenarios!$A22,'6 Flare3'!$A:$A,0))</f>
        <v>2.8345524964464406E-6</v>
      </c>
      <c r="P22" s="436">
        <f>INDEX('6 Flare3'!$G:$G,MATCH(Scenarios!$A22,'6 Flare3'!$A:$A,0))</f>
        <v>1.241533993443541E-5</v>
      </c>
      <c r="Q22" s="323">
        <f>INDEX('7 Flare4'!$F:$F,MATCH(Scenarios!$A22,'7 Flare4'!$A:$A,0))</f>
        <v>2.9323736914265874E-6</v>
      </c>
      <c r="R22" s="439">
        <f>INDEX('7 Flare4'!$G:$G,MATCH(Scenarios!$A22,'7 Flare4'!$A:$A,0))</f>
        <v>1.2843796768448454E-5</v>
      </c>
      <c r="S22" s="323">
        <f>INDEX('8 Flare5'!$F:$F,MATCH(Scenarios!$A22,'8 Flare5'!$A:$A,0))</f>
        <v>3.058334760645943E-6</v>
      </c>
      <c r="T22" s="439">
        <f>INDEX('8 Flare5'!$G:$G,MATCH(Scenarios!$A22,'8 Flare5'!$A:$A,0))</f>
        <v>1.3395506251629232E-5</v>
      </c>
      <c r="U22" s="126">
        <f t="shared" si="0"/>
        <v>3.058334760645943E-6</v>
      </c>
      <c r="V22" s="436">
        <f t="shared" si="0"/>
        <v>1.3395506251629232E-5</v>
      </c>
      <c r="W22" s="323">
        <f>INDEX('10 Flare Purge A1'!$F:$F,MATCH(Scenarios!$A22,'10 Flare Purge A1'!$A:$A,0))</f>
        <v>2.0233746357140856E-7</v>
      </c>
      <c r="X22" s="439">
        <f>INDEX('10 Flare Purge A1'!$G:$G,MATCH(Scenarios!$A22,'10 Flare Purge A1'!$A:$A,0))</f>
        <v>1.0521548105713247E-8</v>
      </c>
      <c r="Y22" s="323">
        <f>INDEX('11 Flare Purge A2'!$F:$F,MATCH(Scenarios!$A22,'11 Flare Purge A2'!$A:$A,0))</f>
        <v>1.7343211163263593E-7</v>
      </c>
      <c r="Z22" s="439">
        <f>INDEX('11 Flare Purge A2'!$G:$G,MATCH(Scenarios!$A22,'11 Flare Purge A2'!$A:$A,0))</f>
        <v>4.1992250029051976E-8</v>
      </c>
      <c r="AA22" s="323">
        <f>INDEX('12 Flare Purge B'!$F:$F,MATCH(Scenarios!$A22,'12 Flare Purge B'!$A:$A,0))</f>
        <v>7.6310129118359809E-8</v>
      </c>
      <c r="AB22" s="439">
        <f>INDEX('12 Flare Purge B'!$G:$G,MATCH(Scenarios!$A22,'12 Flare Purge B'!$A:$A,0))</f>
        <v>3.9681267141547099E-9</v>
      </c>
      <c r="AC22" s="126">
        <f t="shared" si="1"/>
        <v>2.0233746357140856E-7</v>
      </c>
      <c r="AD22" s="435">
        <f t="shared" si="1"/>
        <v>4.1992250029051976E-8</v>
      </c>
      <c r="AE22" s="462">
        <f t="shared" si="2"/>
        <v>4.0723413616822624E-7</v>
      </c>
      <c r="AF22" s="436">
        <f t="shared" si="2"/>
        <v>9.3943967600311347E-7</v>
      </c>
      <c r="AG22" s="126">
        <f t="shared" si="3"/>
        <v>3.2606722242173516E-6</v>
      </c>
      <c r="AH22" s="436">
        <f t="shared" si="3"/>
        <v>1.3437498501658284E-5</v>
      </c>
      <c r="AI22" s="126">
        <f t="shared" si="4"/>
        <v>4.1694679864189059E-4</v>
      </c>
      <c r="AJ22" s="435">
        <f t="shared" si="7"/>
        <v>6.3079833671779068E-5</v>
      </c>
      <c r="AK22" s="470">
        <f t="shared" si="5"/>
        <v>4.1711136230147545E-4</v>
      </c>
      <c r="AL22" s="471">
        <f t="shared" si="5"/>
        <v>6.380062250076081E-5</v>
      </c>
      <c r="AM22" s="471">
        <f t="shared" si="8"/>
        <v>0.12760124500152162</v>
      </c>
      <c r="AN22" s="1" t="s">
        <v>370</v>
      </c>
    </row>
    <row r="23" spans="1:40">
      <c r="A23" s="398" t="s">
        <v>65</v>
      </c>
      <c r="B23" s="83" t="s">
        <v>22</v>
      </c>
      <c r="C23" s="328">
        <v>0</v>
      </c>
      <c r="D23" s="438">
        <v>0</v>
      </c>
      <c r="E23" s="322">
        <f>INDEX('3 Vapor'!E:E,MATCH($A23,'3 Vapor'!$A:$A,0))</f>
        <v>4.5290144577539021E-3</v>
      </c>
      <c r="F23" s="439">
        <f>INDEX('3 Vapor'!F:F,MATCH($A23,'3 Vapor'!$A:$A,0))</f>
        <v>5.4348173493046822E-4</v>
      </c>
      <c r="G23" s="322">
        <f>INDEX('9 Flare Hold'!$F:$F,MATCH(Scenarios!$A23,'9 Flare Hold'!$A:$A,0))</f>
        <v>6.7156862745098038E-5</v>
      </c>
      <c r="H23" s="439">
        <f>INDEX('9 Flare Hold'!$G:$G,MATCH(Scenarios!$A23,'9 Flare Hold'!$A:$A,0))</f>
        <v>2.9414705882352941E-4</v>
      </c>
      <c r="I23" s="126">
        <f>INDEX('5 Flare2'!$F:$F,MATCH(Scenarios!$A23,'5 Flare2'!$A:$A,0))</f>
        <v>1.8314950980392154E-4</v>
      </c>
      <c r="J23" s="436">
        <f>INDEX('5 Flare2'!$G:$G,MATCH(Scenarios!$A23,'5 Flare2'!$A:$A,0))</f>
        <v>8.0219485294117634E-4</v>
      </c>
      <c r="K23" s="126">
        <f t="shared" si="6"/>
        <v>1.8314950980392154E-4</v>
      </c>
      <c r="L23" s="436">
        <f t="shared" si="6"/>
        <v>8.0219485294117634E-4</v>
      </c>
      <c r="M23" s="126">
        <f>INDEX('4 Flare1'!$F:$F,MATCH(Scenarios!$A23,'4 Flare1'!$A:$A,0))</f>
        <v>7.4816176470588239E-4</v>
      </c>
      <c r="N23" s="436">
        <f>INDEX('4 Flare1'!$G:$G,MATCH(Scenarios!$A23,'4 Flare1'!$A:$A,0))</f>
        <v>3.2769485294117649E-3</v>
      </c>
      <c r="O23" s="126">
        <f>INDEX('6 Flare3'!$F:$F,MATCH(Scenarios!$A23,'6 Flare3'!$A:$A,0))</f>
        <v>2.5337009803921562E-3</v>
      </c>
      <c r="P23" s="436">
        <f>INDEX('6 Flare3'!$G:$G,MATCH(Scenarios!$A23,'6 Flare3'!$A:$A,0))</f>
        <v>1.1097610294117644E-2</v>
      </c>
      <c r="Q23" s="323">
        <f>INDEX('7 Flare4'!$F:$F,MATCH(Scenarios!$A23,'7 Flare4'!$A:$A,0))</f>
        <v>2.6211397058823523E-3</v>
      </c>
      <c r="R23" s="439">
        <f>INDEX('7 Flare4'!$G:$G,MATCH(Scenarios!$A23,'7 Flare4'!$A:$A,0))</f>
        <v>1.1480591911764704E-2</v>
      </c>
      <c r="S23" s="323">
        <f>INDEX('8 Flare5'!$F:$F,MATCH(Scenarios!$A23,'8 Flare5'!$A:$A,0))</f>
        <v>2.7337316176470586E-3</v>
      </c>
      <c r="T23" s="439">
        <f>INDEX('8 Flare5'!$G:$G,MATCH(Scenarios!$A23,'8 Flare5'!$A:$A,0))</f>
        <v>1.1973744485294115E-2</v>
      </c>
      <c r="U23" s="126">
        <f t="shared" si="0"/>
        <v>2.7337316176470586E-3</v>
      </c>
      <c r="V23" s="436">
        <f t="shared" si="0"/>
        <v>1.1973744485294115E-2</v>
      </c>
      <c r="W23" s="323">
        <f>INDEX('10 Flare Purge A1'!$F:$F,MATCH(Scenarios!$A23,'10 Flare Purge A1'!$A:$A,0))</f>
        <v>1.8086192810457514E-4</v>
      </c>
      <c r="X23" s="439">
        <f>INDEX('10 Flare Purge A1'!$G:$G,MATCH(Scenarios!$A23,'10 Flare Purge A1'!$A:$A,0))</f>
        <v>9.4048202614379066E-6</v>
      </c>
      <c r="Y23" s="323">
        <f>INDEX('11 Flare Purge A2'!$F:$F,MATCH(Scenarios!$A23,'11 Flare Purge A2'!$A:$A,0))</f>
        <v>1.5502450980392157E-4</v>
      </c>
      <c r="Z23" s="439">
        <f>INDEX('11 Flare Purge A2'!$G:$G,MATCH(Scenarios!$A23,'11 Flare Purge A2'!$A:$A,0))</f>
        <v>3.7535309436274515E-5</v>
      </c>
      <c r="AA23" s="323">
        <f>INDEX('12 Flare Purge B'!$F:$F,MATCH(Scenarios!$A23,'12 Flare Purge B'!$A:$A,0))</f>
        <v>6.8210784313725483E-5</v>
      </c>
      <c r="AB23" s="439">
        <f>INDEX('12 Flare Purge B'!$G:$G,MATCH(Scenarios!$A23,'12 Flare Purge B'!$A:$A,0))</f>
        <v>3.546960784313725E-6</v>
      </c>
      <c r="AC23" s="126">
        <f t="shared" si="1"/>
        <v>1.8086192810457514E-4</v>
      </c>
      <c r="AD23" s="435">
        <f t="shared" si="1"/>
        <v>3.7535309436274515E-5</v>
      </c>
      <c r="AE23" s="462">
        <f t="shared" si="2"/>
        <v>3.640114379084967E-4</v>
      </c>
      <c r="AF23" s="436">
        <f t="shared" si="2"/>
        <v>8.3973016237745091E-4</v>
      </c>
      <c r="AG23" s="126">
        <f t="shared" si="3"/>
        <v>2.9145935457516336E-3</v>
      </c>
      <c r="AH23" s="436">
        <f t="shared" si="3"/>
        <v>1.2011279794730391E-2</v>
      </c>
      <c r="AI23" s="126">
        <f t="shared" si="4"/>
        <v>4.7770332486035752E-3</v>
      </c>
      <c r="AJ23" s="435">
        <f t="shared" si="7"/>
        <v>1.2234772559072623E-2</v>
      </c>
      <c r="AK23" s="470">
        <f t="shared" si="5"/>
        <v>4.7770332486035752E-3</v>
      </c>
      <c r="AL23" s="471">
        <f t="shared" si="5"/>
        <v>1.2234772559072623E-2</v>
      </c>
      <c r="AM23" s="471">
        <f t="shared" si="8"/>
        <v>24.469545118145245</v>
      </c>
      <c r="AN23" s="1" t="s">
        <v>370</v>
      </c>
    </row>
    <row r="24" spans="1:40">
      <c r="A24" s="398" t="s">
        <v>154</v>
      </c>
      <c r="B24" s="83" t="s">
        <v>23</v>
      </c>
      <c r="C24" s="322">
        <f>'13 Fugitives'!L36</f>
        <v>1.3848725857847256E-2</v>
      </c>
      <c r="D24" s="439">
        <f>'13 Fugitives'!L47</f>
        <v>6.065741925737099E-2</v>
      </c>
      <c r="E24" s="322">
        <f>INDEX('3 Vapor'!E:E,MATCH($A24,'3 Vapor'!$A:$A,0))</f>
        <v>0.10869634698609364</v>
      </c>
      <c r="F24" s="439">
        <f>INDEX('3 Vapor'!F:F,MATCH($A24,'3 Vapor'!$A:$A,0))</f>
        <v>1.3043561638331237E-2</v>
      </c>
      <c r="G24" s="322">
        <f>INDEX('9 Flare Hold'!$F:$F,MATCH(Scenarios!$A24,'9 Flare Hold'!$A:$A,0))</f>
        <v>1.6117647058823531E-3</v>
      </c>
      <c r="H24" s="439">
        <f>INDEX('9 Flare Hold'!$G:$G,MATCH(Scenarios!$A24,'9 Flare Hold'!$A:$A,0))</f>
        <v>7.0595294117647067E-3</v>
      </c>
      <c r="I24" s="126">
        <f>INDEX('5 Flare2'!$F:$F,MATCH(Scenarios!$A24,'5 Flare2'!$A:$A,0))</f>
        <v>4.3955882352941173E-3</v>
      </c>
      <c r="J24" s="436">
        <f>INDEX('5 Flare2'!$G:$G,MATCH(Scenarios!$A24,'5 Flare2'!$A:$A,0))</f>
        <v>1.9252676470588235E-2</v>
      </c>
      <c r="K24" s="126">
        <f t="shared" si="6"/>
        <v>4.3955882352941173E-3</v>
      </c>
      <c r="L24" s="436">
        <f t="shared" si="6"/>
        <v>1.9252676470588235E-2</v>
      </c>
      <c r="M24" s="126">
        <f>INDEX('4 Flare1'!$F:$F,MATCH(Scenarios!$A24,'4 Flare1'!$A:$A,0))</f>
        <v>1.7955882352941179E-2</v>
      </c>
      <c r="N24" s="436">
        <f>INDEX('4 Flare1'!$G:$G,MATCH(Scenarios!$A24,'4 Flare1'!$A:$A,0))</f>
        <v>7.864676470588236E-2</v>
      </c>
      <c r="O24" s="126">
        <f>INDEX('6 Flare3'!$F:$F,MATCH(Scenarios!$A24,'6 Flare3'!$A:$A,0))</f>
        <v>6.0808823529411755E-2</v>
      </c>
      <c r="P24" s="436">
        <f>INDEX('6 Flare3'!$G:$G,MATCH(Scenarios!$A24,'6 Flare3'!$A:$A,0))</f>
        <v>0.26634264705882349</v>
      </c>
      <c r="Q24" s="323">
        <f>INDEX('7 Flare4'!$F:$F,MATCH(Scenarios!$A24,'7 Flare4'!$A:$A,0))</f>
        <v>6.2907352941176456E-2</v>
      </c>
      <c r="R24" s="439">
        <f>INDEX('7 Flare4'!$G:$G,MATCH(Scenarios!$A24,'7 Flare4'!$A:$A,0))</f>
        <v>0.27553420588235289</v>
      </c>
      <c r="S24" s="323">
        <f>INDEX('8 Flare5'!$F:$F,MATCH(Scenarios!$A24,'8 Flare5'!$A:$A,0))</f>
        <v>6.560955882352941E-2</v>
      </c>
      <c r="T24" s="439">
        <f>INDEX('8 Flare5'!$G:$G,MATCH(Scenarios!$A24,'8 Flare5'!$A:$A,0))</f>
        <v>0.2873698676470588</v>
      </c>
      <c r="U24" s="126">
        <f t="shared" si="0"/>
        <v>6.560955882352941E-2</v>
      </c>
      <c r="V24" s="436">
        <f t="shared" si="0"/>
        <v>0.2873698676470588</v>
      </c>
      <c r="W24" s="323">
        <f>INDEX('10 Flare Purge A1'!$F:$F,MATCH(Scenarios!$A24,'10 Flare Purge A1'!$A:$A,0))</f>
        <v>4.3406862745098036E-3</v>
      </c>
      <c r="X24" s="439">
        <f>INDEX('10 Flare Purge A1'!$G:$G,MATCH(Scenarios!$A24,'10 Flare Purge A1'!$A:$A,0))</f>
        <v>2.2571568627450977E-4</v>
      </c>
      <c r="Y24" s="323">
        <f>INDEX('11 Flare Purge A2'!$F:$F,MATCH(Scenarios!$A24,'11 Flare Purge A2'!$A:$A,0))</f>
        <v>3.7205882352941179E-3</v>
      </c>
      <c r="Z24" s="439">
        <f>INDEX('11 Flare Purge A2'!$G:$G,MATCH(Scenarios!$A24,'11 Flare Purge A2'!$A:$A,0))</f>
        <v>9.008474264705882E-4</v>
      </c>
      <c r="AA24" s="323">
        <f>INDEX('12 Flare Purge B'!$F:$F,MATCH(Scenarios!$A24,'12 Flare Purge B'!$A:$A,0))</f>
        <v>1.6370588235294118E-3</v>
      </c>
      <c r="AB24" s="439">
        <f>INDEX('12 Flare Purge B'!$G:$G,MATCH(Scenarios!$A24,'12 Flare Purge B'!$A:$A,0))</f>
        <v>8.5127058823529421E-5</v>
      </c>
      <c r="AC24" s="126">
        <f t="shared" si="1"/>
        <v>4.3406862745098036E-3</v>
      </c>
      <c r="AD24" s="435">
        <f t="shared" si="1"/>
        <v>9.008474264705882E-4</v>
      </c>
      <c r="AE24" s="462">
        <f t="shared" si="2"/>
        <v>8.73627450980392E-3</v>
      </c>
      <c r="AF24" s="436">
        <f t="shared" si="2"/>
        <v>2.0153523897058823E-2</v>
      </c>
      <c r="AG24" s="126">
        <f t="shared" si="3"/>
        <v>6.995024509803921E-2</v>
      </c>
      <c r="AH24" s="436">
        <f t="shared" si="3"/>
        <v>0.28827071507352936</v>
      </c>
      <c r="AI24" s="126">
        <f t="shared" si="4"/>
        <v>0.11464879796648579</v>
      </c>
      <c r="AJ24" s="435">
        <f t="shared" si="7"/>
        <v>0.29363454141774298</v>
      </c>
      <c r="AK24" s="470">
        <f t="shared" si="5"/>
        <v>0.12849752382433305</v>
      </c>
      <c r="AL24" s="471">
        <f t="shared" si="5"/>
        <v>0.35429196067511398</v>
      </c>
      <c r="AM24" s="471">
        <f t="shared" si="8"/>
        <v>708.58392135022791</v>
      </c>
      <c r="AN24" s="1" t="s">
        <v>370</v>
      </c>
    </row>
    <row r="25" spans="1:40">
      <c r="A25" s="398">
        <v>2148878</v>
      </c>
      <c r="B25" s="83" t="s">
        <v>155</v>
      </c>
      <c r="C25" s="322">
        <f>'13 Fugitives'!L37</f>
        <v>1.0202049189019251E-4</v>
      </c>
      <c r="D25" s="439">
        <f>'13 Fugitives'!L48</f>
        <v>4.4684975447904324E-4</v>
      </c>
      <c r="E25" s="328">
        <v>0</v>
      </c>
      <c r="F25" s="438">
        <v>0</v>
      </c>
      <c r="G25" s="322">
        <f>INDEX('9 Flare Hold'!$F:$F,MATCH(Scenarios!$A25,'9 Flare Hold'!$A:$A,0))</f>
        <v>7.3337020791478092E-6</v>
      </c>
      <c r="H25" s="439">
        <f>INDEX('9 Flare Hold'!$G:$G,MATCH(Scenarios!$A25,'9 Flare Hold'!$A:$A,0))</f>
        <v>3.2121615106667403E-5</v>
      </c>
      <c r="I25" s="126">
        <f>INDEX('5 Flare2'!$F:$F,MATCH(Scenarios!$A25,'5 Flare2'!$A:$A,0))</f>
        <v>5.1521024378266191E-3</v>
      </c>
      <c r="J25" s="436">
        <f>INDEX('5 Flare2'!$G:$G,MATCH(Scenarios!$A25,'5 Flare2'!$A:$A,0))</f>
        <v>2.2566208677680593E-2</v>
      </c>
      <c r="K25" s="126">
        <f t="shared" si="6"/>
        <v>5.1521024378266191E-3</v>
      </c>
      <c r="L25" s="436">
        <f t="shared" si="6"/>
        <v>2.2566208677680593E-2</v>
      </c>
      <c r="M25" s="126">
        <f>INDEX('4 Flare1'!$F:$F,MATCH(Scenarios!$A25,'4 Flare1'!$A:$A,0))</f>
        <v>1.1176195318561555E-2</v>
      </c>
      <c r="N25" s="436">
        <f>INDEX('4 Flare1'!$G:$G,MATCH(Scenarios!$A25,'4 Flare1'!$A:$A,0))</f>
        <v>4.8951735495299617E-2</v>
      </c>
      <c r="O25" s="126">
        <f>INDEX('6 Flare3'!$F:$F,MATCH(Scenarios!$A25,'6 Flare3'!$A:$A,0))</f>
        <v>1.0190915078708637E-2</v>
      </c>
      <c r="P25" s="436">
        <f>INDEX('6 Flare3'!$G:$G,MATCH(Scenarios!$A25,'6 Flare3'!$A:$A,0))</f>
        <v>4.463620804474383E-2</v>
      </c>
      <c r="Q25" s="323">
        <f>INDEX('7 Flare4'!$F:$F,MATCH(Scenarios!$A25,'7 Flare4'!$A:$A,0))</f>
        <v>1.0444047387816666E-2</v>
      </c>
      <c r="R25" s="439">
        <f>INDEX('7 Flare4'!$G:$G,MATCH(Scenarios!$A25,'7 Flare4'!$A:$A,0))</f>
        <v>4.5744927558636996E-2</v>
      </c>
      <c r="S25" s="323">
        <f>INDEX('8 Flare5'!$F:$F,MATCH(Scenarios!$A25,'8 Flare5'!$A:$A,0))</f>
        <v>1.103446217646553E-2</v>
      </c>
      <c r="T25" s="439">
        <f>INDEX('8 Flare5'!$G:$G,MATCH(Scenarios!$A25,'8 Flare5'!$A:$A,0))</f>
        <v>4.8330944332919019E-2</v>
      </c>
      <c r="U25" s="126">
        <f t="shared" si="0"/>
        <v>1.1176195318561555E-2</v>
      </c>
      <c r="V25" s="436">
        <f t="shared" si="0"/>
        <v>4.8951735495299617E-2</v>
      </c>
      <c r="W25" s="409">
        <v>0</v>
      </c>
      <c r="X25" s="438">
        <v>0</v>
      </c>
      <c r="Y25" s="409">
        <v>0</v>
      </c>
      <c r="Z25" s="438">
        <v>0</v>
      </c>
      <c r="AA25" s="409">
        <v>0</v>
      </c>
      <c r="AB25" s="438">
        <v>0</v>
      </c>
      <c r="AC25" s="409">
        <v>0</v>
      </c>
      <c r="AD25" s="450">
        <v>0</v>
      </c>
      <c r="AE25" s="462">
        <f t="shared" si="2"/>
        <v>5.1521024378266191E-3</v>
      </c>
      <c r="AF25" s="436">
        <f t="shared" si="2"/>
        <v>2.2566208677680593E-2</v>
      </c>
      <c r="AG25" s="126">
        <f t="shared" si="3"/>
        <v>1.1176195318561555E-2</v>
      </c>
      <c r="AH25" s="436">
        <f t="shared" si="3"/>
        <v>4.8951735495299617E-2</v>
      </c>
      <c r="AI25" s="126">
        <f t="shared" si="4"/>
        <v>7.3337020791478092E-6</v>
      </c>
      <c r="AJ25" s="435">
        <f t="shared" si="7"/>
        <v>4.7611472101321724E-2</v>
      </c>
      <c r="AK25" s="470">
        <f t="shared" si="5"/>
        <v>1.1278215810451749E-2</v>
      </c>
      <c r="AL25" s="471">
        <f t="shared" si="5"/>
        <v>4.9398585249778658E-2</v>
      </c>
      <c r="AM25" s="471">
        <f t="shared" si="8"/>
        <v>98.797170499557311</v>
      </c>
      <c r="AN25" s="1" t="s">
        <v>370</v>
      </c>
    </row>
    <row r="26" spans="1:40">
      <c r="A26" s="398" t="s">
        <v>306</v>
      </c>
      <c r="B26" s="83" t="s">
        <v>81</v>
      </c>
      <c r="C26" s="328">
        <v>0</v>
      </c>
      <c r="D26" s="438">
        <v>0</v>
      </c>
      <c r="E26" s="322">
        <f>INDEX('3 Vapor'!E:E,MATCH($A26,'3 Vapor'!$A:$A,0))</f>
        <v>3.0193429718359346E-5</v>
      </c>
      <c r="F26" s="439">
        <f>INDEX('3 Vapor'!F:F,MATCH($A26,'3 Vapor'!$A:$A,0))</f>
        <v>3.6232115662031216E-6</v>
      </c>
      <c r="G26" s="322">
        <f>INDEX('9 Flare Hold'!$F:$F,MATCH(Scenarios!$A26,'9 Flare Hold'!$A:$A,0))</f>
        <v>4.4771241830065362E-7</v>
      </c>
      <c r="H26" s="439">
        <f>INDEX('9 Flare Hold'!$G:$G,MATCH(Scenarios!$A26,'9 Flare Hold'!$A:$A,0))</f>
        <v>1.9609803921568628E-6</v>
      </c>
      <c r="I26" s="126">
        <f>INDEX('5 Flare2'!$F:$F,MATCH(Scenarios!$A26,'5 Flare2'!$A:$A,0))</f>
        <v>1.2209967320261437E-6</v>
      </c>
      <c r="J26" s="436">
        <f>INDEX('5 Flare2'!$G:$G,MATCH(Scenarios!$A26,'5 Flare2'!$A:$A,0))</f>
        <v>5.3479656862745095E-6</v>
      </c>
      <c r="K26" s="126">
        <f t="shared" si="6"/>
        <v>1.2209967320261437E-6</v>
      </c>
      <c r="L26" s="436">
        <f t="shared" si="6"/>
        <v>5.3479656862745095E-6</v>
      </c>
      <c r="M26" s="126">
        <f>INDEX('4 Flare1'!$F:$F,MATCH(Scenarios!$A26,'4 Flare1'!$A:$A,0))</f>
        <v>4.9877450980392164E-6</v>
      </c>
      <c r="N26" s="436">
        <f>INDEX('4 Flare1'!$G:$G,MATCH(Scenarios!$A26,'4 Flare1'!$A:$A,0))</f>
        <v>2.1846323529411768E-5</v>
      </c>
      <c r="O26" s="126">
        <f>INDEX('6 Flare3'!$F:$F,MATCH(Scenarios!$A26,'6 Flare3'!$A:$A,0))</f>
        <v>1.6891339869281042E-5</v>
      </c>
      <c r="P26" s="436">
        <f>INDEX('6 Flare3'!$G:$G,MATCH(Scenarios!$A26,'6 Flare3'!$A:$A,0))</f>
        <v>7.398406862745096E-5</v>
      </c>
      <c r="Q26" s="323">
        <f>INDEX('7 Flare4'!$F:$F,MATCH(Scenarios!$A26,'7 Flare4'!$A:$A,0))</f>
        <v>1.7474264705882348E-5</v>
      </c>
      <c r="R26" s="439">
        <f>INDEX('7 Flare4'!$G:$G,MATCH(Scenarios!$A26,'7 Flare4'!$A:$A,0))</f>
        <v>7.6537279411764697E-5</v>
      </c>
      <c r="S26" s="323">
        <f>INDEX('8 Flare5'!$F:$F,MATCH(Scenarios!$A26,'8 Flare5'!$A:$A,0))</f>
        <v>1.8224877450980391E-5</v>
      </c>
      <c r="T26" s="439">
        <f>INDEX('8 Flare5'!$G:$G,MATCH(Scenarios!$A26,'8 Flare5'!$A:$A,0))</f>
        <v>7.9824963235294112E-5</v>
      </c>
      <c r="U26" s="126">
        <f t="shared" si="0"/>
        <v>1.8224877450980391E-5</v>
      </c>
      <c r="V26" s="436">
        <f t="shared" si="0"/>
        <v>7.9824963235294112E-5</v>
      </c>
      <c r="W26" s="323">
        <f>INDEX('10 Flare Purge A1'!$F:$F,MATCH(Scenarios!$A26,'10 Flare Purge A1'!$A:$A,0))</f>
        <v>1.2057461873638344E-6</v>
      </c>
      <c r="X26" s="439">
        <f>INDEX('10 Flare Purge A1'!$G:$G,MATCH(Scenarios!$A26,'10 Flare Purge A1'!$A:$A,0))</f>
        <v>6.269880174291938E-8</v>
      </c>
      <c r="Y26" s="323">
        <f>INDEX('11 Flare Purge A2'!$F:$F,MATCH(Scenarios!$A26,'11 Flare Purge A2'!$A:$A,0))</f>
        <v>1.0334967320261438E-6</v>
      </c>
      <c r="Z26" s="439">
        <f>INDEX('11 Flare Purge A2'!$G:$G,MATCH(Scenarios!$A26,'11 Flare Purge A2'!$A:$A,0))</f>
        <v>2.5023539624183005E-7</v>
      </c>
      <c r="AA26" s="323">
        <f>INDEX('12 Flare Purge B'!$F:$F,MATCH(Scenarios!$A26,'12 Flare Purge B'!$A:$A,0))</f>
        <v>4.5473856209150325E-7</v>
      </c>
      <c r="AB26" s="439">
        <f>INDEX('12 Flare Purge B'!$G:$G,MATCH(Scenarios!$A26,'12 Flare Purge B'!$A:$A,0))</f>
        <v>2.364640522875817E-8</v>
      </c>
      <c r="AC26" s="126">
        <f t="shared" ref="AC26:AD57" si="10">MAX(W26,Y26,AA26)</f>
        <v>1.2057461873638344E-6</v>
      </c>
      <c r="AD26" s="435">
        <f t="shared" si="10"/>
        <v>2.5023539624183005E-7</v>
      </c>
      <c r="AE26" s="462">
        <f t="shared" si="2"/>
        <v>2.4267429193899781E-6</v>
      </c>
      <c r="AF26" s="436">
        <f t="shared" si="2"/>
        <v>5.5982010825163398E-6</v>
      </c>
      <c r="AG26" s="126">
        <f t="shared" si="3"/>
        <v>1.9430623638344225E-5</v>
      </c>
      <c r="AH26" s="436">
        <f t="shared" si="3"/>
        <v>8.0075198631535937E-5</v>
      </c>
      <c r="AI26" s="126">
        <f t="shared" si="4"/>
        <v>3.1846888324023837E-5</v>
      </c>
      <c r="AJ26" s="435">
        <f t="shared" si="7"/>
        <v>8.1565150393817485E-5</v>
      </c>
      <c r="AK26" s="470">
        <f t="shared" si="5"/>
        <v>3.1846888324023837E-5</v>
      </c>
      <c r="AL26" s="471">
        <f t="shared" si="5"/>
        <v>8.1565150393817485E-5</v>
      </c>
      <c r="AM26" s="471">
        <f t="shared" si="8"/>
        <v>0.16313030078763496</v>
      </c>
      <c r="AN26" s="1" t="s">
        <v>370</v>
      </c>
    </row>
    <row r="27" spans="1:40">
      <c r="A27" s="398" t="s">
        <v>305</v>
      </c>
      <c r="B27" s="83" t="s">
        <v>38</v>
      </c>
      <c r="C27" s="328">
        <v>0</v>
      </c>
      <c r="D27" s="438">
        <v>0</v>
      </c>
      <c r="E27" s="322">
        <f>INDEX('3 Vapor'!E:E,MATCH($A27,'3 Vapor'!$A:$A,0))</f>
        <v>2.2947006585953102E-5</v>
      </c>
      <c r="F27" s="439">
        <f>INDEX('3 Vapor'!F:F,MATCH($A27,'3 Vapor'!$A:$A,0))</f>
        <v>2.7536407903143726E-6</v>
      </c>
      <c r="G27" s="322">
        <f>INDEX('9 Flare Hold'!$F:$F,MATCH(Scenarios!$A27,'9 Flare Hold'!$A:$A,0))</f>
        <v>3.4026143790849681E-7</v>
      </c>
      <c r="H27" s="439">
        <f>INDEX('9 Flare Hold'!$G:$G,MATCH(Scenarios!$A27,'9 Flare Hold'!$A:$A,0))</f>
        <v>1.490345098039216E-6</v>
      </c>
      <c r="I27" s="126">
        <f>INDEX('5 Flare2'!$F:$F,MATCH(Scenarios!$A27,'5 Flare2'!$A:$A,0))</f>
        <v>9.2795751633986932E-7</v>
      </c>
      <c r="J27" s="436">
        <f>INDEX('5 Flare2'!$G:$G,MATCH(Scenarios!$A27,'5 Flare2'!$A:$A,0))</f>
        <v>4.0644539215686274E-6</v>
      </c>
      <c r="K27" s="126">
        <f t="shared" si="6"/>
        <v>9.2795751633986932E-7</v>
      </c>
      <c r="L27" s="436">
        <f t="shared" si="6"/>
        <v>4.0644539215686274E-6</v>
      </c>
      <c r="M27" s="126">
        <f>INDEX('4 Flare1'!$F:$F,MATCH(Scenarios!$A27,'4 Flare1'!$A:$A,0))</f>
        <v>3.7906862745098045E-6</v>
      </c>
      <c r="N27" s="436">
        <f>INDEX('4 Flare1'!$G:$G,MATCH(Scenarios!$A27,'4 Flare1'!$A:$A,0))</f>
        <v>1.6603205882352945E-5</v>
      </c>
      <c r="O27" s="126">
        <f>INDEX('6 Flare3'!$F:$F,MATCH(Scenarios!$A27,'6 Flare3'!$A:$A,0))</f>
        <v>1.2837418300653593E-5</v>
      </c>
      <c r="P27" s="436">
        <f>INDEX('6 Flare3'!$G:$G,MATCH(Scenarios!$A27,'6 Flare3'!$A:$A,0))</f>
        <v>5.6227892156862739E-5</v>
      </c>
      <c r="Q27" s="323">
        <f>INDEX('7 Flare4'!$F:$F,MATCH(Scenarios!$A27,'7 Flare4'!$A:$A,0))</f>
        <v>1.3280441176470586E-5</v>
      </c>
      <c r="R27" s="439">
        <f>INDEX('7 Flare4'!$G:$G,MATCH(Scenarios!$A27,'7 Flare4'!$A:$A,0))</f>
        <v>5.8168332352941164E-5</v>
      </c>
      <c r="S27" s="323">
        <f>INDEX('8 Flare5'!$F:$F,MATCH(Scenarios!$A27,'8 Flare5'!$A:$A,0))</f>
        <v>1.38509068627451E-5</v>
      </c>
      <c r="T27" s="439">
        <f>INDEX('8 Flare5'!$G:$G,MATCH(Scenarios!$A27,'8 Flare5'!$A:$A,0))</f>
        <v>6.0666972058823535E-5</v>
      </c>
      <c r="U27" s="126">
        <f t="shared" si="0"/>
        <v>1.38509068627451E-5</v>
      </c>
      <c r="V27" s="436">
        <f t="shared" si="0"/>
        <v>6.0666972058823535E-5</v>
      </c>
      <c r="W27" s="323">
        <f>INDEX('10 Flare Purge A1'!$F:$F,MATCH(Scenarios!$A27,'10 Flare Purge A1'!$A:$A,0))</f>
        <v>9.1636710239651414E-7</v>
      </c>
      <c r="X27" s="439">
        <f>INDEX('10 Flare Purge A1'!$G:$G,MATCH(Scenarios!$A27,'10 Flare Purge A1'!$A:$A,0))</f>
        <v>4.7651089324618733E-8</v>
      </c>
      <c r="Y27" s="323">
        <f>INDEX('11 Flare Purge A2'!$F:$F,MATCH(Scenarios!$A27,'11 Flare Purge A2'!$A:$A,0))</f>
        <v>7.8545751633986931E-7</v>
      </c>
      <c r="Z27" s="439">
        <f>INDEX('11 Flare Purge A2'!$G:$G,MATCH(Scenarios!$A27,'11 Flare Purge A2'!$A:$A,0))</f>
        <v>1.9017890114379084E-7</v>
      </c>
      <c r="AA27" s="323">
        <f>INDEX('12 Flare Purge B'!$F:$F,MATCH(Scenarios!$A27,'12 Flare Purge B'!$A:$A,0))</f>
        <v>3.4560130718954247E-7</v>
      </c>
      <c r="AB27" s="439">
        <f>INDEX('12 Flare Purge B'!$G:$G,MATCH(Scenarios!$A27,'12 Flare Purge B'!$A:$A,0))</f>
        <v>1.7971267973856208E-8</v>
      </c>
      <c r="AC27" s="126">
        <f t="shared" si="10"/>
        <v>9.1636710239651414E-7</v>
      </c>
      <c r="AD27" s="435">
        <f t="shared" si="10"/>
        <v>1.9017890114379084E-7</v>
      </c>
      <c r="AE27" s="462">
        <f t="shared" si="2"/>
        <v>1.8443246187363833E-6</v>
      </c>
      <c r="AF27" s="436">
        <f t="shared" si="2"/>
        <v>4.254632822712418E-6</v>
      </c>
      <c r="AG27" s="126">
        <f t="shared" si="3"/>
        <v>1.4767273965141613E-5</v>
      </c>
      <c r="AH27" s="436">
        <f t="shared" si="3"/>
        <v>6.0857150959967329E-5</v>
      </c>
      <c r="AI27" s="126">
        <f t="shared" si="4"/>
        <v>2.4203635126258113E-5</v>
      </c>
      <c r="AJ27" s="435">
        <f t="shared" si="7"/>
        <v>6.1989514299301313E-5</v>
      </c>
      <c r="AK27" s="470">
        <f t="shared" si="5"/>
        <v>2.4203635126258113E-5</v>
      </c>
      <c r="AL27" s="471">
        <f t="shared" si="5"/>
        <v>6.1989514299301313E-5</v>
      </c>
      <c r="AM27" s="471">
        <f t="shared" si="8"/>
        <v>0.12397902859860263</v>
      </c>
      <c r="AN27" s="1" t="s">
        <v>370</v>
      </c>
    </row>
    <row r="28" spans="1:40">
      <c r="A28" s="398" t="s">
        <v>71</v>
      </c>
      <c r="B28" s="83" t="s">
        <v>39</v>
      </c>
      <c r="C28" s="328">
        <v>0</v>
      </c>
      <c r="D28" s="438">
        <v>0</v>
      </c>
      <c r="E28" s="322">
        <f>INDEX('3 Vapor'!E:E,MATCH($A28,'3 Vapor'!$A:$A,0))</f>
        <v>1.5700583453546858E-5</v>
      </c>
      <c r="F28" s="439">
        <f>INDEX('3 Vapor'!F:F,MATCH($A28,'3 Vapor'!$A:$A,0))</f>
        <v>1.8840700144256228E-6</v>
      </c>
      <c r="G28" s="322">
        <f>INDEX('9 Flare Hold'!$F:$F,MATCH(Scenarios!$A28,'9 Flare Hold'!$A:$A,0))</f>
        <v>2.3281045751633987E-7</v>
      </c>
      <c r="H28" s="439">
        <f>INDEX('9 Flare Hold'!$G:$G,MATCH(Scenarios!$A28,'9 Flare Hold'!$A:$A,0))</f>
        <v>1.0197098039215685E-6</v>
      </c>
      <c r="I28" s="126">
        <f>INDEX('5 Flare2'!$F:$F,MATCH(Scenarios!$A28,'5 Flare2'!$A:$A,0))</f>
        <v>6.3491830065359471E-7</v>
      </c>
      <c r="J28" s="436">
        <f>INDEX('5 Flare2'!$G:$G,MATCH(Scenarios!$A28,'5 Flare2'!$A:$A,0))</f>
        <v>2.7809421568627449E-6</v>
      </c>
      <c r="K28" s="126">
        <f t="shared" si="6"/>
        <v>6.3491830065359471E-7</v>
      </c>
      <c r="L28" s="436">
        <f t="shared" si="6"/>
        <v>2.7809421568627449E-6</v>
      </c>
      <c r="M28" s="126">
        <f>INDEX('4 Flare1'!$F:$F,MATCH(Scenarios!$A28,'4 Flare1'!$A:$A,0))</f>
        <v>2.5936274509803922E-6</v>
      </c>
      <c r="N28" s="436">
        <f>INDEX('4 Flare1'!$G:$G,MATCH(Scenarios!$A28,'4 Flare1'!$A:$A,0))</f>
        <v>1.1360088235294118E-5</v>
      </c>
      <c r="O28" s="126">
        <f>INDEX('6 Flare3'!$F:$F,MATCH(Scenarios!$A28,'6 Flare3'!$A:$A,0))</f>
        <v>8.7834967320261414E-6</v>
      </c>
      <c r="P28" s="436">
        <f>INDEX('6 Flare3'!$G:$G,MATCH(Scenarios!$A28,'6 Flare3'!$A:$A,0))</f>
        <v>3.8471715686274497E-5</v>
      </c>
      <c r="Q28" s="323">
        <f>INDEX('7 Flare4'!$F:$F,MATCH(Scenarios!$A28,'7 Flare4'!$A:$A,0))</f>
        <v>9.0866176470588211E-6</v>
      </c>
      <c r="R28" s="439">
        <f>INDEX('7 Flare4'!$G:$G,MATCH(Scenarios!$A28,'7 Flare4'!$A:$A,0))</f>
        <v>3.9799385294117638E-5</v>
      </c>
      <c r="S28" s="323">
        <f>INDEX('8 Flare5'!$F:$F,MATCH(Scenarios!$A28,'8 Flare5'!$A:$A,0))</f>
        <v>9.4769362745098028E-6</v>
      </c>
      <c r="T28" s="439">
        <f>INDEX('8 Flare5'!$G:$G,MATCH(Scenarios!$A28,'8 Flare5'!$A:$A,0))</f>
        <v>4.1508980882352938E-5</v>
      </c>
      <c r="U28" s="126">
        <f t="shared" si="0"/>
        <v>9.4769362745098028E-6</v>
      </c>
      <c r="V28" s="436">
        <f t="shared" si="0"/>
        <v>4.1508980882352938E-5</v>
      </c>
      <c r="W28" s="323">
        <f>INDEX('10 Flare Purge A1'!$F:$F,MATCH(Scenarios!$A28,'10 Flare Purge A1'!$A:$A,0))</f>
        <v>6.2698801742919386E-7</v>
      </c>
      <c r="X28" s="439">
        <f>INDEX('10 Flare Purge A1'!$G:$G,MATCH(Scenarios!$A28,'10 Flare Purge A1'!$A:$A,0))</f>
        <v>3.2603376906318079E-8</v>
      </c>
      <c r="Y28" s="323">
        <f>INDEX('11 Flare Purge A2'!$F:$F,MATCH(Scenarios!$A28,'11 Flare Purge A2'!$A:$A,0))</f>
        <v>5.3741830065359479E-7</v>
      </c>
      <c r="Z28" s="439">
        <f>INDEX('11 Flare Purge A2'!$G:$G,MATCH(Scenarios!$A28,'11 Flare Purge A2'!$A:$A,0))</f>
        <v>1.3012240604575163E-7</v>
      </c>
      <c r="AA28" s="323">
        <f>INDEX('12 Flare Purge B'!$F:$F,MATCH(Scenarios!$A28,'12 Flare Purge B'!$A:$A,0))</f>
        <v>2.3646405228758168E-7</v>
      </c>
      <c r="AB28" s="439">
        <f>INDEX('12 Flare Purge B'!$G:$G,MATCH(Scenarios!$A28,'12 Flare Purge B'!$A:$A,0))</f>
        <v>1.2296130718954248E-8</v>
      </c>
      <c r="AC28" s="126">
        <f t="shared" si="10"/>
        <v>6.2698801742919386E-7</v>
      </c>
      <c r="AD28" s="435">
        <f t="shared" si="10"/>
        <v>1.3012240604575163E-7</v>
      </c>
      <c r="AE28" s="462">
        <f t="shared" si="2"/>
        <v>1.2619063180827886E-6</v>
      </c>
      <c r="AF28" s="436">
        <f t="shared" si="2"/>
        <v>2.9110645629084966E-6</v>
      </c>
      <c r="AG28" s="126">
        <f t="shared" si="3"/>
        <v>1.0103924291938996E-5</v>
      </c>
      <c r="AH28" s="436">
        <f t="shared" si="3"/>
        <v>4.1639103288398687E-5</v>
      </c>
      <c r="AI28" s="126">
        <f t="shared" si="4"/>
        <v>1.6560381928492393E-5</v>
      </c>
      <c r="AJ28" s="435">
        <f t="shared" si="7"/>
        <v>4.2413878204785093E-5</v>
      </c>
      <c r="AK28" s="470">
        <f t="shared" si="5"/>
        <v>1.6560381928492393E-5</v>
      </c>
      <c r="AL28" s="471">
        <f t="shared" si="5"/>
        <v>4.2413878204785093E-5</v>
      </c>
      <c r="AM28" s="471">
        <f t="shared" si="8"/>
        <v>8.4827756409570187E-2</v>
      </c>
      <c r="AN28" s="1" t="s">
        <v>370</v>
      </c>
    </row>
    <row r="29" spans="1:40">
      <c r="A29" s="398" t="s">
        <v>293</v>
      </c>
      <c r="B29" s="83" t="s">
        <v>40</v>
      </c>
      <c r="C29" s="328">
        <v>0</v>
      </c>
      <c r="D29" s="438">
        <v>0</v>
      </c>
      <c r="E29" s="322">
        <f>INDEX('3 Vapor'!E:E,MATCH($A29,'3 Vapor'!$A:$A,0))</f>
        <v>1.2681240481710924E-4</v>
      </c>
      <c r="F29" s="439">
        <f>INDEX('3 Vapor'!F:F,MATCH($A29,'3 Vapor'!$A:$A,0))</f>
        <v>1.5217488578053108E-5</v>
      </c>
      <c r="G29" s="322">
        <f>INDEX('9 Flare Hold'!$F:$F,MATCH(Scenarios!$A29,'9 Flare Hold'!$A:$A,0))</f>
        <v>1.8803921568627451E-6</v>
      </c>
      <c r="H29" s="439">
        <f>INDEX('9 Flare Hold'!$G:$G,MATCH(Scenarios!$A29,'9 Flare Hold'!$A:$A,0))</f>
        <v>8.2361176470588247E-6</v>
      </c>
      <c r="I29" s="126">
        <f>INDEX('5 Flare2'!$F:$F,MATCH(Scenarios!$A29,'5 Flare2'!$A:$A,0))</f>
        <v>5.1281862745098031E-6</v>
      </c>
      <c r="J29" s="436">
        <f>INDEX('5 Flare2'!$G:$G,MATCH(Scenarios!$A29,'5 Flare2'!$A:$A,0))</f>
        <v>2.2461455882352939E-5</v>
      </c>
      <c r="K29" s="126">
        <f t="shared" si="6"/>
        <v>5.1281862745098031E-6</v>
      </c>
      <c r="L29" s="436">
        <f t="shared" si="6"/>
        <v>2.2461455882352939E-5</v>
      </c>
      <c r="M29" s="126">
        <f>INDEX('4 Flare1'!$F:$F,MATCH(Scenarios!$A29,'4 Flare1'!$A:$A,0))</f>
        <v>2.0948529411764705E-5</v>
      </c>
      <c r="N29" s="436">
        <f>INDEX('4 Flare1'!$G:$G,MATCH(Scenarios!$A29,'4 Flare1'!$A:$A,0))</f>
        <v>9.1754558823529405E-5</v>
      </c>
      <c r="O29" s="126">
        <f>INDEX('6 Flare3'!$F:$F,MATCH(Scenarios!$A29,'6 Flare3'!$A:$A,0))</f>
        <v>7.0943627450980375E-5</v>
      </c>
      <c r="P29" s="436">
        <f>INDEX('6 Flare3'!$G:$G,MATCH(Scenarios!$A29,'6 Flare3'!$A:$A,0))</f>
        <v>3.1073308823529407E-4</v>
      </c>
      <c r="Q29" s="323">
        <f>INDEX('7 Flare4'!$F:$F,MATCH(Scenarios!$A29,'7 Flare4'!$A:$A,0))</f>
        <v>7.3391911764705866E-5</v>
      </c>
      <c r="R29" s="439">
        <f>INDEX('7 Flare4'!$G:$G,MATCH(Scenarios!$A29,'7 Flare4'!$A:$A,0))</f>
        <v>3.214565735294117E-4</v>
      </c>
      <c r="S29" s="323">
        <f>INDEX('8 Flare5'!$F:$F,MATCH(Scenarios!$A29,'8 Flare5'!$A:$A,0))</f>
        <v>7.654448529411764E-5</v>
      </c>
      <c r="T29" s="439">
        <f>INDEX('8 Flare5'!$G:$G,MATCH(Scenarios!$A29,'8 Flare5'!$A:$A,0))</f>
        <v>3.3526484558823528E-4</v>
      </c>
      <c r="U29" s="126">
        <f t="shared" si="0"/>
        <v>7.654448529411764E-5</v>
      </c>
      <c r="V29" s="436">
        <f t="shared" si="0"/>
        <v>3.3526484558823528E-4</v>
      </c>
      <c r="W29" s="323">
        <f>INDEX('10 Flare Purge A1'!$F:$F,MATCH(Scenarios!$A29,'10 Flare Purge A1'!$A:$A,0))</f>
        <v>5.0641339869281039E-6</v>
      </c>
      <c r="X29" s="439">
        <f>INDEX('10 Flare Purge A1'!$G:$G,MATCH(Scenarios!$A29,'10 Flare Purge A1'!$A:$A,0))</f>
        <v>2.6333496732026139E-7</v>
      </c>
      <c r="Y29" s="323">
        <f>INDEX('11 Flare Purge A2'!$F:$F,MATCH(Scenarios!$A29,'11 Flare Purge A2'!$A:$A,0))</f>
        <v>4.3406862745098035E-6</v>
      </c>
      <c r="Z29" s="439">
        <f>INDEX('11 Flare Purge A2'!$G:$G,MATCH(Scenarios!$A29,'11 Flare Purge A2'!$A:$A,0))</f>
        <v>1.0509886642156863E-6</v>
      </c>
      <c r="AA29" s="323">
        <f>INDEX('12 Flare Purge B'!$F:$F,MATCH(Scenarios!$A29,'12 Flare Purge B'!$A:$A,0))</f>
        <v>1.9099019607843136E-6</v>
      </c>
      <c r="AB29" s="439">
        <f>INDEX('12 Flare Purge B'!$G:$G,MATCH(Scenarios!$A29,'12 Flare Purge B'!$A:$A,0))</f>
        <v>9.9314901960784308E-8</v>
      </c>
      <c r="AC29" s="126">
        <f t="shared" si="10"/>
        <v>5.0641339869281039E-6</v>
      </c>
      <c r="AD29" s="435">
        <f t="shared" si="10"/>
        <v>1.0509886642156863E-6</v>
      </c>
      <c r="AE29" s="462">
        <f t="shared" si="2"/>
        <v>1.0192320261437907E-5</v>
      </c>
      <c r="AF29" s="436">
        <f t="shared" si="2"/>
        <v>2.3512444546568625E-5</v>
      </c>
      <c r="AG29" s="126">
        <f t="shared" si="3"/>
        <v>8.1608619281045737E-5</v>
      </c>
      <c r="AH29" s="436">
        <f t="shared" si="3"/>
        <v>3.3631583425245098E-4</v>
      </c>
      <c r="AI29" s="126">
        <f t="shared" si="4"/>
        <v>1.337569309609001E-4</v>
      </c>
      <c r="AJ29" s="435">
        <f t="shared" si="7"/>
        <v>3.4257363165403354E-4</v>
      </c>
      <c r="AK29" s="470">
        <f t="shared" si="5"/>
        <v>1.337569309609001E-4</v>
      </c>
      <c r="AL29" s="471">
        <f t="shared" si="5"/>
        <v>3.4257363165403354E-4</v>
      </c>
      <c r="AM29" s="471">
        <f t="shared" si="8"/>
        <v>0.68514726330806708</v>
      </c>
    </row>
    <row r="30" spans="1:40">
      <c r="A30" s="398" t="s">
        <v>296</v>
      </c>
      <c r="B30" s="83" t="s">
        <v>82</v>
      </c>
      <c r="C30" s="328">
        <v>0</v>
      </c>
      <c r="D30" s="438">
        <v>0</v>
      </c>
      <c r="E30" s="322">
        <f>INDEX('3 Vapor'!E:E,MATCH($A30,'3 Vapor'!$A:$A,0))</f>
        <v>1.146263365827794E-4</v>
      </c>
      <c r="F30" s="439">
        <f>INDEX('3 Vapor'!F:F,MATCH($A30,'3 Vapor'!$A:$A,0))</f>
        <v>1.3755160389933527E-5</v>
      </c>
      <c r="G30" s="322">
        <f>INDEX('9 Flare Hold'!$F:$F,MATCH(Scenarios!$A30,'9 Flare Hold'!$A:$A,0))</f>
        <v>1.6996954248366012E-6</v>
      </c>
      <c r="H30" s="439">
        <f>INDEX('9 Flare Hold'!$G:$G,MATCH(Scenarios!$A30,'9 Flare Hold'!$A:$A,0))</f>
        <v>7.4446659607843138E-6</v>
      </c>
      <c r="I30" s="126">
        <f>INDEX('5 Flare2'!$F:$F,MATCH(Scenarios!$A30,'5 Flare2'!$A:$A,0))</f>
        <v>4.6353919934640519E-6</v>
      </c>
      <c r="J30" s="436">
        <f>INDEX('5 Flare2'!$G:$G,MATCH(Scenarios!$A30,'5 Flare2'!$A:$A,0))</f>
        <v>2.0303016931372549E-5</v>
      </c>
      <c r="K30" s="126">
        <f t="shared" si="6"/>
        <v>4.6353919934640519E-6</v>
      </c>
      <c r="L30" s="436">
        <f t="shared" si="6"/>
        <v>2.0303016931372549E-5</v>
      </c>
      <c r="M30" s="126">
        <f>INDEX('4 Flare1'!$F:$F,MATCH(Scenarios!$A30,'4 Flare1'!$A:$A,0))</f>
        <v>1.8935475490196076E-5</v>
      </c>
      <c r="N30" s="436">
        <f>INDEX('4 Flare1'!$G:$G,MATCH(Scenarios!$A30,'4 Flare1'!$A:$A,0))</f>
        <v>8.293738264705881E-5</v>
      </c>
      <c r="O30" s="126">
        <f>INDEX('6 Flare3'!$F:$F,MATCH(Scenarios!$A30,'6 Flare3'!$A:$A,0))</f>
        <v>6.4126282679738547E-5</v>
      </c>
      <c r="P30" s="436">
        <f>INDEX('6 Flare3'!$G:$G,MATCH(Scenarios!$A30,'6 Flare3'!$A:$A,0))</f>
        <v>2.8087311813725487E-4</v>
      </c>
      <c r="Q30" s="323">
        <f>INDEX('7 Flare4'!$F:$F,MATCH(Scenarios!$A30,'7 Flare4'!$A:$A,0))</f>
        <v>6.6339298529411752E-5</v>
      </c>
      <c r="R30" s="439">
        <f>INDEX('7 Flare4'!$G:$G,MATCH(Scenarios!$A30,'7 Flare4'!$A:$A,0))</f>
        <v>2.905661275588235E-4</v>
      </c>
      <c r="S30" s="323">
        <f>INDEX('8 Flare5'!$F:$F,MATCH(Scenarios!$A30,'8 Flare5'!$A:$A,0))</f>
        <v>6.9188924754901956E-5</v>
      </c>
      <c r="T30" s="439">
        <f>INDEX('8 Flare5'!$G:$G,MATCH(Scenarios!$A30,'8 Flare5'!$A:$A,0))</f>
        <v>3.0304749042647057E-4</v>
      </c>
      <c r="U30" s="126">
        <f t="shared" si="0"/>
        <v>6.9188924754901956E-5</v>
      </c>
      <c r="V30" s="436">
        <f t="shared" si="0"/>
        <v>3.0304749042647057E-4</v>
      </c>
      <c r="W30" s="323">
        <f>INDEX('10 Flare Purge A1'!$F:$F,MATCH(Scenarios!$A30,'10 Flare Purge A1'!$A:$A,0))</f>
        <v>4.5774948257080602E-6</v>
      </c>
      <c r="X30" s="439">
        <f>INDEX('10 Flare Purge A1'!$G:$G,MATCH(Scenarios!$A30,'10 Flare Purge A1'!$A:$A,0))</f>
        <v>2.3802973093681912E-7</v>
      </c>
      <c r="Y30" s="323">
        <f>INDEX('11 Flare Purge A2'!$F:$F,MATCH(Scenarios!$A30,'11 Flare Purge A2'!$A:$A,0))</f>
        <v>3.9235669934640521E-6</v>
      </c>
      <c r="Z30" s="439">
        <f>INDEX('11 Flare Purge A2'!$G:$G,MATCH(Scenarios!$A30,'11 Flare Purge A2'!$A:$A,0))</f>
        <v>9.4999365829248353E-7</v>
      </c>
      <c r="AA30" s="323">
        <f>INDEX('12 Flare Purge B'!$F:$F,MATCH(Scenarios!$A30,'12 Flare Purge B'!$A:$A,0))</f>
        <v>1.7263694771241827E-6</v>
      </c>
      <c r="AB30" s="439">
        <f>INDEX('12 Flare Purge B'!$G:$G,MATCH(Scenarios!$A30,'12 Flare Purge B'!$A:$A,0))</f>
        <v>8.9771212810457487E-8</v>
      </c>
      <c r="AC30" s="126">
        <f t="shared" si="10"/>
        <v>4.5774948257080602E-6</v>
      </c>
      <c r="AD30" s="435">
        <f t="shared" si="10"/>
        <v>9.4999365829248353E-7</v>
      </c>
      <c r="AE30" s="462">
        <f t="shared" si="2"/>
        <v>9.2128868191721121E-6</v>
      </c>
      <c r="AF30" s="436">
        <f t="shared" si="2"/>
        <v>2.1253010589665031E-5</v>
      </c>
      <c r="AG30" s="126">
        <f t="shared" si="3"/>
        <v>7.3766419580610014E-5</v>
      </c>
      <c r="AH30" s="436">
        <f t="shared" si="3"/>
        <v>3.0399748408476308E-4</v>
      </c>
      <c r="AI30" s="126">
        <f t="shared" si="4"/>
        <v>1.2090352683332405E-4</v>
      </c>
      <c r="AJ30" s="435">
        <f t="shared" si="7"/>
        <v>3.0965393695508878E-4</v>
      </c>
      <c r="AK30" s="470">
        <f t="shared" si="5"/>
        <v>1.2090352683332405E-4</v>
      </c>
      <c r="AL30" s="471">
        <f t="shared" si="5"/>
        <v>3.0965393695508878E-4</v>
      </c>
      <c r="AM30" s="471">
        <f t="shared" si="8"/>
        <v>0.6193078739101775</v>
      </c>
    </row>
    <row r="31" spans="1:40">
      <c r="A31" s="398" t="s">
        <v>285</v>
      </c>
      <c r="B31" s="105" t="s">
        <v>4</v>
      </c>
      <c r="C31" s="328">
        <v>0</v>
      </c>
      <c r="D31" s="438">
        <v>0</v>
      </c>
      <c r="E31" s="322">
        <f>INDEX('3 Vapor'!E:E,MATCH($A31,'3 Vapor'!$A:$A,0))</f>
        <v>1.4492846264812487E-6</v>
      </c>
      <c r="F31" s="439">
        <f>INDEX('3 Vapor'!F:F,MATCH($A31,'3 Vapor'!$A:$A,0))</f>
        <v>1.7391415517774985E-7</v>
      </c>
      <c r="G31" s="322">
        <f>INDEX('9 Flare Hold'!$F:$F,MATCH(Scenarios!$A31,'9 Flare Hold'!$A:$A,0))</f>
        <v>2.1490196078431375E-8</v>
      </c>
      <c r="H31" s="439">
        <f>INDEX('9 Flare Hold'!$G:$G,MATCH(Scenarios!$A31,'9 Flare Hold'!$A:$A,0))</f>
        <v>9.4127058823529429E-8</v>
      </c>
      <c r="I31" s="126">
        <f>INDEX('5 Flare2'!$F:$F,MATCH(Scenarios!$A31,'5 Flare2'!$A:$A,0))</f>
        <v>5.8607843137254897E-8</v>
      </c>
      <c r="J31" s="436">
        <f>INDEX('5 Flare2'!$G:$G,MATCH(Scenarios!$A31,'5 Flare2'!$A:$A,0))</f>
        <v>2.5670235294117645E-7</v>
      </c>
      <c r="K31" s="126">
        <f t="shared" si="6"/>
        <v>5.8607843137254897E-8</v>
      </c>
      <c r="L31" s="436">
        <f t="shared" si="6"/>
        <v>2.5670235294117645E-7</v>
      </c>
      <c r="M31" s="126">
        <f>INDEX('4 Flare1'!$F:$F,MATCH(Scenarios!$A31,'4 Flare1'!$A:$A,0))</f>
        <v>2.3941176470588236E-7</v>
      </c>
      <c r="N31" s="436">
        <f>INDEX('4 Flare1'!$G:$G,MATCH(Scenarios!$A31,'4 Flare1'!$A:$A,0))</f>
        <v>1.0486235294117647E-6</v>
      </c>
      <c r="O31" s="126">
        <f>INDEX('6 Flare3'!$F:$F,MATCH(Scenarios!$A31,'6 Flare3'!$A:$A,0))</f>
        <v>8.1078431372549006E-7</v>
      </c>
      <c r="P31" s="436">
        <f>INDEX('6 Flare3'!$G:$G,MATCH(Scenarios!$A31,'6 Flare3'!$A:$A,0))</f>
        <v>3.5512352941176464E-6</v>
      </c>
      <c r="Q31" s="323">
        <f>INDEX('7 Flare4'!$F:$F,MATCH(Scenarios!$A31,'7 Flare4'!$A:$A,0))</f>
        <v>8.3876470588235273E-7</v>
      </c>
      <c r="R31" s="439">
        <f>INDEX('7 Flare4'!$G:$G,MATCH(Scenarios!$A31,'7 Flare4'!$A:$A,0))</f>
        <v>3.6737894117647048E-6</v>
      </c>
      <c r="S31" s="323">
        <f>INDEX('8 Flare5'!$F:$F,MATCH(Scenarios!$A31,'8 Flare5'!$A:$A,0))</f>
        <v>8.7479411764705886E-7</v>
      </c>
      <c r="T31" s="439">
        <f>INDEX('8 Flare5'!$G:$G,MATCH(Scenarios!$A31,'8 Flare5'!$A:$A,0))</f>
        <v>3.8315982352941181E-6</v>
      </c>
      <c r="U31" s="126">
        <f t="shared" si="0"/>
        <v>8.7479411764705886E-7</v>
      </c>
      <c r="V31" s="436">
        <f t="shared" si="0"/>
        <v>3.8315982352941181E-6</v>
      </c>
      <c r="W31" s="323">
        <f>INDEX('10 Flare Purge A1'!$F:$F,MATCH(Scenarios!$A31,'10 Flare Purge A1'!$A:$A,0))</f>
        <v>5.7875816993464048E-8</v>
      </c>
      <c r="X31" s="439">
        <f>INDEX('10 Flare Purge A1'!$G:$G,MATCH(Scenarios!$A31,'10 Flare Purge A1'!$A:$A,0))</f>
        <v>3.0095424836601305E-9</v>
      </c>
      <c r="Y31" s="323">
        <f>INDEX('11 Flare Purge A2'!$F:$F,MATCH(Scenarios!$A31,'11 Flare Purge A2'!$A:$A,0))</f>
        <v>4.9607843137254902E-8</v>
      </c>
      <c r="Z31" s="439">
        <f>INDEX('11 Flare Purge A2'!$G:$G,MATCH(Scenarios!$A31,'11 Flare Purge A2'!$A:$A,0))</f>
        <v>1.2011299019607843E-8</v>
      </c>
      <c r="AA31" s="323">
        <f>INDEX('12 Flare Purge B'!$F:$F,MATCH(Scenarios!$A31,'12 Flare Purge B'!$A:$A,0))</f>
        <v>2.1827450980392156E-8</v>
      </c>
      <c r="AB31" s="439">
        <f>INDEX('12 Flare Purge B'!$G:$G,MATCH(Scenarios!$A31,'12 Flare Purge B'!$A:$A,0))</f>
        <v>1.1350274509803922E-9</v>
      </c>
      <c r="AC31" s="126">
        <f t="shared" si="10"/>
        <v>5.7875816993464048E-8</v>
      </c>
      <c r="AD31" s="435">
        <f t="shared" si="10"/>
        <v>1.2011299019607843E-8</v>
      </c>
      <c r="AE31" s="462">
        <f t="shared" si="2"/>
        <v>1.1648366013071895E-7</v>
      </c>
      <c r="AF31" s="436">
        <f t="shared" si="2"/>
        <v>2.6871365196078427E-7</v>
      </c>
      <c r="AG31" s="126">
        <f t="shared" si="3"/>
        <v>9.326699346405229E-7</v>
      </c>
      <c r="AH31" s="436">
        <f t="shared" si="3"/>
        <v>3.8436095343137258E-6</v>
      </c>
      <c r="AI31" s="126">
        <f t="shared" si="4"/>
        <v>1.5286506395531441E-6</v>
      </c>
      <c r="AJ31" s="435">
        <f t="shared" si="7"/>
        <v>3.9151272189032406E-6</v>
      </c>
      <c r="AK31" s="470">
        <f t="shared" si="5"/>
        <v>1.5286506395531441E-6</v>
      </c>
      <c r="AL31" s="471">
        <f t="shared" si="5"/>
        <v>3.9151272189032406E-6</v>
      </c>
      <c r="AM31" s="471">
        <f t="shared" si="8"/>
        <v>7.8302544378064821E-3</v>
      </c>
    </row>
    <row r="32" spans="1:40">
      <c r="A32" s="398" t="s">
        <v>54</v>
      </c>
      <c r="B32" s="105" t="s">
        <v>5</v>
      </c>
      <c r="C32" s="328">
        <v>0</v>
      </c>
      <c r="D32" s="438">
        <v>0</v>
      </c>
      <c r="E32" s="322">
        <f>INDEX('3 Vapor'!E:E,MATCH($A32,'3 Vapor'!$A:$A,0))</f>
        <v>1.0869634698609364E-7</v>
      </c>
      <c r="F32" s="439">
        <f>INDEX('3 Vapor'!F:F,MATCH($A32,'3 Vapor'!$A:$A,0))</f>
        <v>1.3043561638331235E-8</v>
      </c>
      <c r="G32" s="322">
        <f>INDEX('9 Flare Hold'!$F:$F,MATCH(Scenarios!$A32,'9 Flare Hold'!$A:$A,0))</f>
        <v>1.6117647058823531E-9</v>
      </c>
      <c r="H32" s="439">
        <f>INDEX('9 Flare Hold'!$G:$G,MATCH(Scenarios!$A32,'9 Flare Hold'!$A:$A,0))</f>
        <v>7.0595294117647067E-9</v>
      </c>
      <c r="I32" s="126">
        <f>INDEX('5 Flare2'!$F:$F,MATCH(Scenarios!$A32,'5 Flare2'!$A:$A,0))</f>
        <v>4.3955882352941171E-9</v>
      </c>
      <c r="J32" s="436">
        <f>INDEX('5 Flare2'!$G:$G,MATCH(Scenarios!$A32,'5 Flare2'!$A:$A,0))</f>
        <v>1.9252676470588232E-8</v>
      </c>
      <c r="K32" s="126">
        <f t="shared" si="6"/>
        <v>4.3955882352941171E-9</v>
      </c>
      <c r="L32" s="436">
        <f t="shared" si="6"/>
        <v>1.9252676470588232E-8</v>
      </c>
      <c r="M32" s="126">
        <f>INDEX('4 Flare1'!$F:$F,MATCH(Scenarios!$A32,'4 Flare1'!$A:$A,0))</f>
        <v>1.7955882352941176E-8</v>
      </c>
      <c r="N32" s="436">
        <f>INDEX('4 Flare1'!$G:$G,MATCH(Scenarios!$A32,'4 Flare1'!$A:$A,0))</f>
        <v>7.8646764705882352E-8</v>
      </c>
      <c r="O32" s="126">
        <f>INDEX('6 Flare3'!$F:$F,MATCH(Scenarios!$A32,'6 Flare3'!$A:$A,0))</f>
        <v>6.0808823529411757E-8</v>
      </c>
      <c r="P32" s="436">
        <f>INDEX('6 Flare3'!$G:$G,MATCH(Scenarios!$A32,'6 Flare3'!$A:$A,0))</f>
        <v>2.6634264705882348E-7</v>
      </c>
      <c r="Q32" s="323">
        <f>INDEX('7 Flare4'!$F:$F,MATCH(Scenarios!$A32,'7 Flare4'!$A:$A,0))</f>
        <v>6.2907352941176452E-8</v>
      </c>
      <c r="R32" s="439">
        <f>INDEX('7 Flare4'!$G:$G,MATCH(Scenarios!$A32,'7 Flare4'!$A:$A,0))</f>
        <v>2.7553420588235283E-7</v>
      </c>
      <c r="S32" s="323">
        <f>INDEX('8 Flare5'!$F:$F,MATCH(Scenarios!$A32,'8 Flare5'!$A:$A,0))</f>
        <v>6.5609558823529412E-8</v>
      </c>
      <c r="T32" s="439">
        <f>INDEX('8 Flare5'!$G:$G,MATCH(Scenarios!$A32,'8 Flare5'!$A:$A,0))</f>
        <v>2.8736986764705885E-7</v>
      </c>
      <c r="U32" s="126">
        <f t="shared" si="0"/>
        <v>6.5609558823529412E-8</v>
      </c>
      <c r="V32" s="436">
        <f t="shared" si="0"/>
        <v>2.8736986764705885E-7</v>
      </c>
      <c r="W32" s="323">
        <f>INDEX('10 Flare Purge A1'!$F:$F,MATCH(Scenarios!$A32,'10 Flare Purge A1'!$A:$A,0))</f>
        <v>4.340686274509804E-9</v>
      </c>
      <c r="X32" s="439">
        <f>INDEX('10 Flare Purge A1'!$G:$G,MATCH(Scenarios!$A32,'10 Flare Purge A1'!$A:$A,0))</f>
        <v>2.2571568627450981E-10</v>
      </c>
      <c r="Y32" s="323">
        <f>INDEX('11 Flare Purge A2'!$F:$F,MATCH(Scenarios!$A32,'11 Flare Purge A2'!$A:$A,0))</f>
        <v>3.7205882352941177E-9</v>
      </c>
      <c r="Z32" s="439">
        <f>INDEX('11 Flare Purge A2'!$G:$G,MATCH(Scenarios!$A32,'11 Flare Purge A2'!$A:$A,0))</f>
        <v>9.0084742647058822E-10</v>
      </c>
      <c r="AA32" s="323">
        <f>INDEX('12 Flare Purge B'!$F:$F,MATCH(Scenarios!$A32,'12 Flare Purge B'!$A:$A,0))</f>
        <v>1.6370588235294116E-9</v>
      </c>
      <c r="AB32" s="439">
        <f>INDEX('12 Flare Purge B'!$G:$G,MATCH(Scenarios!$A32,'12 Flare Purge B'!$A:$A,0))</f>
        <v>8.5127058823529401E-11</v>
      </c>
      <c r="AC32" s="126">
        <f t="shared" si="10"/>
        <v>4.340686274509804E-9</v>
      </c>
      <c r="AD32" s="435">
        <f t="shared" si="10"/>
        <v>9.0084742647058822E-10</v>
      </c>
      <c r="AE32" s="462">
        <f t="shared" si="2"/>
        <v>8.7362745098039211E-9</v>
      </c>
      <c r="AF32" s="436">
        <f t="shared" si="2"/>
        <v>2.0153523897058819E-8</v>
      </c>
      <c r="AG32" s="126">
        <f t="shared" si="3"/>
        <v>6.9950245098039223E-8</v>
      </c>
      <c r="AH32" s="436">
        <f t="shared" si="3"/>
        <v>2.8827071507352942E-7</v>
      </c>
      <c r="AI32" s="126">
        <f t="shared" si="4"/>
        <v>1.146487979664858E-7</v>
      </c>
      <c r="AJ32" s="435">
        <f t="shared" si="7"/>
        <v>2.9363454141774302E-7</v>
      </c>
      <c r="AK32" s="470">
        <f t="shared" si="5"/>
        <v>1.146487979664858E-7</v>
      </c>
      <c r="AL32" s="471">
        <f t="shared" si="5"/>
        <v>2.9363454141774302E-7</v>
      </c>
      <c r="AM32" s="471">
        <f t="shared" si="8"/>
        <v>5.8726908283548605E-4</v>
      </c>
      <c r="AN32" s="1" t="s">
        <v>370</v>
      </c>
    </row>
    <row r="33" spans="1:40">
      <c r="A33" s="398" t="s">
        <v>55</v>
      </c>
      <c r="B33" s="105" t="s">
        <v>6</v>
      </c>
      <c r="C33" s="328">
        <v>0</v>
      </c>
      <c r="D33" s="438">
        <v>0</v>
      </c>
      <c r="E33" s="322">
        <f>INDEX('3 Vapor'!E:E,MATCH($A33,'3 Vapor'!$A:$A,0))</f>
        <v>9.6618975098749879E-7</v>
      </c>
      <c r="F33" s="439">
        <f>INDEX('3 Vapor'!F:F,MATCH($A33,'3 Vapor'!$A:$A,0))</f>
        <v>1.1594277011849985E-7</v>
      </c>
      <c r="G33" s="322">
        <f>INDEX('9 Flare Hold'!$F:$F,MATCH(Scenarios!$A33,'9 Flare Hold'!$A:$A,0))</f>
        <v>1.4326797385620917E-8</v>
      </c>
      <c r="H33" s="439">
        <f>INDEX('9 Flare Hold'!$G:$G,MATCH(Scenarios!$A33,'9 Flare Hold'!$A:$A,0))</f>
        <v>6.2751372549019628E-8</v>
      </c>
      <c r="I33" s="126">
        <f>INDEX('5 Flare2'!$F:$F,MATCH(Scenarios!$A33,'5 Flare2'!$A:$A,0))</f>
        <v>3.9071895424836598E-8</v>
      </c>
      <c r="J33" s="436">
        <f>INDEX('5 Flare2'!$G:$G,MATCH(Scenarios!$A33,'5 Flare2'!$A:$A,0))</f>
        <v>1.711349019607843E-7</v>
      </c>
      <c r="K33" s="126">
        <f t="shared" si="6"/>
        <v>3.9071895424836598E-8</v>
      </c>
      <c r="L33" s="436">
        <f t="shared" si="6"/>
        <v>1.711349019607843E-7</v>
      </c>
      <c r="M33" s="126">
        <f>INDEX('4 Flare1'!$F:$F,MATCH(Scenarios!$A33,'4 Flare1'!$A:$A,0))</f>
        <v>1.5960784313725491E-7</v>
      </c>
      <c r="N33" s="436">
        <f>INDEX('4 Flare1'!$G:$G,MATCH(Scenarios!$A33,'4 Flare1'!$A:$A,0))</f>
        <v>6.9908235294117647E-7</v>
      </c>
      <c r="O33" s="126">
        <f>INDEX('6 Flare3'!$F:$F,MATCH(Scenarios!$A33,'6 Flare3'!$A:$A,0))</f>
        <v>5.4052287581699337E-7</v>
      </c>
      <c r="P33" s="436">
        <f>INDEX('6 Flare3'!$G:$G,MATCH(Scenarios!$A33,'6 Flare3'!$A:$A,0))</f>
        <v>2.3674901960784312E-6</v>
      </c>
      <c r="Q33" s="323">
        <f>INDEX('7 Flare4'!$F:$F,MATCH(Scenarios!$A33,'7 Flare4'!$A:$A,0))</f>
        <v>5.5917647058823523E-7</v>
      </c>
      <c r="R33" s="439">
        <f>INDEX('7 Flare4'!$G:$G,MATCH(Scenarios!$A33,'7 Flare4'!$A:$A,0))</f>
        <v>2.4491929411764703E-6</v>
      </c>
      <c r="S33" s="323">
        <f>INDEX('8 Flare5'!$F:$F,MATCH(Scenarios!$A33,'8 Flare5'!$A:$A,0))</f>
        <v>5.8319607843137254E-7</v>
      </c>
      <c r="T33" s="439">
        <f>INDEX('8 Flare5'!$G:$G,MATCH(Scenarios!$A33,'8 Flare5'!$A:$A,0))</f>
        <v>2.5543988235294114E-6</v>
      </c>
      <c r="U33" s="126">
        <f t="shared" si="0"/>
        <v>5.8319607843137254E-7</v>
      </c>
      <c r="V33" s="436">
        <f t="shared" si="0"/>
        <v>2.5543988235294114E-6</v>
      </c>
      <c r="W33" s="323">
        <f>INDEX('10 Flare Purge A1'!$F:$F,MATCH(Scenarios!$A33,'10 Flare Purge A1'!$A:$A,0))</f>
        <v>3.8583877995642701E-8</v>
      </c>
      <c r="X33" s="439">
        <f>INDEX('10 Flare Purge A1'!$G:$G,MATCH(Scenarios!$A33,'10 Flare Purge A1'!$A:$A,0))</f>
        <v>2.0063616557734206E-9</v>
      </c>
      <c r="Y33" s="323">
        <f>INDEX('11 Flare Purge A2'!$F:$F,MATCH(Scenarios!$A33,'11 Flare Purge A2'!$A:$A,0))</f>
        <v>3.3071895424836604E-8</v>
      </c>
      <c r="Z33" s="439">
        <f>INDEX('11 Flare Purge A2'!$G:$G,MATCH(Scenarios!$A33,'11 Flare Purge A2'!$A:$A,0))</f>
        <v>8.0075326797385628E-9</v>
      </c>
      <c r="AA33" s="323">
        <f>INDEX('12 Flare Purge B'!$F:$F,MATCH(Scenarios!$A33,'12 Flare Purge B'!$A:$A,0))</f>
        <v>1.4551633986928104E-8</v>
      </c>
      <c r="AB33" s="439">
        <f>INDEX('12 Flare Purge B'!$G:$G,MATCH(Scenarios!$A33,'12 Flare Purge B'!$A:$A,0))</f>
        <v>7.5668496732026137E-10</v>
      </c>
      <c r="AC33" s="126">
        <f t="shared" si="10"/>
        <v>3.8583877995642701E-8</v>
      </c>
      <c r="AD33" s="435">
        <f t="shared" si="10"/>
        <v>8.0075326797385628E-9</v>
      </c>
      <c r="AE33" s="462">
        <f t="shared" si="2"/>
        <v>7.7655773420479293E-8</v>
      </c>
      <c r="AF33" s="436">
        <f t="shared" si="2"/>
        <v>1.7914243464052286E-7</v>
      </c>
      <c r="AG33" s="126">
        <f t="shared" si="3"/>
        <v>6.217799564270152E-7</v>
      </c>
      <c r="AH33" s="436">
        <f t="shared" si="3"/>
        <v>2.5624063562091498E-6</v>
      </c>
      <c r="AI33" s="126">
        <f t="shared" si="4"/>
        <v>1.0191004263687623E-6</v>
      </c>
      <c r="AJ33" s="435">
        <f t="shared" si="7"/>
        <v>2.6100848126021597E-6</v>
      </c>
      <c r="AK33" s="470">
        <f t="shared" si="5"/>
        <v>1.0191004263687623E-6</v>
      </c>
      <c r="AL33" s="471">
        <f t="shared" si="5"/>
        <v>2.6100848126021597E-6</v>
      </c>
      <c r="AM33" s="471">
        <f t="shared" si="8"/>
        <v>5.2201696252043191E-3</v>
      </c>
      <c r="AN33" s="1" t="s">
        <v>370</v>
      </c>
    </row>
    <row r="34" spans="1:40">
      <c r="A34" s="398" t="s">
        <v>287</v>
      </c>
      <c r="B34" s="105" t="s">
        <v>7</v>
      </c>
      <c r="C34" s="328">
        <v>0</v>
      </c>
      <c r="D34" s="438">
        <v>0</v>
      </c>
      <c r="E34" s="322">
        <f>INDEX('3 Vapor'!E:E,MATCH($A34,'3 Vapor'!$A:$A,0))</f>
        <v>1.0869634698609364E-7</v>
      </c>
      <c r="F34" s="439">
        <f>INDEX('3 Vapor'!F:F,MATCH($A34,'3 Vapor'!$A:$A,0))</f>
        <v>1.3043561638331235E-8</v>
      </c>
      <c r="G34" s="322">
        <f>INDEX('9 Flare Hold'!$F:$F,MATCH(Scenarios!$A34,'9 Flare Hold'!$A:$A,0))</f>
        <v>1.6117647058823531E-9</v>
      </c>
      <c r="H34" s="439">
        <f>INDEX('9 Flare Hold'!$G:$G,MATCH(Scenarios!$A34,'9 Flare Hold'!$A:$A,0))</f>
        <v>7.0595294117647067E-9</v>
      </c>
      <c r="I34" s="126">
        <f>INDEX('5 Flare2'!$F:$F,MATCH(Scenarios!$A34,'5 Flare2'!$A:$A,0))</f>
        <v>4.3955882352941171E-9</v>
      </c>
      <c r="J34" s="436">
        <f>INDEX('5 Flare2'!$G:$G,MATCH(Scenarios!$A34,'5 Flare2'!$A:$A,0))</f>
        <v>1.9252676470588232E-8</v>
      </c>
      <c r="K34" s="126">
        <f t="shared" si="6"/>
        <v>4.3955882352941171E-9</v>
      </c>
      <c r="L34" s="436">
        <f t="shared" si="6"/>
        <v>1.9252676470588232E-8</v>
      </c>
      <c r="M34" s="126">
        <f>INDEX('4 Flare1'!$F:$F,MATCH(Scenarios!$A34,'4 Flare1'!$A:$A,0))</f>
        <v>1.7955882352941176E-8</v>
      </c>
      <c r="N34" s="436">
        <f>INDEX('4 Flare1'!$G:$G,MATCH(Scenarios!$A34,'4 Flare1'!$A:$A,0))</f>
        <v>7.8646764705882352E-8</v>
      </c>
      <c r="O34" s="126">
        <f>INDEX('6 Flare3'!$F:$F,MATCH(Scenarios!$A34,'6 Flare3'!$A:$A,0))</f>
        <v>6.0808823529411757E-8</v>
      </c>
      <c r="P34" s="436">
        <f>INDEX('6 Flare3'!$G:$G,MATCH(Scenarios!$A34,'6 Flare3'!$A:$A,0))</f>
        <v>2.6634264705882348E-7</v>
      </c>
      <c r="Q34" s="323">
        <f>INDEX('7 Flare4'!$F:$F,MATCH(Scenarios!$A34,'7 Flare4'!$A:$A,0))</f>
        <v>6.2907352941176452E-8</v>
      </c>
      <c r="R34" s="439">
        <f>INDEX('7 Flare4'!$G:$G,MATCH(Scenarios!$A34,'7 Flare4'!$A:$A,0))</f>
        <v>2.7553420588235283E-7</v>
      </c>
      <c r="S34" s="323">
        <f>INDEX('8 Flare5'!$F:$F,MATCH(Scenarios!$A34,'8 Flare5'!$A:$A,0))</f>
        <v>6.5609558823529412E-8</v>
      </c>
      <c r="T34" s="439">
        <f>INDEX('8 Flare5'!$G:$G,MATCH(Scenarios!$A34,'8 Flare5'!$A:$A,0))</f>
        <v>2.8736986764705885E-7</v>
      </c>
      <c r="U34" s="126">
        <f t="shared" si="0"/>
        <v>6.5609558823529412E-8</v>
      </c>
      <c r="V34" s="436">
        <f t="shared" si="0"/>
        <v>2.8736986764705885E-7</v>
      </c>
      <c r="W34" s="323">
        <f>INDEX('10 Flare Purge A1'!$F:$F,MATCH(Scenarios!$A34,'10 Flare Purge A1'!$A:$A,0))</f>
        <v>4.340686274509804E-9</v>
      </c>
      <c r="X34" s="439">
        <f>INDEX('10 Flare Purge A1'!$G:$G,MATCH(Scenarios!$A34,'10 Flare Purge A1'!$A:$A,0))</f>
        <v>2.2571568627450981E-10</v>
      </c>
      <c r="Y34" s="323">
        <f>INDEX('11 Flare Purge A2'!$F:$F,MATCH(Scenarios!$A34,'11 Flare Purge A2'!$A:$A,0))</f>
        <v>3.7205882352941177E-9</v>
      </c>
      <c r="Z34" s="439">
        <f>INDEX('11 Flare Purge A2'!$G:$G,MATCH(Scenarios!$A34,'11 Flare Purge A2'!$A:$A,0))</f>
        <v>9.0084742647058822E-10</v>
      </c>
      <c r="AA34" s="323">
        <f>INDEX('12 Flare Purge B'!$F:$F,MATCH(Scenarios!$A34,'12 Flare Purge B'!$A:$A,0))</f>
        <v>1.6370588235294116E-9</v>
      </c>
      <c r="AB34" s="439">
        <f>INDEX('12 Flare Purge B'!$G:$G,MATCH(Scenarios!$A34,'12 Flare Purge B'!$A:$A,0))</f>
        <v>8.5127058823529401E-11</v>
      </c>
      <c r="AC34" s="126">
        <f t="shared" si="10"/>
        <v>4.340686274509804E-9</v>
      </c>
      <c r="AD34" s="435">
        <f t="shared" si="10"/>
        <v>9.0084742647058822E-10</v>
      </c>
      <c r="AE34" s="462">
        <f t="shared" si="2"/>
        <v>8.7362745098039211E-9</v>
      </c>
      <c r="AF34" s="436">
        <f t="shared" si="2"/>
        <v>2.0153523897058819E-8</v>
      </c>
      <c r="AG34" s="126">
        <f t="shared" si="3"/>
        <v>6.9950245098039223E-8</v>
      </c>
      <c r="AH34" s="436">
        <f t="shared" si="3"/>
        <v>2.8827071507352942E-7</v>
      </c>
      <c r="AI34" s="126">
        <f t="shared" si="4"/>
        <v>1.146487979664858E-7</v>
      </c>
      <c r="AJ34" s="435">
        <f t="shared" si="7"/>
        <v>2.9363454141774302E-7</v>
      </c>
      <c r="AK34" s="470">
        <f t="shared" si="5"/>
        <v>1.146487979664858E-7</v>
      </c>
      <c r="AL34" s="471">
        <f t="shared" si="5"/>
        <v>2.9363454141774302E-7</v>
      </c>
      <c r="AM34" s="471">
        <f t="shared" si="8"/>
        <v>5.8726908283548605E-4</v>
      </c>
    </row>
    <row r="35" spans="1:40">
      <c r="A35" s="398" t="s">
        <v>286</v>
      </c>
      <c r="B35" s="105" t="s">
        <v>8</v>
      </c>
      <c r="C35" s="328">
        <v>0</v>
      </c>
      <c r="D35" s="438">
        <v>0</v>
      </c>
      <c r="E35" s="322">
        <f>INDEX('3 Vapor'!E:E,MATCH($A35,'3 Vapor'!$A:$A,0))</f>
        <v>1.0869634698609364E-7</v>
      </c>
      <c r="F35" s="439">
        <f>INDEX('3 Vapor'!F:F,MATCH($A35,'3 Vapor'!$A:$A,0))</f>
        <v>1.3043561638331235E-8</v>
      </c>
      <c r="G35" s="322">
        <f>INDEX('9 Flare Hold'!$F:$F,MATCH(Scenarios!$A35,'9 Flare Hold'!$A:$A,0))</f>
        <v>1.6117647058823531E-9</v>
      </c>
      <c r="H35" s="439">
        <f>INDEX('9 Flare Hold'!$G:$G,MATCH(Scenarios!$A35,'9 Flare Hold'!$A:$A,0))</f>
        <v>7.0595294117647067E-9</v>
      </c>
      <c r="I35" s="126">
        <f>INDEX('5 Flare2'!$F:$F,MATCH(Scenarios!$A35,'5 Flare2'!$A:$A,0))</f>
        <v>4.3955882352941171E-9</v>
      </c>
      <c r="J35" s="436">
        <f>INDEX('5 Flare2'!$G:$G,MATCH(Scenarios!$A35,'5 Flare2'!$A:$A,0))</f>
        <v>1.9252676470588232E-8</v>
      </c>
      <c r="K35" s="126">
        <f t="shared" si="6"/>
        <v>4.3955882352941171E-9</v>
      </c>
      <c r="L35" s="436">
        <f t="shared" si="6"/>
        <v>1.9252676470588232E-8</v>
      </c>
      <c r="M35" s="126">
        <f>INDEX('4 Flare1'!$F:$F,MATCH(Scenarios!$A35,'4 Flare1'!$A:$A,0))</f>
        <v>1.7955882352941176E-8</v>
      </c>
      <c r="N35" s="436">
        <f>INDEX('4 Flare1'!$G:$G,MATCH(Scenarios!$A35,'4 Flare1'!$A:$A,0))</f>
        <v>7.8646764705882352E-8</v>
      </c>
      <c r="O35" s="126">
        <f>INDEX('6 Flare3'!$F:$F,MATCH(Scenarios!$A35,'6 Flare3'!$A:$A,0))</f>
        <v>6.0808823529411757E-8</v>
      </c>
      <c r="P35" s="436">
        <f>INDEX('6 Flare3'!$G:$G,MATCH(Scenarios!$A35,'6 Flare3'!$A:$A,0))</f>
        <v>2.6634264705882348E-7</v>
      </c>
      <c r="Q35" s="323">
        <f>INDEX('7 Flare4'!$F:$F,MATCH(Scenarios!$A35,'7 Flare4'!$A:$A,0))</f>
        <v>6.2907352941176452E-8</v>
      </c>
      <c r="R35" s="439">
        <f>INDEX('7 Flare4'!$G:$G,MATCH(Scenarios!$A35,'7 Flare4'!$A:$A,0))</f>
        <v>2.7553420588235283E-7</v>
      </c>
      <c r="S35" s="323">
        <f>INDEX('8 Flare5'!$F:$F,MATCH(Scenarios!$A35,'8 Flare5'!$A:$A,0))</f>
        <v>6.5609558823529412E-8</v>
      </c>
      <c r="T35" s="439">
        <f>INDEX('8 Flare5'!$G:$G,MATCH(Scenarios!$A35,'8 Flare5'!$A:$A,0))</f>
        <v>2.8736986764705885E-7</v>
      </c>
      <c r="U35" s="126">
        <f t="shared" si="0"/>
        <v>6.5609558823529412E-8</v>
      </c>
      <c r="V35" s="436">
        <f t="shared" si="0"/>
        <v>2.8736986764705885E-7</v>
      </c>
      <c r="W35" s="323">
        <f>INDEX('10 Flare Purge A1'!$F:$F,MATCH(Scenarios!$A35,'10 Flare Purge A1'!$A:$A,0))</f>
        <v>4.340686274509804E-9</v>
      </c>
      <c r="X35" s="439">
        <f>INDEX('10 Flare Purge A1'!$G:$G,MATCH(Scenarios!$A35,'10 Flare Purge A1'!$A:$A,0))</f>
        <v>2.2571568627450981E-10</v>
      </c>
      <c r="Y35" s="323">
        <f>INDEX('11 Flare Purge A2'!$F:$F,MATCH(Scenarios!$A35,'11 Flare Purge A2'!$A:$A,0))</f>
        <v>3.7205882352941177E-9</v>
      </c>
      <c r="Z35" s="439">
        <f>INDEX('11 Flare Purge A2'!$G:$G,MATCH(Scenarios!$A35,'11 Flare Purge A2'!$A:$A,0))</f>
        <v>9.0084742647058822E-10</v>
      </c>
      <c r="AA35" s="323">
        <f>INDEX('12 Flare Purge B'!$F:$F,MATCH(Scenarios!$A35,'12 Flare Purge B'!$A:$A,0))</f>
        <v>1.6370588235294116E-9</v>
      </c>
      <c r="AB35" s="439">
        <f>INDEX('12 Flare Purge B'!$G:$G,MATCH(Scenarios!$A35,'12 Flare Purge B'!$A:$A,0))</f>
        <v>8.5127058823529401E-11</v>
      </c>
      <c r="AC35" s="126">
        <f t="shared" si="10"/>
        <v>4.340686274509804E-9</v>
      </c>
      <c r="AD35" s="435">
        <f t="shared" si="10"/>
        <v>9.0084742647058822E-10</v>
      </c>
      <c r="AE35" s="462">
        <f t="shared" si="2"/>
        <v>8.7362745098039211E-9</v>
      </c>
      <c r="AF35" s="436">
        <f t="shared" si="2"/>
        <v>2.0153523897058819E-8</v>
      </c>
      <c r="AG35" s="126">
        <f t="shared" si="3"/>
        <v>6.9950245098039223E-8</v>
      </c>
      <c r="AH35" s="436">
        <f t="shared" si="3"/>
        <v>2.8827071507352942E-7</v>
      </c>
      <c r="AI35" s="126">
        <f t="shared" si="4"/>
        <v>1.146487979664858E-7</v>
      </c>
      <c r="AJ35" s="435">
        <f t="shared" si="7"/>
        <v>2.9363454141774302E-7</v>
      </c>
      <c r="AK35" s="470">
        <f t="shared" si="5"/>
        <v>1.146487979664858E-7</v>
      </c>
      <c r="AL35" s="471">
        <f t="shared" si="5"/>
        <v>2.9363454141774302E-7</v>
      </c>
      <c r="AM35" s="471">
        <f t="shared" si="8"/>
        <v>5.8726908283548605E-4</v>
      </c>
    </row>
    <row r="36" spans="1:40">
      <c r="A36" s="398" t="s">
        <v>288</v>
      </c>
      <c r="B36" s="105" t="s">
        <v>11</v>
      </c>
      <c r="C36" s="328">
        <v>0</v>
      </c>
      <c r="D36" s="438">
        <v>0</v>
      </c>
      <c r="E36" s="322">
        <f>INDEX('3 Vapor'!E:E,MATCH($A36,'3 Vapor'!$A:$A,0))</f>
        <v>1.4492846264812486E-7</v>
      </c>
      <c r="F36" s="439">
        <f>INDEX('3 Vapor'!F:F,MATCH($A36,'3 Vapor'!$A:$A,0))</f>
        <v>1.7391415517774982E-8</v>
      </c>
      <c r="G36" s="322">
        <f>INDEX('9 Flare Hold'!$F:$F,MATCH(Scenarios!$A36,'9 Flare Hold'!$A:$A,0))</f>
        <v>2.1490196078431375E-9</v>
      </c>
      <c r="H36" s="439">
        <f>INDEX('9 Flare Hold'!$G:$G,MATCH(Scenarios!$A36,'9 Flare Hold'!$A:$A,0))</f>
        <v>9.4127058823529422E-9</v>
      </c>
      <c r="I36" s="126">
        <f>INDEX('5 Flare2'!$F:$F,MATCH(Scenarios!$A36,'5 Flare2'!$A:$A,0))</f>
        <v>5.8607843137254892E-9</v>
      </c>
      <c r="J36" s="436">
        <f>INDEX('5 Flare2'!$G:$G,MATCH(Scenarios!$A36,'5 Flare2'!$A:$A,0))</f>
        <v>2.5670235294117642E-8</v>
      </c>
      <c r="K36" s="126">
        <f t="shared" si="6"/>
        <v>5.8607843137254892E-9</v>
      </c>
      <c r="L36" s="436">
        <f t="shared" si="6"/>
        <v>2.5670235294117642E-8</v>
      </c>
      <c r="M36" s="126">
        <f>INDEX('4 Flare1'!$F:$F,MATCH(Scenarios!$A36,'4 Flare1'!$A:$A,0))</f>
        <v>2.3941176470588234E-8</v>
      </c>
      <c r="N36" s="436">
        <f>INDEX('4 Flare1'!$G:$G,MATCH(Scenarios!$A36,'4 Flare1'!$A:$A,0))</f>
        <v>1.0486235294117646E-7</v>
      </c>
      <c r="O36" s="126">
        <f>INDEX('6 Flare3'!$F:$F,MATCH(Scenarios!$A36,'6 Flare3'!$A:$A,0))</f>
        <v>8.1078431372549001E-8</v>
      </c>
      <c r="P36" s="436">
        <f>INDEX('6 Flare3'!$G:$G,MATCH(Scenarios!$A36,'6 Flare3'!$A:$A,0))</f>
        <v>3.5512352941176464E-7</v>
      </c>
      <c r="Q36" s="323">
        <f>INDEX('7 Flare4'!$F:$F,MATCH(Scenarios!$A36,'7 Flare4'!$A:$A,0))</f>
        <v>8.3876470588235279E-8</v>
      </c>
      <c r="R36" s="439">
        <f>INDEX('7 Flare4'!$G:$G,MATCH(Scenarios!$A36,'7 Flare4'!$A:$A,0))</f>
        <v>3.6737894117647055E-7</v>
      </c>
      <c r="S36" s="323">
        <f>INDEX('8 Flare5'!$F:$F,MATCH(Scenarios!$A36,'8 Flare5'!$A:$A,0))</f>
        <v>8.7479411764705878E-8</v>
      </c>
      <c r="T36" s="439">
        <f>INDEX('8 Flare5'!$G:$G,MATCH(Scenarios!$A36,'8 Flare5'!$A:$A,0))</f>
        <v>3.8315982352941178E-7</v>
      </c>
      <c r="U36" s="126">
        <f t="shared" si="0"/>
        <v>8.7479411764705878E-8</v>
      </c>
      <c r="V36" s="436">
        <f t="shared" si="0"/>
        <v>3.8315982352941178E-7</v>
      </c>
      <c r="W36" s="323">
        <f>INDEX('10 Flare Purge A1'!$F:$F,MATCH(Scenarios!$A36,'10 Flare Purge A1'!$A:$A,0))</f>
        <v>5.787581699346405E-9</v>
      </c>
      <c r="X36" s="439">
        <f>INDEX('10 Flare Purge A1'!$G:$G,MATCH(Scenarios!$A36,'10 Flare Purge A1'!$A:$A,0))</f>
        <v>3.0095424836601305E-10</v>
      </c>
      <c r="Y36" s="323">
        <f>INDEX('11 Flare Purge A2'!$F:$F,MATCH(Scenarios!$A36,'11 Flare Purge A2'!$A:$A,0))</f>
        <v>4.9607843137254902E-9</v>
      </c>
      <c r="Z36" s="439">
        <f>INDEX('11 Flare Purge A2'!$G:$G,MATCH(Scenarios!$A36,'11 Flare Purge A2'!$A:$A,0))</f>
        <v>1.2011299019607844E-9</v>
      </c>
      <c r="AA36" s="323">
        <f>INDEX('12 Flare Purge B'!$F:$F,MATCH(Scenarios!$A36,'12 Flare Purge B'!$A:$A,0))</f>
        <v>2.1827450980392153E-9</v>
      </c>
      <c r="AB36" s="439">
        <f>INDEX('12 Flare Purge B'!$G:$G,MATCH(Scenarios!$A36,'12 Flare Purge B'!$A:$A,0))</f>
        <v>1.135027450980392E-10</v>
      </c>
      <c r="AC36" s="126">
        <f t="shared" si="10"/>
        <v>5.787581699346405E-9</v>
      </c>
      <c r="AD36" s="435">
        <f t="shared" si="10"/>
        <v>1.2011299019607844E-9</v>
      </c>
      <c r="AE36" s="462">
        <f t="shared" si="2"/>
        <v>1.1648366013071894E-8</v>
      </c>
      <c r="AF36" s="436">
        <f t="shared" si="2"/>
        <v>2.6871365196078426E-8</v>
      </c>
      <c r="AG36" s="126">
        <f t="shared" si="3"/>
        <v>9.3266993464052279E-8</v>
      </c>
      <c r="AH36" s="436">
        <f t="shared" si="3"/>
        <v>3.8436095343137254E-7</v>
      </c>
      <c r="AI36" s="126">
        <f t="shared" si="4"/>
        <v>1.5286506395531441E-7</v>
      </c>
      <c r="AJ36" s="435">
        <f t="shared" si="7"/>
        <v>3.9151272189032402E-7</v>
      </c>
      <c r="AK36" s="470">
        <f t="shared" si="5"/>
        <v>1.5286506395531441E-7</v>
      </c>
      <c r="AL36" s="471">
        <f t="shared" si="5"/>
        <v>3.9151272189032402E-7</v>
      </c>
      <c r="AM36" s="471">
        <f t="shared" si="8"/>
        <v>7.8302544378064799E-4</v>
      </c>
    </row>
    <row r="37" spans="1:40">
      <c r="A37" s="398" t="s">
        <v>58</v>
      </c>
      <c r="B37" s="105" t="s">
        <v>83</v>
      </c>
      <c r="C37" s="328">
        <v>0</v>
      </c>
      <c r="D37" s="438">
        <v>0</v>
      </c>
      <c r="E37" s="322">
        <f>INDEX('3 Vapor'!E:E,MATCH($A37,'3 Vapor'!$A:$A,0))</f>
        <v>1.0869634698609364E-7</v>
      </c>
      <c r="F37" s="439">
        <f>INDEX('3 Vapor'!F:F,MATCH($A37,'3 Vapor'!$A:$A,0))</f>
        <v>1.3043561638331235E-8</v>
      </c>
      <c r="G37" s="322">
        <f>INDEX('9 Flare Hold'!$F:$F,MATCH(Scenarios!$A37,'9 Flare Hold'!$A:$A,0))</f>
        <v>1.6117647058823531E-9</v>
      </c>
      <c r="H37" s="439">
        <f>INDEX('9 Flare Hold'!$G:$G,MATCH(Scenarios!$A37,'9 Flare Hold'!$A:$A,0))</f>
        <v>7.0595294117647067E-9</v>
      </c>
      <c r="I37" s="126">
        <f>INDEX('5 Flare2'!$F:$F,MATCH(Scenarios!$A37,'5 Flare2'!$A:$A,0))</f>
        <v>4.3955882352941171E-9</v>
      </c>
      <c r="J37" s="436">
        <f>INDEX('5 Flare2'!$G:$G,MATCH(Scenarios!$A37,'5 Flare2'!$A:$A,0))</f>
        <v>1.9252676470588232E-8</v>
      </c>
      <c r="K37" s="126">
        <f t="shared" si="6"/>
        <v>4.3955882352941171E-9</v>
      </c>
      <c r="L37" s="436">
        <f t="shared" si="6"/>
        <v>1.9252676470588232E-8</v>
      </c>
      <c r="M37" s="126">
        <f>INDEX('4 Flare1'!$F:$F,MATCH(Scenarios!$A37,'4 Flare1'!$A:$A,0))</f>
        <v>1.7955882352941176E-8</v>
      </c>
      <c r="N37" s="436">
        <f>INDEX('4 Flare1'!$G:$G,MATCH(Scenarios!$A37,'4 Flare1'!$A:$A,0))</f>
        <v>7.8646764705882352E-8</v>
      </c>
      <c r="O37" s="126">
        <f>INDEX('6 Flare3'!$F:$F,MATCH(Scenarios!$A37,'6 Flare3'!$A:$A,0))</f>
        <v>6.0808823529411757E-8</v>
      </c>
      <c r="P37" s="436">
        <f>INDEX('6 Flare3'!$G:$G,MATCH(Scenarios!$A37,'6 Flare3'!$A:$A,0))</f>
        <v>2.6634264705882348E-7</v>
      </c>
      <c r="Q37" s="323">
        <f>INDEX('7 Flare4'!$F:$F,MATCH(Scenarios!$A37,'7 Flare4'!$A:$A,0))</f>
        <v>6.2907352941176452E-8</v>
      </c>
      <c r="R37" s="439">
        <f>INDEX('7 Flare4'!$G:$G,MATCH(Scenarios!$A37,'7 Flare4'!$A:$A,0))</f>
        <v>2.7553420588235283E-7</v>
      </c>
      <c r="S37" s="323">
        <f>INDEX('8 Flare5'!$F:$F,MATCH(Scenarios!$A37,'8 Flare5'!$A:$A,0))</f>
        <v>6.5609558823529412E-8</v>
      </c>
      <c r="T37" s="439">
        <f>INDEX('8 Flare5'!$G:$G,MATCH(Scenarios!$A37,'8 Flare5'!$A:$A,0))</f>
        <v>2.8736986764705885E-7</v>
      </c>
      <c r="U37" s="126">
        <f t="shared" si="0"/>
        <v>6.5609558823529412E-8</v>
      </c>
      <c r="V37" s="436">
        <f t="shared" si="0"/>
        <v>2.8736986764705885E-7</v>
      </c>
      <c r="W37" s="323">
        <f>INDEX('10 Flare Purge A1'!$F:$F,MATCH(Scenarios!$A37,'10 Flare Purge A1'!$A:$A,0))</f>
        <v>4.340686274509804E-9</v>
      </c>
      <c r="X37" s="439">
        <f>INDEX('10 Flare Purge A1'!$G:$G,MATCH(Scenarios!$A37,'10 Flare Purge A1'!$A:$A,0))</f>
        <v>2.2571568627450981E-10</v>
      </c>
      <c r="Y37" s="323">
        <f>INDEX('11 Flare Purge A2'!$F:$F,MATCH(Scenarios!$A37,'11 Flare Purge A2'!$A:$A,0))</f>
        <v>3.7205882352941177E-9</v>
      </c>
      <c r="Z37" s="439">
        <f>INDEX('11 Flare Purge A2'!$G:$G,MATCH(Scenarios!$A37,'11 Flare Purge A2'!$A:$A,0))</f>
        <v>9.0084742647058822E-10</v>
      </c>
      <c r="AA37" s="323">
        <f>INDEX('12 Flare Purge B'!$F:$F,MATCH(Scenarios!$A37,'12 Flare Purge B'!$A:$A,0))</f>
        <v>1.6370588235294116E-9</v>
      </c>
      <c r="AB37" s="439">
        <f>INDEX('12 Flare Purge B'!$G:$G,MATCH(Scenarios!$A37,'12 Flare Purge B'!$A:$A,0))</f>
        <v>8.5127058823529401E-11</v>
      </c>
      <c r="AC37" s="126">
        <f t="shared" si="10"/>
        <v>4.340686274509804E-9</v>
      </c>
      <c r="AD37" s="435">
        <f t="shared" si="10"/>
        <v>9.0084742647058822E-10</v>
      </c>
      <c r="AE37" s="462">
        <f t="shared" si="2"/>
        <v>8.7362745098039211E-9</v>
      </c>
      <c r="AF37" s="436">
        <f t="shared" si="2"/>
        <v>2.0153523897058819E-8</v>
      </c>
      <c r="AG37" s="126">
        <f t="shared" si="3"/>
        <v>6.9950245098039223E-8</v>
      </c>
      <c r="AH37" s="436">
        <f t="shared" si="3"/>
        <v>2.8827071507352942E-7</v>
      </c>
      <c r="AI37" s="126">
        <f t="shared" si="4"/>
        <v>1.146487979664858E-7</v>
      </c>
      <c r="AJ37" s="435">
        <f t="shared" si="7"/>
        <v>2.9363454141774302E-7</v>
      </c>
      <c r="AK37" s="470">
        <f t="shared" si="5"/>
        <v>1.146487979664858E-7</v>
      </c>
      <c r="AL37" s="471">
        <f t="shared" si="5"/>
        <v>2.9363454141774302E-7</v>
      </c>
      <c r="AM37" s="471">
        <f t="shared" si="8"/>
        <v>5.8726908283548605E-4</v>
      </c>
      <c r="AN37" s="1" t="s">
        <v>370</v>
      </c>
    </row>
    <row r="38" spans="1:40">
      <c r="A38" s="398" t="s">
        <v>60</v>
      </c>
      <c r="B38" s="105" t="s">
        <v>13</v>
      </c>
      <c r="C38" s="328">
        <v>0</v>
      </c>
      <c r="D38" s="438">
        <v>0</v>
      </c>
      <c r="E38" s="322">
        <f>INDEX('3 Vapor'!E:E,MATCH($A38,'3 Vapor'!$A:$A,0))</f>
        <v>7.2464231324062428E-8</v>
      </c>
      <c r="F38" s="439">
        <f>INDEX('3 Vapor'!F:F,MATCH($A38,'3 Vapor'!$A:$A,0))</f>
        <v>8.6957077588874908E-9</v>
      </c>
      <c r="G38" s="322">
        <f>INDEX('9 Flare Hold'!$F:$F,MATCH(Scenarios!$A38,'9 Flare Hold'!$A:$A,0))</f>
        <v>1.0745098039215688E-9</v>
      </c>
      <c r="H38" s="439">
        <f>INDEX('9 Flare Hold'!$G:$G,MATCH(Scenarios!$A38,'9 Flare Hold'!$A:$A,0))</f>
        <v>4.7063529411764711E-9</v>
      </c>
      <c r="I38" s="126">
        <f>INDEX('5 Flare2'!$F:$F,MATCH(Scenarios!$A38,'5 Flare2'!$A:$A,0))</f>
        <v>2.9303921568627446E-9</v>
      </c>
      <c r="J38" s="436">
        <f>INDEX('5 Flare2'!$G:$G,MATCH(Scenarios!$A38,'5 Flare2'!$A:$A,0))</f>
        <v>1.2835117647058821E-8</v>
      </c>
      <c r="K38" s="126">
        <f t="shared" si="6"/>
        <v>2.9303921568627446E-9</v>
      </c>
      <c r="L38" s="436">
        <f t="shared" si="6"/>
        <v>1.2835117647058821E-8</v>
      </c>
      <c r="M38" s="126">
        <f>INDEX('4 Flare1'!$F:$F,MATCH(Scenarios!$A38,'4 Flare1'!$A:$A,0))</f>
        <v>1.1970588235294117E-8</v>
      </c>
      <c r="N38" s="436">
        <f>INDEX('4 Flare1'!$G:$G,MATCH(Scenarios!$A38,'4 Flare1'!$A:$A,0))</f>
        <v>5.243117647058823E-8</v>
      </c>
      <c r="O38" s="126">
        <f>INDEX('6 Flare3'!$F:$F,MATCH(Scenarios!$A38,'6 Flare3'!$A:$A,0))</f>
        <v>4.05392156862745E-8</v>
      </c>
      <c r="P38" s="436">
        <f>INDEX('6 Flare3'!$G:$G,MATCH(Scenarios!$A38,'6 Flare3'!$A:$A,0))</f>
        <v>1.7756176470588232E-7</v>
      </c>
      <c r="Q38" s="323">
        <f>INDEX('7 Flare4'!$F:$F,MATCH(Scenarios!$A38,'7 Flare4'!$A:$A,0))</f>
        <v>4.1938235294117639E-8</v>
      </c>
      <c r="R38" s="439">
        <f>INDEX('7 Flare4'!$G:$G,MATCH(Scenarios!$A38,'7 Flare4'!$A:$A,0))</f>
        <v>1.8368947058823527E-7</v>
      </c>
      <c r="S38" s="323">
        <f>INDEX('8 Flare5'!$F:$F,MATCH(Scenarios!$A38,'8 Flare5'!$A:$A,0))</f>
        <v>4.3739705882352939E-8</v>
      </c>
      <c r="T38" s="439">
        <f>INDEX('8 Flare5'!$G:$G,MATCH(Scenarios!$A38,'8 Flare5'!$A:$A,0))</f>
        <v>1.9157991176470589E-7</v>
      </c>
      <c r="U38" s="126">
        <f t="shared" si="0"/>
        <v>4.3739705882352939E-8</v>
      </c>
      <c r="V38" s="436">
        <f t="shared" si="0"/>
        <v>1.9157991176470589E-7</v>
      </c>
      <c r="W38" s="323">
        <f>INDEX('10 Flare Purge A1'!$F:$F,MATCH(Scenarios!$A38,'10 Flare Purge A1'!$A:$A,0))</f>
        <v>2.8937908496732025E-9</v>
      </c>
      <c r="X38" s="439">
        <f>INDEX('10 Flare Purge A1'!$G:$G,MATCH(Scenarios!$A38,'10 Flare Purge A1'!$A:$A,0))</f>
        <v>1.5047712418300653E-10</v>
      </c>
      <c r="Y38" s="323">
        <f>INDEX('11 Flare Purge A2'!$F:$F,MATCH(Scenarios!$A38,'11 Flare Purge A2'!$A:$A,0))</f>
        <v>2.4803921568627451E-9</v>
      </c>
      <c r="Z38" s="439">
        <f>INDEX('11 Flare Purge A2'!$G:$G,MATCH(Scenarios!$A38,'11 Flare Purge A2'!$A:$A,0))</f>
        <v>6.0056495098039221E-10</v>
      </c>
      <c r="AA38" s="323">
        <f>INDEX('12 Flare Purge B'!$F:$F,MATCH(Scenarios!$A38,'12 Flare Purge B'!$A:$A,0))</f>
        <v>1.0913725490196077E-9</v>
      </c>
      <c r="AB38" s="439">
        <f>INDEX('12 Flare Purge B'!$G:$G,MATCH(Scenarios!$A38,'12 Flare Purge B'!$A:$A,0))</f>
        <v>5.6751372549019601E-11</v>
      </c>
      <c r="AC38" s="126">
        <f t="shared" si="10"/>
        <v>2.8937908496732025E-9</v>
      </c>
      <c r="AD38" s="435">
        <f t="shared" si="10"/>
        <v>6.0056495098039221E-10</v>
      </c>
      <c r="AE38" s="462">
        <f t="shared" si="2"/>
        <v>5.8241830065359471E-9</v>
      </c>
      <c r="AF38" s="436">
        <f t="shared" si="2"/>
        <v>1.3435682598039213E-8</v>
      </c>
      <c r="AG38" s="126">
        <f t="shared" si="3"/>
        <v>4.663349673202614E-8</v>
      </c>
      <c r="AH38" s="436">
        <f t="shared" si="3"/>
        <v>1.9218047671568627E-7</v>
      </c>
      <c r="AI38" s="126">
        <f t="shared" si="4"/>
        <v>7.6432531977657206E-8</v>
      </c>
      <c r="AJ38" s="435">
        <f t="shared" si="7"/>
        <v>1.9575636094516201E-7</v>
      </c>
      <c r="AK38" s="470">
        <f t="shared" si="5"/>
        <v>7.6432531977657206E-8</v>
      </c>
      <c r="AL38" s="471">
        <f t="shared" si="5"/>
        <v>1.9575636094516201E-7</v>
      </c>
      <c r="AM38" s="471">
        <f t="shared" si="8"/>
        <v>3.91512721890324E-4</v>
      </c>
      <c r="AN38" s="1" t="s">
        <v>370</v>
      </c>
    </row>
    <row r="39" spans="1:40">
      <c r="A39" s="398" t="s">
        <v>61</v>
      </c>
      <c r="B39" s="105" t="s">
        <v>14</v>
      </c>
      <c r="C39" s="328">
        <v>0</v>
      </c>
      <c r="D39" s="438">
        <v>0</v>
      </c>
      <c r="E39" s="322">
        <f>INDEX('3 Vapor'!E:E,MATCH($A39,'3 Vapor'!$A:$A,0))</f>
        <v>1.0869634698609364E-7</v>
      </c>
      <c r="F39" s="439">
        <f>INDEX('3 Vapor'!F:F,MATCH($A39,'3 Vapor'!$A:$A,0))</f>
        <v>1.3043561638331235E-8</v>
      </c>
      <c r="G39" s="322">
        <f>INDEX('9 Flare Hold'!$F:$F,MATCH(Scenarios!$A39,'9 Flare Hold'!$A:$A,0))</f>
        <v>1.6117647058823531E-9</v>
      </c>
      <c r="H39" s="439">
        <f>INDEX('9 Flare Hold'!$G:$G,MATCH(Scenarios!$A39,'9 Flare Hold'!$A:$A,0))</f>
        <v>7.0595294117647067E-9</v>
      </c>
      <c r="I39" s="126">
        <f>INDEX('5 Flare2'!$F:$F,MATCH(Scenarios!$A39,'5 Flare2'!$A:$A,0))</f>
        <v>4.3955882352941171E-9</v>
      </c>
      <c r="J39" s="436">
        <f>INDEX('5 Flare2'!$G:$G,MATCH(Scenarios!$A39,'5 Flare2'!$A:$A,0))</f>
        <v>1.9252676470588232E-8</v>
      </c>
      <c r="K39" s="126">
        <f t="shared" si="6"/>
        <v>4.3955882352941171E-9</v>
      </c>
      <c r="L39" s="436">
        <f t="shared" si="6"/>
        <v>1.9252676470588232E-8</v>
      </c>
      <c r="M39" s="126">
        <f>INDEX('4 Flare1'!$F:$F,MATCH(Scenarios!$A39,'4 Flare1'!$A:$A,0))</f>
        <v>1.7955882352941176E-8</v>
      </c>
      <c r="N39" s="436">
        <f>INDEX('4 Flare1'!$G:$G,MATCH(Scenarios!$A39,'4 Flare1'!$A:$A,0))</f>
        <v>7.8646764705882352E-8</v>
      </c>
      <c r="O39" s="126">
        <f>INDEX('6 Flare3'!$F:$F,MATCH(Scenarios!$A39,'6 Flare3'!$A:$A,0))</f>
        <v>6.0808823529411757E-8</v>
      </c>
      <c r="P39" s="436">
        <f>INDEX('6 Flare3'!$G:$G,MATCH(Scenarios!$A39,'6 Flare3'!$A:$A,0))</f>
        <v>2.6634264705882348E-7</v>
      </c>
      <c r="Q39" s="323">
        <f>INDEX('7 Flare4'!$F:$F,MATCH(Scenarios!$A39,'7 Flare4'!$A:$A,0))</f>
        <v>6.2907352941176452E-8</v>
      </c>
      <c r="R39" s="439">
        <f>INDEX('7 Flare4'!$G:$G,MATCH(Scenarios!$A39,'7 Flare4'!$A:$A,0))</f>
        <v>2.7553420588235283E-7</v>
      </c>
      <c r="S39" s="323">
        <f>INDEX('8 Flare5'!$F:$F,MATCH(Scenarios!$A39,'8 Flare5'!$A:$A,0))</f>
        <v>6.5609558823529412E-8</v>
      </c>
      <c r="T39" s="439">
        <f>INDEX('8 Flare5'!$G:$G,MATCH(Scenarios!$A39,'8 Flare5'!$A:$A,0))</f>
        <v>2.8736986764705885E-7</v>
      </c>
      <c r="U39" s="126">
        <f t="shared" si="0"/>
        <v>6.5609558823529412E-8</v>
      </c>
      <c r="V39" s="436">
        <f t="shared" si="0"/>
        <v>2.8736986764705885E-7</v>
      </c>
      <c r="W39" s="323">
        <f>INDEX('10 Flare Purge A1'!$F:$F,MATCH(Scenarios!$A39,'10 Flare Purge A1'!$A:$A,0))</f>
        <v>4.340686274509804E-9</v>
      </c>
      <c r="X39" s="439">
        <f>INDEX('10 Flare Purge A1'!$G:$G,MATCH(Scenarios!$A39,'10 Flare Purge A1'!$A:$A,0))</f>
        <v>2.2571568627450981E-10</v>
      </c>
      <c r="Y39" s="323">
        <f>INDEX('11 Flare Purge A2'!$F:$F,MATCH(Scenarios!$A39,'11 Flare Purge A2'!$A:$A,0))</f>
        <v>3.7205882352941177E-9</v>
      </c>
      <c r="Z39" s="439">
        <f>INDEX('11 Flare Purge A2'!$G:$G,MATCH(Scenarios!$A39,'11 Flare Purge A2'!$A:$A,0))</f>
        <v>9.0084742647058822E-10</v>
      </c>
      <c r="AA39" s="323">
        <f>INDEX('12 Flare Purge B'!$F:$F,MATCH(Scenarios!$A39,'12 Flare Purge B'!$A:$A,0))</f>
        <v>1.6370588235294116E-9</v>
      </c>
      <c r="AB39" s="439">
        <f>INDEX('12 Flare Purge B'!$G:$G,MATCH(Scenarios!$A39,'12 Flare Purge B'!$A:$A,0))</f>
        <v>8.5127058823529401E-11</v>
      </c>
      <c r="AC39" s="126">
        <f t="shared" si="10"/>
        <v>4.340686274509804E-9</v>
      </c>
      <c r="AD39" s="435">
        <f t="shared" si="10"/>
        <v>9.0084742647058822E-10</v>
      </c>
      <c r="AE39" s="462">
        <f t="shared" si="2"/>
        <v>8.7362745098039211E-9</v>
      </c>
      <c r="AF39" s="436">
        <f t="shared" si="2"/>
        <v>2.0153523897058819E-8</v>
      </c>
      <c r="AG39" s="126">
        <f t="shared" si="3"/>
        <v>6.9950245098039223E-8</v>
      </c>
      <c r="AH39" s="436">
        <f t="shared" si="3"/>
        <v>2.8827071507352942E-7</v>
      </c>
      <c r="AI39" s="126">
        <f t="shared" si="4"/>
        <v>1.146487979664858E-7</v>
      </c>
      <c r="AJ39" s="435">
        <f t="shared" si="7"/>
        <v>2.9363454141774302E-7</v>
      </c>
      <c r="AK39" s="470">
        <f t="shared" si="5"/>
        <v>1.146487979664858E-7</v>
      </c>
      <c r="AL39" s="471">
        <f t="shared" si="5"/>
        <v>2.9363454141774302E-7</v>
      </c>
      <c r="AM39" s="471">
        <f t="shared" si="8"/>
        <v>5.8726908283548605E-4</v>
      </c>
      <c r="AN39" s="1" t="s">
        <v>370</v>
      </c>
    </row>
    <row r="40" spans="1:40">
      <c r="A40" s="398" t="s">
        <v>289</v>
      </c>
      <c r="B40" s="105" t="s">
        <v>15</v>
      </c>
      <c r="C40" s="328">
        <v>0</v>
      </c>
      <c r="D40" s="438">
        <v>0</v>
      </c>
      <c r="E40" s="322">
        <f>INDEX('3 Vapor'!E:E,MATCH($A40,'3 Vapor'!$A:$A,0))</f>
        <v>7.2464231324062428E-8</v>
      </c>
      <c r="F40" s="439">
        <f>INDEX('3 Vapor'!F:F,MATCH($A40,'3 Vapor'!$A:$A,0))</f>
        <v>8.6957077588874908E-9</v>
      </c>
      <c r="G40" s="322">
        <f>INDEX('9 Flare Hold'!$F:$F,MATCH(Scenarios!$A40,'9 Flare Hold'!$A:$A,0))</f>
        <v>1.0745098039215688E-9</v>
      </c>
      <c r="H40" s="439">
        <f>INDEX('9 Flare Hold'!$G:$G,MATCH(Scenarios!$A40,'9 Flare Hold'!$A:$A,0))</f>
        <v>4.7063529411764711E-9</v>
      </c>
      <c r="I40" s="126">
        <f>INDEX('5 Flare2'!$F:$F,MATCH(Scenarios!$A40,'5 Flare2'!$A:$A,0))</f>
        <v>2.9303921568627446E-9</v>
      </c>
      <c r="J40" s="436">
        <f>INDEX('5 Flare2'!$G:$G,MATCH(Scenarios!$A40,'5 Flare2'!$A:$A,0))</f>
        <v>1.2835117647058821E-8</v>
      </c>
      <c r="K40" s="126">
        <f t="shared" si="6"/>
        <v>2.9303921568627446E-9</v>
      </c>
      <c r="L40" s="436">
        <f t="shared" si="6"/>
        <v>1.2835117647058821E-8</v>
      </c>
      <c r="M40" s="126">
        <f>INDEX('4 Flare1'!$F:$F,MATCH(Scenarios!$A40,'4 Flare1'!$A:$A,0))</f>
        <v>1.1970588235294117E-8</v>
      </c>
      <c r="N40" s="436">
        <f>INDEX('4 Flare1'!$G:$G,MATCH(Scenarios!$A40,'4 Flare1'!$A:$A,0))</f>
        <v>5.243117647058823E-8</v>
      </c>
      <c r="O40" s="126">
        <f>INDEX('6 Flare3'!$F:$F,MATCH(Scenarios!$A40,'6 Flare3'!$A:$A,0))</f>
        <v>4.05392156862745E-8</v>
      </c>
      <c r="P40" s="436">
        <f>INDEX('6 Flare3'!$G:$G,MATCH(Scenarios!$A40,'6 Flare3'!$A:$A,0))</f>
        <v>1.7756176470588232E-7</v>
      </c>
      <c r="Q40" s="323">
        <f>INDEX('7 Flare4'!$F:$F,MATCH(Scenarios!$A40,'7 Flare4'!$A:$A,0))</f>
        <v>4.1938235294117639E-8</v>
      </c>
      <c r="R40" s="439">
        <f>INDEX('7 Flare4'!$G:$G,MATCH(Scenarios!$A40,'7 Flare4'!$A:$A,0))</f>
        <v>1.8368947058823527E-7</v>
      </c>
      <c r="S40" s="323">
        <f>INDEX('8 Flare5'!$F:$F,MATCH(Scenarios!$A40,'8 Flare5'!$A:$A,0))</f>
        <v>4.3739705882352939E-8</v>
      </c>
      <c r="T40" s="439">
        <f>INDEX('8 Flare5'!$G:$G,MATCH(Scenarios!$A40,'8 Flare5'!$A:$A,0))</f>
        <v>1.9157991176470589E-7</v>
      </c>
      <c r="U40" s="126">
        <f t="shared" si="0"/>
        <v>4.3739705882352939E-8</v>
      </c>
      <c r="V40" s="436">
        <f t="shared" si="0"/>
        <v>1.9157991176470589E-7</v>
      </c>
      <c r="W40" s="323">
        <f>INDEX('10 Flare Purge A1'!$F:$F,MATCH(Scenarios!$A40,'10 Flare Purge A1'!$A:$A,0))</f>
        <v>2.8937908496732025E-9</v>
      </c>
      <c r="X40" s="439">
        <f>INDEX('10 Flare Purge A1'!$G:$G,MATCH(Scenarios!$A40,'10 Flare Purge A1'!$A:$A,0))</f>
        <v>1.5047712418300653E-10</v>
      </c>
      <c r="Y40" s="323">
        <f>INDEX('11 Flare Purge A2'!$F:$F,MATCH(Scenarios!$A40,'11 Flare Purge A2'!$A:$A,0))</f>
        <v>2.4803921568627451E-9</v>
      </c>
      <c r="Z40" s="439">
        <f>INDEX('11 Flare Purge A2'!$G:$G,MATCH(Scenarios!$A40,'11 Flare Purge A2'!$A:$A,0))</f>
        <v>6.0056495098039221E-10</v>
      </c>
      <c r="AA40" s="323">
        <f>INDEX('12 Flare Purge B'!$F:$F,MATCH(Scenarios!$A40,'12 Flare Purge B'!$A:$A,0))</f>
        <v>1.0913725490196077E-9</v>
      </c>
      <c r="AB40" s="439">
        <f>INDEX('12 Flare Purge B'!$G:$G,MATCH(Scenarios!$A40,'12 Flare Purge B'!$A:$A,0))</f>
        <v>5.6751372549019601E-11</v>
      </c>
      <c r="AC40" s="126">
        <f t="shared" si="10"/>
        <v>2.8937908496732025E-9</v>
      </c>
      <c r="AD40" s="435">
        <f t="shared" si="10"/>
        <v>6.0056495098039221E-10</v>
      </c>
      <c r="AE40" s="462">
        <f t="shared" si="2"/>
        <v>5.8241830065359471E-9</v>
      </c>
      <c r="AF40" s="436">
        <f t="shared" si="2"/>
        <v>1.3435682598039213E-8</v>
      </c>
      <c r="AG40" s="126">
        <f t="shared" si="3"/>
        <v>4.663349673202614E-8</v>
      </c>
      <c r="AH40" s="436">
        <f t="shared" si="3"/>
        <v>1.9218047671568627E-7</v>
      </c>
      <c r="AI40" s="126">
        <f t="shared" si="4"/>
        <v>7.6432531977657206E-8</v>
      </c>
      <c r="AJ40" s="435">
        <f t="shared" si="7"/>
        <v>1.9575636094516201E-7</v>
      </c>
      <c r="AK40" s="470">
        <f t="shared" si="5"/>
        <v>7.6432531977657206E-8</v>
      </c>
      <c r="AL40" s="471">
        <f t="shared" si="5"/>
        <v>1.9575636094516201E-7</v>
      </c>
      <c r="AM40" s="471">
        <f t="shared" si="8"/>
        <v>3.91512721890324E-4</v>
      </c>
    </row>
    <row r="41" spans="1:40">
      <c r="A41" s="398" t="s">
        <v>62</v>
      </c>
      <c r="B41" s="105" t="s">
        <v>16</v>
      </c>
      <c r="C41" s="328">
        <v>0</v>
      </c>
      <c r="D41" s="438">
        <v>0</v>
      </c>
      <c r="E41" s="322">
        <f>INDEX('3 Vapor'!E:E,MATCH($A41,'3 Vapor'!$A:$A,0))</f>
        <v>1.0869634698609364E-7</v>
      </c>
      <c r="F41" s="439">
        <f>INDEX('3 Vapor'!F:F,MATCH($A41,'3 Vapor'!$A:$A,0))</f>
        <v>1.3043561638331235E-8</v>
      </c>
      <c r="G41" s="322">
        <f>INDEX('9 Flare Hold'!$F:$F,MATCH(Scenarios!$A41,'9 Flare Hold'!$A:$A,0))</f>
        <v>1.6117647058823531E-9</v>
      </c>
      <c r="H41" s="439">
        <f>INDEX('9 Flare Hold'!$G:$G,MATCH(Scenarios!$A41,'9 Flare Hold'!$A:$A,0))</f>
        <v>7.0595294117647067E-9</v>
      </c>
      <c r="I41" s="126">
        <f>INDEX('5 Flare2'!$F:$F,MATCH(Scenarios!$A41,'5 Flare2'!$A:$A,0))</f>
        <v>4.3955882352941171E-9</v>
      </c>
      <c r="J41" s="436">
        <f>INDEX('5 Flare2'!$G:$G,MATCH(Scenarios!$A41,'5 Flare2'!$A:$A,0))</f>
        <v>1.9252676470588232E-8</v>
      </c>
      <c r="K41" s="126">
        <f t="shared" si="6"/>
        <v>4.3955882352941171E-9</v>
      </c>
      <c r="L41" s="436">
        <f t="shared" si="6"/>
        <v>1.9252676470588232E-8</v>
      </c>
      <c r="M41" s="126">
        <f>INDEX('4 Flare1'!$F:$F,MATCH(Scenarios!$A41,'4 Flare1'!$A:$A,0))</f>
        <v>1.7955882352941176E-8</v>
      </c>
      <c r="N41" s="436">
        <f>INDEX('4 Flare1'!$G:$G,MATCH(Scenarios!$A41,'4 Flare1'!$A:$A,0))</f>
        <v>7.8646764705882352E-8</v>
      </c>
      <c r="O41" s="126">
        <f>INDEX('6 Flare3'!$F:$F,MATCH(Scenarios!$A41,'6 Flare3'!$A:$A,0))</f>
        <v>6.0808823529411757E-8</v>
      </c>
      <c r="P41" s="436">
        <f>INDEX('6 Flare3'!$G:$G,MATCH(Scenarios!$A41,'6 Flare3'!$A:$A,0))</f>
        <v>2.6634264705882348E-7</v>
      </c>
      <c r="Q41" s="323">
        <f>INDEX('7 Flare4'!$F:$F,MATCH(Scenarios!$A41,'7 Flare4'!$A:$A,0))</f>
        <v>6.2907352941176452E-8</v>
      </c>
      <c r="R41" s="439">
        <f>INDEX('7 Flare4'!$G:$G,MATCH(Scenarios!$A41,'7 Flare4'!$A:$A,0))</f>
        <v>2.7553420588235283E-7</v>
      </c>
      <c r="S41" s="323">
        <f>INDEX('8 Flare5'!$F:$F,MATCH(Scenarios!$A41,'8 Flare5'!$A:$A,0))</f>
        <v>6.5609558823529412E-8</v>
      </c>
      <c r="T41" s="439">
        <f>INDEX('8 Flare5'!$G:$G,MATCH(Scenarios!$A41,'8 Flare5'!$A:$A,0))</f>
        <v>2.8736986764705885E-7</v>
      </c>
      <c r="U41" s="126">
        <f t="shared" si="0"/>
        <v>6.5609558823529412E-8</v>
      </c>
      <c r="V41" s="436">
        <f t="shared" si="0"/>
        <v>2.8736986764705885E-7</v>
      </c>
      <c r="W41" s="323">
        <f>INDEX('10 Flare Purge A1'!$F:$F,MATCH(Scenarios!$A41,'10 Flare Purge A1'!$A:$A,0))</f>
        <v>4.340686274509804E-9</v>
      </c>
      <c r="X41" s="439">
        <f>INDEX('10 Flare Purge A1'!$G:$G,MATCH(Scenarios!$A41,'10 Flare Purge A1'!$A:$A,0))</f>
        <v>2.2571568627450981E-10</v>
      </c>
      <c r="Y41" s="323">
        <f>INDEX('11 Flare Purge A2'!$F:$F,MATCH(Scenarios!$A41,'11 Flare Purge A2'!$A:$A,0))</f>
        <v>3.7205882352941177E-9</v>
      </c>
      <c r="Z41" s="439">
        <f>INDEX('11 Flare Purge A2'!$G:$G,MATCH(Scenarios!$A41,'11 Flare Purge A2'!$A:$A,0))</f>
        <v>9.0084742647058822E-10</v>
      </c>
      <c r="AA41" s="323">
        <f>INDEX('12 Flare Purge B'!$F:$F,MATCH(Scenarios!$A41,'12 Flare Purge B'!$A:$A,0))</f>
        <v>1.6370588235294116E-9</v>
      </c>
      <c r="AB41" s="439">
        <f>INDEX('12 Flare Purge B'!$G:$G,MATCH(Scenarios!$A41,'12 Flare Purge B'!$A:$A,0))</f>
        <v>8.5127058823529401E-11</v>
      </c>
      <c r="AC41" s="126">
        <f t="shared" si="10"/>
        <v>4.340686274509804E-9</v>
      </c>
      <c r="AD41" s="435">
        <f t="shared" si="10"/>
        <v>9.0084742647058822E-10</v>
      </c>
      <c r="AE41" s="462">
        <f t="shared" si="2"/>
        <v>8.7362745098039211E-9</v>
      </c>
      <c r="AF41" s="436">
        <f t="shared" si="2"/>
        <v>2.0153523897058819E-8</v>
      </c>
      <c r="AG41" s="126">
        <f t="shared" si="3"/>
        <v>6.9950245098039223E-8</v>
      </c>
      <c r="AH41" s="436">
        <f t="shared" si="3"/>
        <v>2.8827071507352942E-7</v>
      </c>
      <c r="AI41" s="126">
        <f t="shared" si="4"/>
        <v>1.146487979664858E-7</v>
      </c>
      <c r="AJ41" s="435">
        <f t="shared" si="7"/>
        <v>2.9363454141774302E-7</v>
      </c>
      <c r="AK41" s="470">
        <f t="shared" si="5"/>
        <v>1.146487979664858E-7</v>
      </c>
      <c r="AL41" s="471">
        <f t="shared" si="5"/>
        <v>2.9363454141774302E-7</v>
      </c>
      <c r="AM41" s="471">
        <f t="shared" si="8"/>
        <v>5.8726908283548605E-4</v>
      </c>
      <c r="AN41" s="1" t="s">
        <v>370</v>
      </c>
    </row>
    <row r="42" spans="1:40">
      <c r="A42" s="398" t="s">
        <v>63</v>
      </c>
      <c r="B42" s="109" t="s">
        <v>17</v>
      </c>
      <c r="C42" s="328">
        <v>0</v>
      </c>
      <c r="D42" s="438">
        <v>0</v>
      </c>
      <c r="E42" s="322">
        <f>INDEX('3 Vapor'!E:E,MATCH($A42,'3 Vapor'!$A:$A,0))</f>
        <v>1.0869634698609364E-7</v>
      </c>
      <c r="F42" s="439">
        <f>INDEX('3 Vapor'!F:F,MATCH($A42,'3 Vapor'!$A:$A,0))</f>
        <v>1.3043561638331235E-8</v>
      </c>
      <c r="G42" s="322">
        <f>INDEX('9 Flare Hold'!$F:$F,MATCH(Scenarios!$A42,'9 Flare Hold'!$A:$A,0))</f>
        <v>1.6117647058823531E-9</v>
      </c>
      <c r="H42" s="439">
        <f>INDEX('9 Flare Hold'!$G:$G,MATCH(Scenarios!$A42,'9 Flare Hold'!$A:$A,0))</f>
        <v>7.0595294117647067E-9</v>
      </c>
      <c r="I42" s="126">
        <f>INDEX('5 Flare2'!$F:$F,MATCH(Scenarios!$A42,'5 Flare2'!$A:$A,0))</f>
        <v>4.3955882352941171E-9</v>
      </c>
      <c r="J42" s="436">
        <f>INDEX('5 Flare2'!$G:$G,MATCH(Scenarios!$A42,'5 Flare2'!$A:$A,0))</f>
        <v>1.9252676470588232E-8</v>
      </c>
      <c r="K42" s="126">
        <f t="shared" si="6"/>
        <v>4.3955882352941171E-9</v>
      </c>
      <c r="L42" s="436">
        <f t="shared" si="6"/>
        <v>1.9252676470588232E-8</v>
      </c>
      <c r="M42" s="126">
        <f>INDEX('4 Flare1'!$F:$F,MATCH(Scenarios!$A42,'4 Flare1'!$A:$A,0))</f>
        <v>1.7955882352941176E-8</v>
      </c>
      <c r="N42" s="436">
        <f>INDEX('4 Flare1'!$G:$G,MATCH(Scenarios!$A42,'4 Flare1'!$A:$A,0))</f>
        <v>7.8646764705882352E-8</v>
      </c>
      <c r="O42" s="126">
        <f>INDEX('6 Flare3'!$F:$F,MATCH(Scenarios!$A42,'6 Flare3'!$A:$A,0))</f>
        <v>6.0808823529411757E-8</v>
      </c>
      <c r="P42" s="436">
        <f>INDEX('6 Flare3'!$G:$G,MATCH(Scenarios!$A42,'6 Flare3'!$A:$A,0))</f>
        <v>2.6634264705882348E-7</v>
      </c>
      <c r="Q42" s="323">
        <f>INDEX('7 Flare4'!$F:$F,MATCH(Scenarios!$A42,'7 Flare4'!$A:$A,0))</f>
        <v>6.2907352941176452E-8</v>
      </c>
      <c r="R42" s="439">
        <f>INDEX('7 Flare4'!$G:$G,MATCH(Scenarios!$A42,'7 Flare4'!$A:$A,0))</f>
        <v>2.7553420588235283E-7</v>
      </c>
      <c r="S42" s="323">
        <f>INDEX('8 Flare5'!$F:$F,MATCH(Scenarios!$A42,'8 Flare5'!$A:$A,0))</f>
        <v>6.5609558823529412E-8</v>
      </c>
      <c r="T42" s="439">
        <f>INDEX('8 Flare5'!$G:$G,MATCH(Scenarios!$A42,'8 Flare5'!$A:$A,0))</f>
        <v>2.8736986764705885E-7</v>
      </c>
      <c r="U42" s="126">
        <f t="shared" si="0"/>
        <v>6.5609558823529412E-8</v>
      </c>
      <c r="V42" s="436">
        <f t="shared" si="0"/>
        <v>2.8736986764705885E-7</v>
      </c>
      <c r="W42" s="323">
        <f>INDEX('10 Flare Purge A1'!$F:$F,MATCH(Scenarios!$A42,'10 Flare Purge A1'!$A:$A,0))</f>
        <v>4.340686274509804E-9</v>
      </c>
      <c r="X42" s="439">
        <f>INDEX('10 Flare Purge A1'!$G:$G,MATCH(Scenarios!$A42,'10 Flare Purge A1'!$A:$A,0))</f>
        <v>2.2571568627450981E-10</v>
      </c>
      <c r="Y42" s="323">
        <f>INDEX('11 Flare Purge A2'!$F:$F,MATCH(Scenarios!$A42,'11 Flare Purge A2'!$A:$A,0))</f>
        <v>3.7205882352941177E-9</v>
      </c>
      <c r="Z42" s="439">
        <f>INDEX('11 Flare Purge A2'!$G:$G,MATCH(Scenarios!$A42,'11 Flare Purge A2'!$A:$A,0))</f>
        <v>9.0084742647058822E-10</v>
      </c>
      <c r="AA42" s="323">
        <f>INDEX('12 Flare Purge B'!$F:$F,MATCH(Scenarios!$A42,'12 Flare Purge B'!$A:$A,0))</f>
        <v>1.6370588235294116E-9</v>
      </c>
      <c r="AB42" s="439">
        <f>INDEX('12 Flare Purge B'!$G:$G,MATCH(Scenarios!$A42,'12 Flare Purge B'!$A:$A,0))</f>
        <v>8.5127058823529401E-11</v>
      </c>
      <c r="AC42" s="126">
        <f t="shared" si="10"/>
        <v>4.340686274509804E-9</v>
      </c>
      <c r="AD42" s="435">
        <f t="shared" si="10"/>
        <v>9.0084742647058822E-10</v>
      </c>
      <c r="AE42" s="462">
        <f t="shared" si="2"/>
        <v>8.7362745098039211E-9</v>
      </c>
      <c r="AF42" s="436">
        <f t="shared" si="2"/>
        <v>2.0153523897058819E-8</v>
      </c>
      <c r="AG42" s="126">
        <f t="shared" si="3"/>
        <v>6.9950245098039223E-8</v>
      </c>
      <c r="AH42" s="436">
        <f t="shared" si="3"/>
        <v>2.8827071507352942E-7</v>
      </c>
      <c r="AI42" s="126">
        <f t="shared" si="4"/>
        <v>1.146487979664858E-7</v>
      </c>
      <c r="AJ42" s="435">
        <f t="shared" si="7"/>
        <v>2.9363454141774302E-7</v>
      </c>
      <c r="AK42" s="470">
        <f t="shared" si="5"/>
        <v>1.146487979664858E-7</v>
      </c>
      <c r="AL42" s="471">
        <f t="shared" si="5"/>
        <v>2.9363454141774302E-7</v>
      </c>
      <c r="AM42" s="471">
        <f t="shared" si="8"/>
        <v>5.8726908283548605E-4</v>
      </c>
      <c r="AN42" s="1" t="s">
        <v>370</v>
      </c>
    </row>
    <row r="43" spans="1:40">
      <c r="A43" s="398" t="s">
        <v>64</v>
      </c>
      <c r="B43" s="109" t="s">
        <v>84</v>
      </c>
      <c r="C43" s="328">
        <v>0</v>
      </c>
      <c r="D43" s="438">
        <v>0</v>
      </c>
      <c r="E43" s="322">
        <f>INDEX('3 Vapor'!E:E,MATCH($A43,'3 Vapor'!$A:$A,0))</f>
        <v>7.2464231324062428E-8</v>
      </c>
      <c r="F43" s="439">
        <f>INDEX('3 Vapor'!F:F,MATCH($A43,'3 Vapor'!$A:$A,0))</f>
        <v>8.6957077588874908E-9</v>
      </c>
      <c r="G43" s="322">
        <f>INDEX('9 Flare Hold'!$F:$F,MATCH(Scenarios!$A43,'9 Flare Hold'!$A:$A,0))</f>
        <v>1.0745098039215688E-9</v>
      </c>
      <c r="H43" s="439">
        <f>INDEX('9 Flare Hold'!$G:$G,MATCH(Scenarios!$A43,'9 Flare Hold'!$A:$A,0))</f>
        <v>4.7063529411764711E-9</v>
      </c>
      <c r="I43" s="126">
        <f>INDEX('5 Flare2'!$F:$F,MATCH(Scenarios!$A43,'5 Flare2'!$A:$A,0))</f>
        <v>2.9303921568627446E-9</v>
      </c>
      <c r="J43" s="436">
        <f>INDEX('5 Flare2'!$G:$G,MATCH(Scenarios!$A43,'5 Flare2'!$A:$A,0))</f>
        <v>1.2835117647058821E-8</v>
      </c>
      <c r="K43" s="126">
        <f t="shared" si="6"/>
        <v>2.9303921568627446E-9</v>
      </c>
      <c r="L43" s="436">
        <f t="shared" si="6"/>
        <v>1.2835117647058821E-8</v>
      </c>
      <c r="M43" s="126">
        <f>INDEX('4 Flare1'!$F:$F,MATCH(Scenarios!$A43,'4 Flare1'!$A:$A,0))</f>
        <v>1.1970588235294117E-8</v>
      </c>
      <c r="N43" s="436">
        <f>INDEX('4 Flare1'!$G:$G,MATCH(Scenarios!$A43,'4 Flare1'!$A:$A,0))</f>
        <v>5.243117647058823E-8</v>
      </c>
      <c r="O43" s="126">
        <f>INDEX('6 Flare3'!$F:$F,MATCH(Scenarios!$A43,'6 Flare3'!$A:$A,0))</f>
        <v>4.05392156862745E-8</v>
      </c>
      <c r="P43" s="436">
        <f>INDEX('6 Flare3'!$G:$G,MATCH(Scenarios!$A43,'6 Flare3'!$A:$A,0))</f>
        <v>1.7756176470588232E-7</v>
      </c>
      <c r="Q43" s="323">
        <f>INDEX('7 Flare4'!$F:$F,MATCH(Scenarios!$A43,'7 Flare4'!$A:$A,0))</f>
        <v>4.1938235294117639E-8</v>
      </c>
      <c r="R43" s="439">
        <f>INDEX('7 Flare4'!$G:$G,MATCH(Scenarios!$A43,'7 Flare4'!$A:$A,0))</f>
        <v>1.8368947058823527E-7</v>
      </c>
      <c r="S43" s="323">
        <f>INDEX('8 Flare5'!$F:$F,MATCH(Scenarios!$A43,'8 Flare5'!$A:$A,0))</f>
        <v>4.3739705882352939E-8</v>
      </c>
      <c r="T43" s="439">
        <f>INDEX('8 Flare5'!$G:$G,MATCH(Scenarios!$A43,'8 Flare5'!$A:$A,0))</f>
        <v>1.9157991176470589E-7</v>
      </c>
      <c r="U43" s="126">
        <f t="shared" si="0"/>
        <v>4.3739705882352939E-8</v>
      </c>
      <c r="V43" s="436">
        <f t="shared" si="0"/>
        <v>1.9157991176470589E-7</v>
      </c>
      <c r="W43" s="323">
        <f>INDEX('10 Flare Purge A1'!$F:$F,MATCH(Scenarios!$A43,'10 Flare Purge A1'!$A:$A,0))</f>
        <v>2.8937908496732025E-9</v>
      </c>
      <c r="X43" s="439">
        <f>INDEX('10 Flare Purge A1'!$G:$G,MATCH(Scenarios!$A43,'10 Flare Purge A1'!$A:$A,0))</f>
        <v>1.5047712418300653E-10</v>
      </c>
      <c r="Y43" s="323">
        <f>INDEX('11 Flare Purge A2'!$F:$F,MATCH(Scenarios!$A43,'11 Flare Purge A2'!$A:$A,0))</f>
        <v>2.4803921568627451E-9</v>
      </c>
      <c r="Z43" s="439">
        <f>INDEX('11 Flare Purge A2'!$G:$G,MATCH(Scenarios!$A43,'11 Flare Purge A2'!$A:$A,0))</f>
        <v>6.0056495098039221E-10</v>
      </c>
      <c r="AA43" s="323">
        <f>INDEX('12 Flare Purge B'!$F:$F,MATCH(Scenarios!$A43,'12 Flare Purge B'!$A:$A,0))</f>
        <v>1.0913725490196077E-9</v>
      </c>
      <c r="AB43" s="439">
        <f>INDEX('12 Flare Purge B'!$G:$G,MATCH(Scenarios!$A43,'12 Flare Purge B'!$A:$A,0))</f>
        <v>5.6751372549019601E-11</v>
      </c>
      <c r="AC43" s="126">
        <f t="shared" si="10"/>
        <v>2.8937908496732025E-9</v>
      </c>
      <c r="AD43" s="435">
        <f t="shared" si="10"/>
        <v>6.0056495098039221E-10</v>
      </c>
      <c r="AE43" s="462">
        <f t="shared" si="2"/>
        <v>5.8241830065359471E-9</v>
      </c>
      <c r="AF43" s="436">
        <f t="shared" si="2"/>
        <v>1.3435682598039213E-8</v>
      </c>
      <c r="AG43" s="126">
        <f t="shared" si="3"/>
        <v>4.663349673202614E-8</v>
      </c>
      <c r="AH43" s="436">
        <f t="shared" si="3"/>
        <v>1.9218047671568627E-7</v>
      </c>
      <c r="AI43" s="126">
        <f t="shared" si="4"/>
        <v>7.6432531977657206E-8</v>
      </c>
      <c r="AJ43" s="435">
        <f t="shared" si="7"/>
        <v>1.9575636094516201E-7</v>
      </c>
      <c r="AK43" s="470">
        <f t="shared" si="5"/>
        <v>7.6432531977657206E-8</v>
      </c>
      <c r="AL43" s="471">
        <f t="shared" si="5"/>
        <v>1.9575636094516201E-7</v>
      </c>
      <c r="AM43" s="471">
        <f t="shared" si="8"/>
        <v>3.91512721890324E-4</v>
      </c>
      <c r="AN43" s="1" t="s">
        <v>370</v>
      </c>
    </row>
    <row r="44" spans="1:40">
      <c r="A44" s="398" t="s">
        <v>151</v>
      </c>
      <c r="B44" s="109" t="s">
        <v>283</v>
      </c>
      <c r="C44" s="328">
        <v>0</v>
      </c>
      <c r="D44" s="438">
        <v>0</v>
      </c>
      <c r="E44" s="322">
        <f>INDEX('3 Vapor'!E:E,MATCH($A44,'3 Vapor'!$A:$A,0))</f>
        <v>7.246423132406242E-5</v>
      </c>
      <c r="F44" s="439">
        <f>INDEX('3 Vapor'!F:F,MATCH($A44,'3 Vapor'!$A:$A,0))</f>
        <v>8.6957077588874898E-6</v>
      </c>
      <c r="G44" s="322">
        <f>INDEX('9 Flare Hold'!$F:$F,MATCH(Scenarios!$A44,'9 Flare Hold'!$A:$A,0))</f>
        <v>1.0745098039215686E-6</v>
      </c>
      <c r="H44" s="439">
        <f>INDEX('9 Flare Hold'!$G:$G,MATCH(Scenarios!$A44,'9 Flare Hold'!$A:$A,0))</f>
        <v>4.7063529411764707E-6</v>
      </c>
      <c r="I44" s="126">
        <f>INDEX('5 Flare2'!$F:$F,MATCH(Scenarios!$A44,'5 Flare2'!$A:$A,0))</f>
        <v>2.9303921568627448E-6</v>
      </c>
      <c r="J44" s="436">
        <f>INDEX('5 Flare2'!$G:$G,MATCH(Scenarios!$A44,'5 Flare2'!$A:$A,0))</f>
        <v>1.2835117647058823E-5</v>
      </c>
      <c r="K44" s="126">
        <f t="shared" si="6"/>
        <v>2.9303921568627448E-6</v>
      </c>
      <c r="L44" s="436">
        <f t="shared" si="6"/>
        <v>1.2835117647058823E-5</v>
      </c>
      <c r="M44" s="126">
        <f>INDEX('4 Flare1'!$F:$F,MATCH(Scenarios!$A44,'4 Flare1'!$A:$A,0))</f>
        <v>1.1970588235294117E-5</v>
      </c>
      <c r="N44" s="436">
        <f>INDEX('4 Flare1'!$G:$G,MATCH(Scenarios!$A44,'4 Flare1'!$A:$A,0))</f>
        <v>5.243117647058823E-5</v>
      </c>
      <c r="O44" s="126">
        <f>INDEX('6 Flare3'!$F:$F,MATCH(Scenarios!$A44,'6 Flare3'!$A:$A,0))</f>
        <v>4.0539215686274504E-5</v>
      </c>
      <c r="P44" s="436">
        <f>INDEX('6 Flare3'!$G:$G,MATCH(Scenarios!$A44,'6 Flare3'!$A:$A,0))</f>
        <v>1.7756176470588235E-4</v>
      </c>
      <c r="Q44" s="323">
        <f>INDEX('7 Flare4'!$F:$F,MATCH(Scenarios!$A44,'7 Flare4'!$A:$A,0))</f>
        <v>4.1938235294117636E-5</v>
      </c>
      <c r="R44" s="439">
        <f>INDEX('7 Flare4'!$G:$G,MATCH(Scenarios!$A44,'7 Flare4'!$A:$A,0))</f>
        <v>1.8368947058823522E-4</v>
      </c>
      <c r="S44" s="323">
        <f>INDEX('8 Flare5'!$F:$F,MATCH(Scenarios!$A44,'8 Flare5'!$A:$A,0))</f>
        <v>4.3739705882352938E-5</v>
      </c>
      <c r="T44" s="439">
        <f>INDEX('8 Flare5'!$G:$G,MATCH(Scenarios!$A44,'8 Flare5'!$A:$A,0))</f>
        <v>1.9157991176470588E-4</v>
      </c>
      <c r="U44" s="126">
        <f t="shared" si="0"/>
        <v>4.3739705882352938E-5</v>
      </c>
      <c r="V44" s="436">
        <f t="shared" si="0"/>
        <v>1.9157991176470588E-4</v>
      </c>
      <c r="W44" s="323">
        <f>INDEX('10 Flare Purge A1'!$F:$F,MATCH(Scenarios!$A44,'10 Flare Purge A1'!$A:$A,0))</f>
        <v>2.8937908496732022E-6</v>
      </c>
      <c r="X44" s="439">
        <f>INDEX('10 Flare Purge A1'!$G:$G,MATCH(Scenarios!$A44,'10 Flare Purge A1'!$A:$A,0))</f>
        <v>1.504771241830065E-7</v>
      </c>
      <c r="Y44" s="323">
        <f>INDEX('11 Flare Purge A2'!$F:$F,MATCH(Scenarios!$A44,'11 Flare Purge A2'!$A:$A,0))</f>
        <v>2.4803921568627449E-6</v>
      </c>
      <c r="Z44" s="439">
        <f>INDEX('11 Flare Purge A2'!$G:$G,MATCH(Scenarios!$A44,'11 Flare Purge A2'!$A:$A,0))</f>
        <v>6.0056495098039218E-7</v>
      </c>
      <c r="AA44" s="323">
        <f>INDEX('12 Flare Purge B'!$F:$F,MATCH(Scenarios!$A44,'12 Flare Purge B'!$A:$A,0))</f>
        <v>1.0913725490196076E-6</v>
      </c>
      <c r="AB44" s="439">
        <f>INDEX('12 Flare Purge B'!$G:$G,MATCH(Scenarios!$A44,'12 Flare Purge B'!$A:$A,0))</f>
        <v>5.6751372549019601E-8</v>
      </c>
      <c r="AC44" s="126">
        <f t="shared" si="10"/>
        <v>2.8937908496732022E-6</v>
      </c>
      <c r="AD44" s="435">
        <f t="shared" si="10"/>
        <v>6.0056495098039218E-7</v>
      </c>
      <c r="AE44" s="462">
        <f t="shared" si="2"/>
        <v>5.824183006535947E-6</v>
      </c>
      <c r="AF44" s="436">
        <f t="shared" si="2"/>
        <v>1.3435682598039215E-5</v>
      </c>
      <c r="AG44" s="126">
        <f t="shared" si="3"/>
        <v>4.6633496732026143E-5</v>
      </c>
      <c r="AH44" s="436">
        <f t="shared" si="3"/>
        <v>1.9218047671568626E-4</v>
      </c>
      <c r="AI44" s="126">
        <f t="shared" si="4"/>
        <v>7.6432531977657186E-5</v>
      </c>
      <c r="AJ44" s="435">
        <f t="shared" si="7"/>
        <v>1.9575636094516197E-4</v>
      </c>
      <c r="AK44" s="470">
        <f t="shared" si="5"/>
        <v>7.6432531977657186E-5</v>
      </c>
      <c r="AL44" s="471">
        <f t="shared" si="5"/>
        <v>1.9575636094516197E-4</v>
      </c>
      <c r="AM44" s="471">
        <f t="shared" si="8"/>
        <v>0.39151272189032393</v>
      </c>
      <c r="AN44" s="1" t="s">
        <v>370</v>
      </c>
    </row>
    <row r="45" spans="1:40">
      <c r="A45" s="398" t="s">
        <v>291</v>
      </c>
      <c r="B45" s="109" t="s">
        <v>20</v>
      </c>
      <c r="C45" s="328">
        <v>0</v>
      </c>
      <c r="D45" s="438">
        <v>0</v>
      </c>
      <c r="E45" s="322">
        <f>INDEX('3 Vapor'!E:E,MATCH($A45,'3 Vapor'!$A:$A,0))</f>
        <v>1.8116057831015609E-7</v>
      </c>
      <c r="F45" s="439">
        <f>INDEX('3 Vapor'!F:F,MATCH($A45,'3 Vapor'!$A:$A,0))</f>
        <v>2.1739269397218731E-8</v>
      </c>
      <c r="G45" s="322">
        <f>INDEX('9 Flare Hold'!$F:$F,MATCH(Scenarios!$A45,'9 Flare Hold'!$A:$A,0))</f>
        <v>2.6862745098039219E-9</v>
      </c>
      <c r="H45" s="439">
        <f>INDEX('9 Flare Hold'!$G:$G,MATCH(Scenarios!$A45,'9 Flare Hold'!$A:$A,0))</f>
        <v>1.1765882352941179E-8</v>
      </c>
      <c r="I45" s="126">
        <f>INDEX('5 Flare2'!$F:$F,MATCH(Scenarios!$A45,'5 Flare2'!$A:$A,0))</f>
        <v>7.3259803921568621E-9</v>
      </c>
      <c r="J45" s="436">
        <f>INDEX('5 Flare2'!$G:$G,MATCH(Scenarios!$A45,'5 Flare2'!$A:$A,0))</f>
        <v>3.2087794117647056E-8</v>
      </c>
      <c r="K45" s="126">
        <f t="shared" si="6"/>
        <v>7.3259803921568621E-9</v>
      </c>
      <c r="L45" s="436">
        <f t="shared" si="6"/>
        <v>3.2087794117647056E-8</v>
      </c>
      <c r="M45" s="126">
        <f>INDEX('4 Flare1'!$F:$F,MATCH(Scenarios!$A45,'4 Flare1'!$A:$A,0))</f>
        <v>2.9926470588235295E-8</v>
      </c>
      <c r="N45" s="436">
        <f>INDEX('4 Flare1'!$G:$G,MATCH(Scenarios!$A45,'4 Flare1'!$A:$A,0))</f>
        <v>1.3107794117647058E-7</v>
      </c>
      <c r="O45" s="126">
        <f>INDEX('6 Flare3'!$F:$F,MATCH(Scenarios!$A45,'6 Flare3'!$A:$A,0))</f>
        <v>1.0134803921568626E-7</v>
      </c>
      <c r="P45" s="436">
        <f>INDEX('6 Flare3'!$G:$G,MATCH(Scenarios!$A45,'6 Flare3'!$A:$A,0))</f>
        <v>4.439044117647058E-7</v>
      </c>
      <c r="Q45" s="323">
        <f>INDEX('7 Flare4'!$F:$F,MATCH(Scenarios!$A45,'7 Flare4'!$A:$A,0))</f>
        <v>1.0484558823529409E-7</v>
      </c>
      <c r="R45" s="439">
        <f>INDEX('7 Flare4'!$G:$G,MATCH(Scenarios!$A45,'7 Flare4'!$A:$A,0))</f>
        <v>4.5922367647058811E-7</v>
      </c>
      <c r="S45" s="323">
        <f>INDEX('8 Flare5'!$F:$F,MATCH(Scenarios!$A45,'8 Flare5'!$A:$A,0))</f>
        <v>1.0934926470588236E-7</v>
      </c>
      <c r="T45" s="439">
        <f>INDEX('8 Flare5'!$G:$G,MATCH(Scenarios!$A45,'8 Flare5'!$A:$A,0))</f>
        <v>4.7894977941176477E-7</v>
      </c>
      <c r="U45" s="126">
        <f t="shared" si="0"/>
        <v>1.0934926470588236E-7</v>
      </c>
      <c r="V45" s="436">
        <f t="shared" si="0"/>
        <v>4.7894977941176477E-7</v>
      </c>
      <c r="W45" s="323">
        <f>INDEX('10 Flare Purge A1'!$F:$F,MATCH(Scenarios!$A45,'10 Flare Purge A1'!$A:$A,0))</f>
        <v>7.2344771241830061E-9</v>
      </c>
      <c r="X45" s="439">
        <f>INDEX('10 Flare Purge A1'!$G:$G,MATCH(Scenarios!$A45,'10 Flare Purge A1'!$A:$A,0))</f>
        <v>3.7619281045751631E-10</v>
      </c>
      <c r="Y45" s="323">
        <f>INDEX('11 Flare Purge A2'!$F:$F,MATCH(Scenarios!$A45,'11 Flare Purge A2'!$A:$A,0))</f>
        <v>6.2009803921568628E-9</v>
      </c>
      <c r="Z45" s="439">
        <f>INDEX('11 Flare Purge A2'!$G:$G,MATCH(Scenarios!$A45,'11 Flare Purge A2'!$A:$A,0))</f>
        <v>1.5014123774509804E-9</v>
      </c>
      <c r="AA45" s="323">
        <f>INDEX('12 Flare Purge B'!$F:$F,MATCH(Scenarios!$A45,'12 Flare Purge B'!$A:$A,0))</f>
        <v>2.7284313725490195E-9</v>
      </c>
      <c r="AB45" s="439">
        <f>INDEX('12 Flare Purge B'!$G:$G,MATCH(Scenarios!$A45,'12 Flare Purge B'!$A:$A,0))</f>
        <v>1.4187843137254903E-10</v>
      </c>
      <c r="AC45" s="126">
        <f t="shared" si="10"/>
        <v>7.2344771241830061E-9</v>
      </c>
      <c r="AD45" s="435">
        <f t="shared" si="10"/>
        <v>1.5014123774509804E-9</v>
      </c>
      <c r="AE45" s="462">
        <f t="shared" si="2"/>
        <v>1.4560457516339869E-8</v>
      </c>
      <c r="AF45" s="436">
        <f t="shared" si="2"/>
        <v>3.3589206495098034E-8</v>
      </c>
      <c r="AG45" s="126">
        <f t="shared" si="3"/>
        <v>1.1658374183006536E-7</v>
      </c>
      <c r="AH45" s="436">
        <f t="shared" si="3"/>
        <v>4.8045119178921572E-7</v>
      </c>
      <c r="AI45" s="126">
        <f t="shared" si="4"/>
        <v>1.9108132994414302E-7</v>
      </c>
      <c r="AJ45" s="435">
        <f t="shared" si="7"/>
        <v>4.8939090236290508E-7</v>
      </c>
      <c r="AK45" s="470">
        <f t="shared" si="5"/>
        <v>1.9108132994414302E-7</v>
      </c>
      <c r="AL45" s="471">
        <f t="shared" si="5"/>
        <v>4.8939090236290508E-7</v>
      </c>
      <c r="AM45" s="471">
        <f t="shared" si="8"/>
        <v>9.7878180472581026E-4</v>
      </c>
    </row>
    <row r="46" spans="1:40">
      <c r="A46" s="398" t="s">
        <v>292</v>
      </c>
      <c r="B46" s="109" t="s">
        <v>21</v>
      </c>
      <c r="C46" s="328">
        <v>0</v>
      </c>
      <c r="D46" s="438">
        <v>0</v>
      </c>
      <c r="E46" s="322">
        <f>INDEX('3 Vapor'!E:E,MATCH($A46,'3 Vapor'!$A:$A,0))</f>
        <v>1.6908320642281231E-7</v>
      </c>
      <c r="F46" s="439">
        <f>INDEX('3 Vapor'!F:F,MATCH($A46,'3 Vapor'!$A:$A,0))</f>
        <v>2.0289984770737477E-8</v>
      </c>
      <c r="G46" s="322">
        <f>INDEX('9 Flare Hold'!$F:$F,MATCH(Scenarios!$A46,'9 Flare Hold'!$A:$A,0))</f>
        <v>2.5071895424836606E-9</v>
      </c>
      <c r="H46" s="439">
        <f>INDEX('9 Flare Hold'!$G:$G,MATCH(Scenarios!$A46,'9 Flare Hold'!$A:$A,0))</f>
        <v>1.0981490196078433E-8</v>
      </c>
      <c r="I46" s="126">
        <f>INDEX('5 Flare2'!$F:$F,MATCH(Scenarios!$A46,'5 Flare2'!$A:$A,0))</f>
        <v>6.8375816993464053E-9</v>
      </c>
      <c r="J46" s="436">
        <f>INDEX('5 Flare2'!$G:$G,MATCH(Scenarios!$A46,'5 Flare2'!$A:$A,0))</f>
        <v>2.9948607843137254E-8</v>
      </c>
      <c r="K46" s="126">
        <f t="shared" si="6"/>
        <v>6.8375816993464053E-9</v>
      </c>
      <c r="L46" s="436">
        <f t="shared" si="6"/>
        <v>2.9948607843137254E-8</v>
      </c>
      <c r="M46" s="126">
        <f>INDEX('4 Flare1'!$F:$F,MATCH(Scenarios!$A46,'4 Flare1'!$A:$A,0))</f>
        <v>2.7931372549019608E-8</v>
      </c>
      <c r="N46" s="436">
        <f>INDEX('4 Flare1'!$G:$G,MATCH(Scenarios!$A46,'4 Flare1'!$A:$A,0))</f>
        <v>1.223394117647059E-7</v>
      </c>
      <c r="O46" s="126">
        <f>INDEX('6 Flare3'!$F:$F,MATCH(Scenarios!$A46,'6 Flare3'!$A:$A,0))</f>
        <v>9.4591503267973843E-8</v>
      </c>
      <c r="P46" s="436">
        <f>INDEX('6 Flare3'!$G:$G,MATCH(Scenarios!$A46,'6 Flare3'!$A:$A,0))</f>
        <v>4.1431078431372543E-7</v>
      </c>
      <c r="Q46" s="323">
        <f>INDEX('7 Flare4'!$F:$F,MATCH(Scenarios!$A46,'7 Flare4'!$A:$A,0))</f>
        <v>9.7855882352941154E-8</v>
      </c>
      <c r="R46" s="439">
        <f>INDEX('7 Flare4'!$G:$G,MATCH(Scenarios!$A46,'7 Flare4'!$A:$A,0))</f>
        <v>4.2860876470588225E-7</v>
      </c>
      <c r="S46" s="323">
        <f>INDEX('8 Flare5'!$F:$F,MATCH(Scenarios!$A46,'8 Flare5'!$A:$A,0))</f>
        <v>1.020593137254902E-7</v>
      </c>
      <c r="T46" s="439">
        <f>INDEX('8 Flare5'!$G:$G,MATCH(Scenarios!$A46,'8 Flare5'!$A:$A,0))</f>
        <v>4.4701979411764709E-7</v>
      </c>
      <c r="U46" s="126">
        <f t="shared" si="0"/>
        <v>1.020593137254902E-7</v>
      </c>
      <c r="V46" s="436">
        <f t="shared" si="0"/>
        <v>4.4701979411764709E-7</v>
      </c>
      <c r="W46" s="323">
        <f>INDEX('10 Flare Purge A1'!$F:$F,MATCH(Scenarios!$A46,'10 Flare Purge A1'!$A:$A,0))</f>
        <v>6.7521786492374724E-9</v>
      </c>
      <c r="X46" s="439">
        <f>INDEX('10 Flare Purge A1'!$G:$G,MATCH(Scenarios!$A46,'10 Flare Purge A1'!$A:$A,0))</f>
        <v>3.5111328976034852E-10</v>
      </c>
      <c r="Y46" s="323">
        <f>INDEX('11 Flare Purge A2'!$F:$F,MATCH(Scenarios!$A46,'11 Flare Purge A2'!$A:$A,0))</f>
        <v>5.787581699346405E-9</v>
      </c>
      <c r="Z46" s="439">
        <f>INDEX('11 Flare Purge A2'!$G:$G,MATCH(Scenarios!$A46,'11 Flare Purge A2'!$A:$A,0))</f>
        <v>1.4013182189542483E-9</v>
      </c>
      <c r="AA46" s="323">
        <f>INDEX('12 Flare Purge B'!$F:$F,MATCH(Scenarios!$A46,'12 Flare Purge B'!$A:$A,0))</f>
        <v>2.5465359477124181E-9</v>
      </c>
      <c r="AB46" s="439">
        <f>INDEX('12 Flare Purge B'!$G:$G,MATCH(Scenarios!$A46,'12 Flare Purge B'!$A:$A,0))</f>
        <v>1.3241986928104574E-10</v>
      </c>
      <c r="AC46" s="126">
        <f t="shared" si="10"/>
        <v>6.7521786492374724E-9</v>
      </c>
      <c r="AD46" s="435">
        <f t="shared" si="10"/>
        <v>1.4013182189542483E-9</v>
      </c>
      <c r="AE46" s="462">
        <f t="shared" si="2"/>
        <v>1.3589760348583877E-8</v>
      </c>
      <c r="AF46" s="436">
        <f t="shared" si="2"/>
        <v>3.1349926062091501E-8</v>
      </c>
      <c r="AG46" s="126">
        <f t="shared" si="3"/>
        <v>1.0881149237472767E-7</v>
      </c>
      <c r="AH46" s="436">
        <f t="shared" si="3"/>
        <v>4.4842111233660136E-7</v>
      </c>
      <c r="AI46" s="126">
        <f t="shared" si="4"/>
        <v>1.7834257461453346E-7</v>
      </c>
      <c r="AJ46" s="435">
        <f t="shared" si="7"/>
        <v>4.5676484220537802E-7</v>
      </c>
      <c r="AK46" s="470">
        <f t="shared" si="5"/>
        <v>1.7834257461453346E-7</v>
      </c>
      <c r="AL46" s="471">
        <f t="shared" si="5"/>
        <v>4.5676484220537802E-7</v>
      </c>
      <c r="AM46" s="471">
        <f t="shared" si="8"/>
        <v>9.135296844107561E-4</v>
      </c>
    </row>
    <row r="47" spans="1:40">
      <c r="A47" s="398" t="s">
        <v>66</v>
      </c>
      <c r="B47" s="109" t="s">
        <v>52</v>
      </c>
      <c r="C47" s="328">
        <v>0</v>
      </c>
      <c r="D47" s="438">
        <v>0</v>
      </c>
      <c r="E47" s="322">
        <f>INDEX('3 Vapor'!E:E,MATCH($A47,'3 Vapor'!$A:$A,0))</f>
        <v>1.0869634698609364E-7</v>
      </c>
      <c r="F47" s="439">
        <f>INDEX('3 Vapor'!F:F,MATCH($A47,'3 Vapor'!$A:$A,0))</f>
        <v>1.3043561638331235E-8</v>
      </c>
      <c r="G47" s="322">
        <f>INDEX('9 Flare Hold'!$F:$F,MATCH(Scenarios!$A47,'9 Flare Hold'!$A:$A,0))</f>
        <v>1.6117647058823531E-9</v>
      </c>
      <c r="H47" s="439">
        <f>INDEX('9 Flare Hold'!$G:$G,MATCH(Scenarios!$A47,'9 Flare Hold'!$A:$A,0))</f>
        <v>7.0595294117647067E-9</v>
      </c>
      <c r="I47" s="126">
        <f>INDEX('5 Flare2'!$F:$F,MATCH(Scenarios!$A47,'5 Flare2'!$A:$A,0))</f>
        <v>4.3955882352941171E-9</v>
      </c>
      <c r="J47" s="436">
        <f>INDEX('5 Flare2'!$G:$G,MATCH(Scenarios!$A47,'5 Flare2'!$A:$A,0))</f>
        <v>1.9252676470588232E-8</v>
      </c>
      <c r="K47" s="126">
        <f t="shared" si="6"/>
        <v>4.3955882352941171E-9</v>
      </c>
      <c r="L47" s="436">
        <f t="shared" si="6"/>
        <v>1.9252676470588232E-8</v>
      </c>
      <c r="M47" s="126">
        <f>INDEX('4 Flare1'!$F:$F,MATCH(Scenarios!$A47,'4 Flare1'!$A:$A,0))</f>
        <v>1.7955882352941176E-8</v>
      </c>
      <c r="N47" s="436">
        <f>INDEX('4 Flare1'!$G:$G,MATCH(Scenarios!$A47,'4 Flare1'!$A:$A,0))</f>
        <v>7.8646764705882352E-8</v>
      </c>
      <c r="O47" s="126">
        <f>INDEX('6 Flare3'!$F:$F,MATCH(Scenarios!$A47,'6 Flare3'!$A:$A,0))</f>
        <v>6.0808823529411757E-8</v>
      </c>
      <c r="P47" s="436">
        <f>INDEX('6 Flare3'!$G:$G,MATCH(Scenarios!$A47,'6 Flare3'!$A:$A,0))</f>
        <v>2.6634264705882348E-7</v>
      </c>
      <c r="Q47" s="323">
        <f>INDEX('7 Flare4'!$F:$F,MATCH(Scenarios!$A47,'7 Flare4'!$A:$A,0))</f>
        <v>6.2907352941176452E-8</v>
      </c>
      <c r="R47" s="439">
        <f>INDEX('7 Flare4'!$G:$G,MATCH(Scenarios!$A47,'7 Flare4'!$A:$A,0))</f>
        <v>2.7553420588235283E-7</v>
      </c>
      <c r="S47" s="323">
        <f>INDEX('8 Flare5'!$F:$F,MATCH(Scenarios!$A47,'8 Flare5'!$A:$A,0))</f>
        <v>6.5609558823529412E-8</v>
      </c>
      <c r="T47" s="439">
        <f>INDEX('8 Flare5'!$G:$G,MATCH(Scenarios!$A47,'8 Flare5'!$A:$A,0))</f>
        <v>2.8736986764705885E-7</v>
      </c>
      <c r="U47" s="126">
        <f t="shared" si="0"/>
        <v>6.5609558823529412E-8</v>
      </c>
      <c r="V47" s="436">
        <f t="shared" si="0"/>
        <v>2.8736986764705885E-7</v>
      </c>
      <c r="W47" s="323">
        <f>INDEX('10 Flare Purge A1'!$F:$F,MATCH(Scenarios!$A47,'10 Flare Purge A1'!$A:$A,0))</f>
        <v>4.340686274509804E-9</v>
      </c>
      <c r="X47" s="439">
        <f>INDEX('10 Flare Purge A1'!$G:$G,MATCH(Scenarios!$A47,'10 Flare Purge A1'!$A:$A,0))</f>
        <v>2.2571568627450981E-10</v>
      </c>
      <c r="Y47" s="323">
        <f>INDEX('11 Flare Purge A2'!$F:$F,MATCH(Scenarios!$A47,'11 Flare Purge A2'!$A:$A,0))</f>
        <v>3.7205882352941177E-9</v>
      </c>
      <c r="Z47" s="439">
        <f>INDEX('11 Flare Purge A2'!$G:$G,MATCH(Scenarios!$A47,'11 Flare Purge A2'!$A:$A,0))</f>
        <v>9.0084742647058822E-10</v>
      </c>
      <c r="AA47" s="323">
        <f>INDEX('12 Flare Purge B'!$F:$F,MATCH(Scenarios!$A47,'12 Flare Purge B'!$A:$A,0))</f>
        <v>1.6370588235294116E-9</v>
      </c>
      <c r="AB47" s="439">
        <f>INDEX('12 Flare Purge B'!$G:$G,MATCH(Scenarios!$A47,'12 Flare Purge B'!$A:$A,0))</f>
        <v>8.5127058823529401E-11</v>
      </c>
      <c r="AC47" s="126">
        <f t="shared" si="10"/>
        <v>4.340686274509804E-9</v>
      </c>
      <c r="AD47" s="435">
        <f t="shared" si="10"/>
        <v>9.0084742647058822E-10</v>
      </c>
      <c r="AE47" s="462">
        <f t="shared" si="2"/>
        <v>8.7362745098039211E-9</v>
      </c>
      <c r="AF47" s="436">
        <f t="shared" si="2"/>
        <v>2.0153523897058819E-8</v>
      </c>
      <c r="AG47" s="126">
        <f t="shared" si="3"/>
        <v>6.9950245098039223E-8</v>
      </c>
      <c r="AH47" s="436">
        <f t="shared" si="3"/>
        <v>2.8827071507352942E-7</v>
      </c>
      <c r="AI47" s="126">
        <f t="shared" si="4"/>
        <v>1.146487979664858E-7</v>
      </c>
      <c r="AJ47" s="435">
        <f t="shared" si="7"/>
        <v>2.9363454141774302E-7</v>
      </c>
      <c r="AK47" s="470">
        <f t="shared" si="5"/>
        <v>1.146487979664858E-7</v>
      </c>
      <c r="AL47" s="471">
        <f t="shared" si="5"/>
        <v>2.9363454141774302E-7</v>
      </c>
      <c r="AM47" s="471">
        <f t="shared" si="8"/>
        <v>5.8726908283548605E-4</v>
      </c>
      <c r="AN47" s="1" t="s">
        <v>370</v>
      </c>
    </row>
    <row r="48" spans="1:40">
      <c r="A48" s="398" t="s">
        <v>67</v>
      </c>
      <c r="B48" s="109" t="s">
        <v>24</v>
      </c>
      <c r="C48" s="328">
        <v>0</v>
      </c>
      <c r="D48" s="438">
        <v>0</v>
      </c>
      <c r="E48" s="322">
        <f>INDEX('3 Vapor'!E:E,MATCH($A48,'3 Vapor'!$A:$A,0))</f>
        <v>3.6835984256398398E-5</v>
      </c>
      <c r="F48" s="439">
        <f>INDEX('3 Vapor'!F:F,MATCH($A48,'3 Vapor'!$A:$A,0))</f>
        <v>4.4203181107678079E-6</v>
      </c>
      <c r="G48" s="322">
        <f>INDEX('9 Flare Hold'!$F:$F,MATCH(Scenarios!$A48,'9 Flare Hold'!$A:$A,0))</f>
        <v>5.4620915032679739E-7</v>
      </c>
      <c r="H48" s="439">
        <f>INDEX('9 Flare Hold'!$G:$G,MATCH(Scenarios!$A48,'9 Flare Hold'!$A:$A,0))</f>
        <v>2.3923960784313728E-6</v>
      </c>
      <c r="I48" s="126">
        <f>INDEX('5 Flare2'!$F:$F,MATCH(Scenarios!$A48,'5 Flare2'!$A:$A,0))</f>
        <v>1.4896160130718952E-6</v>
      </c>
      <c r="J48" s="436">
        <f>INDEX('5 Flare2'!$G:$G,MATCH(Scenarios!$A48,'5 Flare2'!$A:$A,0))</f>
        <v>6.524518137254901E-6</v>
      </c>
      <c r="K48" s="126">
        <f t="shared" si="6"/>
        <v>1.4896160130718952E-6</v>
      </c>
      <c r="L48" s="436">
        <f t="shared" si="6"/>
        <v>6.524518137254901E-6</v>
      </c>
      <c r="M48" s="126">
        <f>INDEX('4 Flare1'!$F:$F,MATCH(Scenarios!$A48,'4 Flare1'!$A:$A,0))</f>
        <v>6.0850490196078429E-6</v>
      </c>
      <c r="N48" s="436">
        <f>INDEX('4 Flare1'!$G:$G,MATCH(Scenarios!$A48,'4 Flare1'!$A:$A,0))</f>
        <v>2.6652514705882351E-5</v>
      </c>
      <c r="O48" s="126">
        <f>INDEX('6 Flare3'!$F:$F,MATCH(Scenarios!$A48,'6 Flare3'!$A:$A,0))</f>
        <v>2.0607434640522871E-5</v>
      </c>
      <c r="P48" s="436">
        <f>INDEX('6 Flare3'!$G:$G,MATCH(Scenarios!$A48,'6 Flare3'!$A:$A,0))</f>
        <v>9.0260563725490163E-5</v>
      </c>
      <c r="Q48" s="323">
        <f>INDEX('7 Flare4'!$F:$F,MATCH(Scenarios!$A48,'7 Flare4'!$A:$A,0))</f>
        <v>2.1318602941176463E-5</v>
      </c>
      <c r="R48" s="439">
        <f>INDEX('7 Flare4'!$G:$G,MATCH(Scenarios!$A48,'7 Flare4'!$A:$A,0))</f>
        <v>9.3375480882352906E-5</v>
      </c>
      <c r="S48" s="323">
        <f>INDEX('8 Flare5'!$F:$F,MATCH(Scenarios!$A48,'8 Flare5'!$A:$A,0))</f>
        <v>2.2234350490196078E-5</v>
      </c>
      <c r="T48" s="439">
        <f>INDEX('8 Flare5'!$G:$G,MATCH(Scenarios!$A48,'8 Flare5'!$A:$A,0))</f>
        <v>9.7386455147058815E-5</v>
      </c>
      <c r="U48" s="126">
        <f t="shared" si="0"/>
        <v>2.2234350490196078E-5</v>
      </c>
      <c r="V48" s="436">
        <f t="shared" si="0"/>
        <v>9.7386455147058815E-5</v>
      </c>
      <c r="W48" s="323">
        <f>INDEX('10 Flare Purge A1'!$F:$F,MATCH(Scenarios!$A48,'10 Flare Purge A1'!$A:$A,0))</f>
        <v>1.4710103485838778E-6</v>
      </c>
      <c r="X48" s="439">
        <f>INDEX('10 Flare Purge A1'!$G:$G,MATCH(Scenarios!$A48,'10 Flare Purge A1'!$A:$A,0))</f>
        <v>7.6492538126361659E-8</v>
      </c>
      <c r="Y48" s="323">
        <f>INDEX('11 Flare Purge A2'!$F:$F,MATCH(Scenarios!$A48,'11 Flare Purge A2'!$A:$A,0))</f>
        <v>1.2608660130718952E-6</v>
      </c>
      <c r="Z48" s="439">
        <f>INDEX('11 Flare Purge A2'!$G:$G,MATCH(Scenarios!$A48,'11 Flare Purge A2'!$A:$A,0))</f>
        <v>3.0528718341503265E-7</v>
      </c>
      <c r="AA48" s="323">
        <f>INDEX('12 Flare Purge B'!$F:$F,MATCH(Scenarios!$A48,'12 Flare Purge B'!$A:$A,0))</f>
        <v>5.5478104575163388E-7</v>
      </c>
      <c r="AB48" s="439">
        <f>INDEX('12 Flare Purge B'!$G:$G,MATCH(Scenarios!$A48,'12 Flare Purge B'!$A:$A,0))</f>
        <v>2.8848614379084962E-8</v>
      </c>
      <c r="AC48" s="126">
        <f t="shared" si="10"/>
        <v>1.4710103485838778E-6</v>
      </c>
      <c r="AD48" s="435">
        <f t="shared" si="10"/>
        <v>3.0528718341503265E-7</v>
      </c>
      <c r="AE48" s="462">
        <f t="shared" si="2"/>
        <v>2.9606263616557732E-6</v>
      </c>
      <c r="AF48" s="436">
        <f t="shared" si="2"/>
        <v>6.8298053206699337E-6</v>
      </c>
      <c r="AG48" s="126">
        <f t="shared" si="3"/>
        <v>2.3705360838779955E-5</v>
      </c>
      <c r="AH48" s="436">
        <f t="shared" si="3"/>
        <v>9.7691742330473848E-5</v>
      </c>
      <c r="AI48" s="126">
        <f t="shared" si="4"/>
        <v>3.8853203755309075E-5</v>
      </c>
      <c r="AJ48" s="435">
        <f t="shared" si="7"/>
        <v>9.9509483480457342E-5</v>
      </c>
      <c r="AK48" s="470">
        <f t="shared" si="5"/>
        <v>3.8853203755309075E-5</v>
      </c>
      <c r="AL48" s="471">
        <f t="shared" si="5"/>
        <v>9.9509483480457342E-5</v>
      </c>
      <c r="AM48" s="471">
        <f t="shared" si="8"/>
        <v>0.19901896696091467</v>
      </c>
      <c r="AN48" s="1" t="s">
        <v>370</v>
      </c>
    </row>
    <row r="49" spans="1:40">
      <c r="A49" s="398" t="s">
        <v>294</v>
      </c>
      <c r="B49" s="109" t="s">
        <v>85</v>
      </c>
      <c r="C49" s="328">
        <v>0</v>
      </c>
      <c r="D49" s="438">
        <v>0</v>
      </c>
      <c r="E49" s="322">
        <f>INDEX('3 Vapor'!E:E,MATCH($A49,'3 Vapor'!$A:$A,0))</f>
        <v>1.0265766104242177E-6</v>
      </c>
      <c r="F49" s="439">
        <f>INDEX('3 Vapor'!F:F,MATCH($A49,'3 Vapor'!$A:$A,0))</f>
        <v>1.2318919325090613E-7</v>
      </c>
      <c r="G49" s="322">
        <f>INDEX('9 Flare Hold'!$F:$F,MATCH(Scenarios!$A49,'9 Flare Hold'!$A:$A,0))</f>
        <v>1.5222222222222224E-8</v>
      </c>
      <c r="H49" s="439">
        <f>INDEX('9 Flare Hold'!$G:$G,MATCH(Scenarios!$A49,'9 Flare Hold'!$A:$A,0))</f>
        <v>6.6673333333333333E-8</v>
      </c>
      <c r="I49" s="126">
        <f>INDEX('5 Flare2'!$F:$F,MATCH(Scenarios!$A49,'5 Flare2'!$A:$A,0))</f>
        <v>4.1513888888888889E-8</v>
      </c>
      <c r="J49" s="436">
        <f>INDEX('5 Flare2'!$G:$G,MATCH(Scenarios!$A49,'5 Flare2'!$A:$A,0))</f>
        <v>1.8183083333333334E-7</v>
      </c>
      <c r="K49" s="126">
        <f t="shared" si="6"/>
        <v>4.1513888888888889E-8</v>
      </c>
      <c r="L49" s="436">
        <f t="shared" si="6"/>
        <v>1.8183083333333334E-7</v>
      </c>
      <c r="M49" s="126">
        <f>INDEX('4 Flare1'!$F:$F,MATCH(Scenarios!$A49,'4 Flare1'!$A:$A,0))</f>
        <v>1.6958333333333336E-7</v>
      </c>
      <c r="N49" s="436">
        <f>INDEX('4 Flare1'!$G:$G,MATCH(Scenarios!$A49,'4 Flare1'!$A:$A,0))</f>
        <v>7.4277500000000006E-7</v>
      </c>
      <c r="O49" s="126">
        <f>INDEX('6 Flare3'!$F:$F,MATCH(Scenarios!$A49,'6 Flare3'!$A:$A,0))</f>
        <v>5.7430555555555545E-7</v>
      </c>
      <c r="P49" s="436">
        <f>INDEX('6 Flare3'!$G:$G,MATCH(Scenarios!$A49,'6 Flare3'!$A:$A,0))</f>
        <v>2.5154583333333327E-6</v>
      </c>
      <c r="Q49" s="323">
        <f>INDEX('7 Flare4'!$F:$F,MATCH(Scenarios!$A49,'7 Flare4'!$A:$A,0))</f>
        <v>5.941249999999999E-7</v>
      </c>
      <c r="R49" s="439">
        <f>INDEX('7 Flare4'!$G:$G,MATCH(Scenarios!$A49,'7 Flare4'!$A:$A,0))</f>
        <v>2.6022674999999995E-6</v>
      </c>
      <c r="S49" s="323">
        <f>INDEX('8 Flare5'!$F:$F,MATCH(Scenarios!$A49,'8 Flare5'!$A:$A,0))</f>
        <v>6.196458333333334E-7</v>
      </c>
      <c r="T49" s="439">
        <f>INDEX('8 Flare5'!$G:$G,MATCH(Scenarios!$A49,'8 Flare5'!$A:$A,0))</f>
        <v>2.7140487500000002E-6</v>
      </c>
      <c r="U49" s="126">
        <f t="shared" si="0"/>
        <v>6.196458333333334E-7</v>
      </c>
      <c r="V49" s="436">
        <f t="shared" si="0"/>
        <v>2.7140487500000002E-6</v>
      </c>
      <c r="W49" s="323">
        <f>INDEX('10 Flare Purge A1'!$F:$F,MATCH(Scenarios!$A49,'10 Flare Purge A1'!$A:$A,0))</f>
        <v>4.0995370370370367E-8</v>
      </c>
      <c r="X49" s="439">
        <f>INDEX('10 Flare Purge A1'!$G:$G,MATCH(Scenarios!$A49,'10 Flare Purge A1'!$A:$A,0))</f>
        <v>2.131759259259259E-9</v>
      </c>
      <c r="Y49" s="323">
        <f>INDEX('11 Flare Purge A2'!$F:$F,MATCH(Scenarios!$A49,'11 Flare Purge A2'!$A:$A,0))</f>
        <v>3.5138888888888894E-8</v>
      </c>
      <c r="Z49" s="439">
        <f>INDEX('11 Flare Purge A2'!$G:$G,MATCH(Scenarios!$A49,'11 Flare Purge A2'!$A:$A,0))</f>
        <v>8.5080034722222231E-9</v>
      </c>
      <c r="AA49" s="323">
        <f>INDEX('12 Flare Purge B'!$F:$F,MATCH(Scenarios!$A49,'12 Flare Purge B'!$A:$A,0))</f>
        <v>1.5461111111111109E-8</v>
      </c>
      <c r="AB49" s="439">
        <f>INDEX('12 Flare Purge B'!$G:$G,MATCH(Scenarios!$A49,'12 Flare Purge B'!$A:$A,0))</f>
        <v>8.0397777777777761E-10</v>
      </c>
      <c r="AC49" s="126">
        <f t="shared" si="10"/>
        <v>4.0995370370370367E-8</v>
      </c>
      <c r="AD49" s="435">
        <f t="shared" si="10"/>
        <v>8.5080034722222231E-9</v>
      </c>
      <c r="AE49" s="462">
        <f t="shared" si="2"/>
        <v>8.2509259259259263E-8</v>
      </c>
      <c r="AF49" s="436">
        <f t="shared" si="2"/>
        <v>1.9033883680555555E-7</v>
      </c>
      <c r="AG49" s="126">
        <f t="shared" si="3"/>
        <v>6.6064120370370379E-7</v>
      </c>
      <c r="AH49" s="436">
        <f t="shared" si="3"/>
        <v>2.7225567534722223E-6</v>
      </c>
      <c r="AI49" s="126">
        <f t="shared" si="4"/>
        <v>1.0827942030168103E-6</v>
      </c>
      <c r="AJ49" s="435">
        <f t="shared" si="7"/>
        <v>2.7732151133897953E-6</v>
      </c>
      <c r="AK49" s="470">
        <f t="shared" si="5"/>
        <v>1.0827942030168103E-6</v>
      </c>
      <c r="AL49" s="471">
        <f t="shared" si="5"/>
        <v>2.7732151133897953E-6</v>
      </c>
      <c r="AM49" s="471">
        <f t="shared" si="8"/>
        <v>5.5464302267795905E-3</v>
      </c>
    </row>
    <row r="50" spans="1:40">
      <c r="A50" s="398" t="s">
        <v>295</v>
      </c>
      <c r="B50" s="109" t="s">
        <v>26</v>
      </c>
      <c r="C50" s="328">
        <v>0</v>
      </c>
      <c r="D50" s="438">
        <v>0</v>
      </c>
      <c r="E50" s="322">
        <f>INDEX('3 Vapor'!E:E,MATCH($A50,'3 Vapor'!$A:$A,0))</f>
        <v>3.0193429718359347E-7</v>
      </c>
      <c r="F50" s="439">
        <f>INDEX('3 Vapor'!F:F,MATCH($A50,'3 Vapor'!$A:$A,0))</f>
        <v>3.6232115662031214E-8</v>
      </c>
      <c r="G50" s="322">
        <f>INDEX('9 Flare Hold'!$F:$F,MATCH(Scenarios!$A50,'9 Flare Hold'!$A:$A,0))</f>
        <v>4.4771241830065372E-9</v>
      </c>
      <c r="H50" s="439">
        <f>INDEX('9 Flare Hold'!$G:$G,MATCH(Scenarios!$A50,'9 Flare Hold'!$A:$A,0))</f>
        <v>1.9609803921568632E-8</v>
      </c>
      <c r="I50" s="126">
        <f>INDEX('5 Flare2'!$F:$F,MATCH(Scenarios!$A50,'5 Flare2'!$A:$A,0))</f>
        <v>1.2209967320261439E-8</v>
      </c>
      <c r="J50" s="436">
        <f>INDEX('5 Flare2'!$G:$G,MATCH(Scenarios!$A50,'5 Flare2'!$A:$A,0))</f>
        <v>5.3479656862745107E-8</v>
      </c>
      <c r="K50" s="126">
        <f t="shared" si="6"/>
        <v>1.2209967320261439E-8</v>
      </c>
      <c r="L50" s="436">
        <f t="shared" si="6"/>
        <v>5.3479656862745107E-8</v>
      </c>
      <c r="M50" s="126">
        <f>INDEX('4 Flare1'!$F:$F,MATCH(Scenarios!$A50,'4 Flare1'!$A:$A,0))</f>
        <v>4.9877450980392165E-8</v>
      </c>
      <c r="N50" s="436">
        <f>INDEX('4 Flare1'!$G:$G,MATCH(Scenarios!$A50,'4 Flare1'!$A:$A,0))</f>
        <v>2.1846323529411768E-7</v>
      </c>
      <c r="O50" s="126">
        <f>INDEX('6 Flare3'!$F:$F,MATCH(Scenarios!$A50,'6 Flare3'!$A:$A,0))</f>
        <v>1.6891339869281047E-7</v>
      </c>
      <c r="P50" s="436">
        <f>INDEX('6 Flare3'!$G:$G,MATCH(Scenarios!$A50,'6 Flare3'!$A:$A,0))</f>
        <v>7.3984068627450981E-7</v>
      </c>
      <c r="Q50" s="323">
        <f>INDEX('7 Flare4'!$F:$F,MATCH(Scenarios!$A50,'7 Flare4'!$A:$A,0))</f>
        <v>1.7474264705882353E-7</v>
      </c>
      <c r="R50" s="439">
        <f>INDEX('7 Flare4'!$G:$G,MATCH(Scenarios!$A50,'7 Flare4'!$A:$A,0))</f>
        <v>7.6537279411764716E-7</v>
      </c>
      <c r="S50" s="323">
        <f>INDEX('8 Flare5'!$F:$F,MATCH(Scenarios!$A50,'8 Flare5'!$A:$A,0))</f>
        <v>1.8224877450980397E-7</v>
      </c>
      <c r="T50" s="439">
        <f>INDEX('8 Flare5'!$G:$G,MATCH(Scenarios!$A50,'8 Flare5'!$A:$A,0))</f>
        <v>7.9824963235294135E-7</v>
      </c>
      <c r="U50" s="126">
        <f t="shared" si="0"/>
        <v>1.8224877450980397E-7</v>
      </c>
      <c r="V50" s="436">
        <f t="shared" si="0"/>
        <v>7.9824963235294135E-7</v>
      </c>
      <c r="W50" s="323">
        <f>INDEX('10 Flare Purge A1'!$F:$F,MATCH(Scenarios!$A50,'10 Flare Purge A1'!$A:$A,0))</f>
        <v>1.2057461873638346E-8</v>
      </c>
      <c r="X50" s="439">
        <f>INDEX('10 Flare Purge A1'!$G:$G,MATCH(Scenarios!$A50,'10 Flare Purge A1'!$A:$A,0))</f>
        <v>6.2698801742919399E-10</v>
      </c>
      <c r="Y50" s="323">
        <f>INDEX('11 Flare Purge A2'!$F:$F,MATCH(Scenarios!$A50,'11 Flare Purge A2'!$A:$A,0))</f>
        <v>1.0334967320261439E-8</v>
      </c>
      <c r="Z50" s="439">
        <f>INDEX('11 Flare Purge A2'!$G:$G,MATCH(Scenarios!$A50,'11 Flare Purge A2'!$A:$A,0))</f>
        <v>2.502353962418301E-9</v>
      </c>
      <c r="AA50" s="323">
        <f>INDEX('12 Flare Purge B'!$F:$F,MATCH(Scenarios!$A50,'12 Flare Purge B'!$A:$A,0))</f>
        <v>4.5473856209150333E-9</v>
      </c>
      <c r="AB50" s="439">
        <f>INDEX('12 Flare Purge B'!$G:$G,MATCH(Scenarios!$A50,'12 Flare Purge B'!$A:$A,0))</f>
        <v>2.3646405228758171E-10</v>
      </c>
      <c r="AC50" s="126">
        <f t="shared" si="10"/>
        <v>1.2057461873638346E-8</v>
      </c>
      <c r="AD50" s="435">
        <f t="shared" si="10"/>
        <v>2.502353962418301E-9</v>
      </c>
      <c r="AE50" s="462">
        <f t="shared" si="2"/>
        <v>2.4267429193899787E-8</v>
      </c>
      <c r="AF50" s="436">
        <f t="shared" si="2"/>
        <v>5.5982010825163405E-8</v>
      </c>
      <c r="AG50" s="126">
        <f t="shared" si="3"/>
        <v>1.9430623638344231E-7</v>
      </c>
      <c r="AH50" s="436">
        <f t="shared" si="3"/>
        <v>8.007519863153596E-7</v>
      </c>
      <c r="AI50" s="126">
        <f t="shared" si="4"/>
        <v>3.1846888324023833E-7</v>
      </c>
      <c r="AJ50" s="435">
        <f t="shared" si="7"/>
        <v>8.156515039381752E-7</v>
      </c>
      <c r="AK50" s="470">
        <f t="shared" si="5"/>
        <v>3.1846888324023833E-7</v>
      </c>
      <c r="AL50" s="471">
        <f t="shared" si="5"/>
        <v>8.156515039381752E-7</v>
      </c>
      <c r="AM50" s="471">
        <f t="shared" si="8"/>
        <v>1.6313030078763504E-3</v>
      </c>
    </row>
    <row r="51" spans="1:40">
      <c r="A51" s="395" t="s">
        <v>68</v>
      </c>
      <c r="B51" s="83" t="s">
        <v>51</v>
      </c>
      <c r="C51" s="328">
        <v>0</v>
      </c>
      <c r="D51" s="438">
        <v>0</v>
      </c>
      <c r="E51" s="322">
        <f>INDEX('3 Vapor'!E:E,MATCH($A51,'3 Vapor'!$A:$A,0))</f>
        <v>3.2005035501460909E-2</v>
      </c>
      <c r="F51" s="439">
        <f>INDEX('3 Vapor'!F:F,MATCH($A51,'3 Vapor'!$A:$A,0))</f>
        <v>3.8406042601753093E-3</v>
      </c>
      <c r="G51" s="322">
        <f>INDEX('9 Flare Hold'!$F:$F,MATCH(Scenarios!$A51,'9 Flare Hold'!$A:$A,0))</f>
        <v>4.7457516339869293E-4</v>
      </c>
      <c r="H51" s="439">
        <f>INDEX('9 Flare Hold'!$G:$G,MATCH(Scenarios!$A51,'9 Flare Hold'!$A:$A,0))</f>
        <v>2.078639215686275E-3</v>
      </c>
      <c r="I51" s="126">
        <f>INDEX('5 Flare2'!$F:$F,MATCH(Scenarios!$A51,'5 Flare2'!$A:$A,0))</f>
        <v>1.2942565359477126E-3</v>
      </c>
      <c r="J51" s="436">
        <f>INDEX('5 Flare2'!$G:$G,MATCH(Scenarios!$A51,'5 Flare2'!$A:$A,0))</f>
        <v>5.6688436274509807E-3</v>
      </c>
      <c r="K51" s="126">
        <f t="shared" si="6"/>
        <v>1.2942565359477126E-3</v>
      </c>
      <c r="L51" s="436">
        <f t="shared" si="6"/>
        <v>5.6688436274509807E-3</v>
      </c>
      <c r="M51" s="126">
        <f>INDEX('4 Flare1'!$F:$F,MATCH(Scenarios!$A51,'4 Flare1'!$A:$A,0))</f>
        <v>5.2870098039215696E-3</v>
      </c>
      <c r="N51" s="436">
        <f>INDEX('4 Flare1'!$G:$G,MATCH(Scenarios!$A51,'4 Flare1'!$A:$A,0))</f>
        <v>2.3157102941176476E-2</v>
      </c>
      <c r="O51" s="126">
        <f>INDEX('6 Flare3'!$F:$F,MATCH(Scenarios!$A51,'6 Flare3'!$A:$A,0))</f>
        <v>1.7904820261437908E-2</v>
      </c>
      <c r="P51" s="436">
        <f>INDEX('6 Flare3'!$G:$G,MATCH(Scenarios!$A51,'6 Flare3'!$A:$A,0))</f>
        <v>7.8423112745098042E-2</v>
      </c>
      <c r="Q51" s="323">
        <f>INDEX('7 Flare4'!$F:$F,MATCH(Scenarios!$A51,'7 Flare4'!$A:$A,0))</f>
        <v>1.8522720588235293E-2</v>
      </c>
      <c r="R51" s="439">
        <f>INDEX('7 Flare4'!$G:$G,MATCH(Scenarios!$A51,'7 Flare4'!$A:$A,0))</f>
        <v>8.1129516176470587E-2</v>
      </c>
      <c r="S51" s="323">
        <f>INDEX('8 Flare5'!$F:$F,MATCH(Scenarios!$A51,'8 Flare5'!$A:$A,0))</f>
        <v>1.9318370098039217E-2</v>
      </c>
      <c r="T51" s="439">
        <f>INDEX('8 Flare5'!$G:$G,MATCH(Scenarios!$A51,'8 Flare5'!$A:$A,0))</f>
        <v>8.4614461029411767E-2</v>
      </c>
      <c r="U51" s="126">
        <f t="shared" si="0"/>
        <v>1.9318370098039217E-2</v>
      </c>
      <c r="V51" s="436">
        <f t="shared" si="0"/>
        <v>8.4614461029411767E-2</v>
      </c>
      <c r="W51" s="323">
        <f>INDEX('10 Flare Purge A1'!$F:$F,MATCH(Scenarios!$A51,'10 Flare Purge A1'!$A:$A,0))</f>
        <v>4.0995370370370367E-8</v>
      </c>
      <c r="X51" s="439">
        <f>INDEX('10 Flare Purge A1'!$G:$G,MATCH(Scenarios!$A51,'10 Flare Purge A1'!$A:$A,0))</f>
        <v>6.6460729847494558E-5</v>
      </c>
      <c r="Y51" s="323">
        <f>INDEX('11 Flare Purge A2'!$F:$F,MATCH(Scenarios!$A51,'11 Flare Purge A2'!$A:$A,0))</f>
        <v>3.5138888888888894E-8</v>
      </c>
      <c r="Z51" s="439">
        <f>INDEX('11 Flare Purge A2'!$G:$G,MATCH(Scenarios!$A51,'11 Flare Purge A2'!$A:$A,0))</f>
        <v>2.6524952001633995E-4</v>
      </c>
      <c r="AA51" s="323">
        <f>INDEX('12 Flare Purge B'!$F:$F,MATCH(Scenarios!$A51,'12 Flare Purge B'!$A:$A,0))</f>
        <v>1.5461111111111109E-8</v>
      </c>
      <c r="AB51" s="439">
        <f>INDEX('12 Flare Purge B'!$G:$G,MATCH(Scenarios!$A51,'12 Flare Purge B'!$A:$A,0))</f>
        <v>2.5065189542483662E-5</v>
      </c>
      <c r="AC51" s="126">
        <f t="shared" si="10"/>
        <v>4.0995370370370367E-8</v>
      </c>
      <c r="AD51" s="435">
        <f t="shared" si="10"/>
        <v>2.6524952001633995E-4</v>
      </c>
      <c r="AE51" s="462">
        <f t="shared" si="2"/>
        <v>1.2942975313180829E-3</v>
      </c>
      <c r="AF51" s="436">
        <f t="shared" si="2"/>
        <v>5.934093147467321E-3</v>
      </c>
      <c r="AG51" s="126">
        <f t="shared" si="3"/>
        <v>1.9318411093409586E-2</v>
      </c>
      <c r="AH51" s="436">
        <f t="shared" si="3"/>
        <v>8.4879710549428111E-2</v>
      </c>
      <c r="AI51" s="126">
        <f t="shared" si="4"/>
        <v>3.2479651660229973E-2</v>
      </c>
      <c r="AJ51" s="435">
        <f t="shared" si="7"/>
        <v>8.6459059417446554E-2</v>
      </c>
      <c r="AK51" s="470">
        <f t="shared" si="5"/>
        <v>3.2479651660229973E-2</v>
      </c>
      <c r="AL51" s="471">
        <f t="shared" si="5"/>
        <v>8.6459059417446554E-2</v>
      </c>
      <c r="AM51" s="471">
        <f t="shared" si="8"/>
        <v>172.91811883489311</v>
      </c>
      <c r="AN51" s="1" t="s">
        <v>370</v>
      </c>
    </row>
    <row r="52" spans="1:40">
      <c r="A52" s="398" t="s">
        <v>304</v>
      </c>
      <c r="B52" s="83" t="s">
        <v>41</v>
      </c>
      <c r="C52" s="328">
        <v>0</v>
      </c>
      <c r="D52" s="438">
        <v>0</v>
      </c>
      <c r="E52" s="322">
        <f>INDEX('3 Vapor'!E:E,MATCH($A52,'3 Vapor'!$A:$A,0))</f>
        <v>1.4492846264812487E-6</v>
      </c>
      <c r="F52" s="439">
        <f>INDEX('3 Vapor'!F:F,MATCH($A52,'3 Vapor'!$A:$A,0))</f>
        <v>1.7391415517774985E-7</v>
      </c>
      <c r="G52" s="322">
        <f>INDEX('9 Flare Hold'!$F:$F,MATCH(Scenarios!$A52,'9 Flare Hold'!$A:$A,0))</f>
        <v>2.1490196078431375E-8</v>
      </c>
      <c r="H52" s="439">
        <f>INDEX('9 Flare Hold'!$G:$G,MATCH(Scenarios!$A52,'9 Flare Hold'!$A:$A,0))</f>
        <v>9.4127058823529429E-8</v>
      </c>
      <c r="I52" s="126">
        <f>INDEX('5 Flare2'!$F:$F,MATCH(Scenarios!$A52,'5 Flare2'!$A:$A,0))</f>
        <v>5.8607843137254897E-8</v>
      </c>
      <c r="J52" s="436">
        <f>INDEX('5 Flare2'!$G:$G,MATCH(Scenarios!$A52,'5 Flare2'!$A:$A,0))</f>
        <v>2.5670235294117645E-7</v>
      </c>
      <c r="K52" s="126">
        <f t="shared" si="6"/>
        <v>5.8607843137254897E-8</v>
      </c>
      <c r="L52" s="436">
        <f t="shared" si="6"/>
        <v>2.5670235294117645E-7</v>
      </c>
      <c r="M52" s="126">
        <f>INDEX('4 Flare1'!$F:$F,MATCH(Scenarios!$A52,'4 Flare1'!$A:$A,0))</f>
        <v>2.3941176470588236E-7</v>
      </c>
      <c r="N52" s="436">
        <f>INDEX('4 Flare1'!$G:$G,MATCH(Scenarios!$A52,'4 Flare1'!$A:$A,0))</f>
        <v>1.0486235294117647E-6</v>
      </c>
      <c r="O52" s="126">
        <f>INDEX('6 Flare3'!$F:$F,MATCH(Scenarios!$A52,'6 Flare3'!$A:$A,0))</f>
        <v>8.1078431372549006E-7</v>
      </c>
      <c r="P52" s="436">
        <f>INDEX('6 Flare3'!$G:$G,MATCH(Scenarios!$A52,'6 Flare3'!$A:$A,0))</f>
        <v>3.5512352941176464E-6</v>
      </c>
      <c r="Q52" s="323">
        <f>INDEX('7 Flare4'!$F:$F,MATCH(Scenarios!$A52,'7 Flare4'!$A:$A,0))</f>
        <v>8.3876470588235273E-7</v>
      </c>
      <c r="R52" s="439">
        <f>INDEX('7 Flare4'!$G:$G,MATCH(Scenarios!$A52,'7 Flare4'!$A:$A,0))</f>
        <v>3.6737894117647048E-6</v>
      </c>
      <c r="S52" s="323">
        <f>INDEX('8 Flare5'!$F:$F,MATCH(Scenarios!$A52,'8 Flare5'!$A:$A,0))</f>
        <v>8.7479411764705886E-7</v>
      </c>
      <c r="T52" s="439">
        <f>INDEX('8 Flare5'!$G:$G,MATCH(Scenarios!$A52,'8 Flare5'!$A:$A,0))</f>
        <v>3.8315982352941181E-6</v>
      </c>
      <c r="U52" s="126">
        <f t="shared" si="0"/>
        <v>8.7479411764705886E-7</v>
      </c>
      <c r="V52" s="436">
        <f t="shared" si="0"/>
        <v>3.8315982352941181E-6</v>
      </c>
      <c r="W52" s="323">
        <f>INDEX('10 Flare Purge A1'!$F:$F,MATCH(Scenarios!$A52,'10 Flare Purge A1'!$A:$A,0))</f>
        <v>5.7875816993464048E-8</v>
      </c>
      <c r="X52" s="439">
        <f>INDEX('10 Flare Purge A1'!$G:$G,MATCH(Scenarios!$A52,'10 Flare Purge A1'!$A:$A,0))</f>
        <v>3.0095424836601305E-9</v>
      </c>
      <c r="Y52" s="323">
        <f>INDEX('11 Flare Purge A2'!$F:$F,MATCH(Scenarios!$A52,'11 Flare Purge A2'!$A:$A,0))</f>
        <v>4.9607843137254902E-8</v>
      </c>
      <c r="Z52" s="439">
        <f>INDEX('11 Flare Purge A2'!$G:$G,MATCH(Scenarios!$A52,'11 Flare Purge A2'!$A:$A,0))</f>
        <v>1.2011299019607843E-8</v>
      </c>
      <c r="AA52" s="323">
        <f>INDEX('12 Flare Purge B'!$F:$F,MATCH(Scenarios!$A52,'12 Flare Purge B'!$A:$A,0))</f>
        <v>2.1827450980392156E-8</v>
      </c>
      <c r="AB52" s="439">
        <f>INDEX('12 Flare Purge B'!$G:$G,MATCH(Scenarios!$A52,'12 Flare Purge B'!$A:$A,0))</f>
        <v>1.1350274509803922E-9</v>
      </c>
      <c r="AC52" s="126">
        <f t="shared" si="10"/>
        <v>5.7875816993464048E-8</v>
      </c>
      <c r="AD52" s="435">
        <f t="shared" si="10"/>
        <v>1.2011299019607843E-8</v>
      </c>
      <c r="AE52" s="462">
        <f t="shared" si="2"/>
        <v>1.1648366013071895E-7</v>
      </c>
      <c r="AF52" s="436">
        <f t="shared" si="2"/>
        <v>2.6871365196078427E-7</v>
      </c>
      <c r="AG52" s="126">
        <f t="shared" si="3"/>
        <v>9.326699346405229E-7</v>
      </c>
      <c r="AH52" s="436">
        <f t="shared" si="3"/>
        <v>3.8436095343137258E-6</v>
      </c>
      <c r="AI52" s="126">
        <f t="shared" si="4"/>
        <v>1.5286506395531441E-6</v>
      </c>
      <c r="AJ52" s="435">
        <f t="shared" si="7"/>
        <v>3.9151272189032406E-6</v>
      </c>
      <c r="AK52" s="470">
        <f t="shared" si="5"/>
        <v>1.5286506395531441E-6</v>
      </c>
      <c r="AL52" s="471">
        <f t="shared" si="5"/>
        <v>3.9151272189032406E-6</v>
      </c>
      <c r="AM52" s="471">
        <f t="shared" si="8"/>
        <v>7.8302544378064821E-3</v>
      </c>
      <c r="AN52" s="1" t="s">
        <v>370</v>
      </c>
    </row>
    <row r="53" spans="1:40">
      <c r="A53" s="398" t="s">
        <v>303</v>
      </c>
      <c r="B53" s="83" t="s">
        <v>27</v>
      </c>
      <c r="C53" s="322">
        <f>'13 Fugitives'!L42</f>
        <v>2.9370042023133622E-6</v>
      </c>
      <c r="D53" s="439">
        <f>'13 Fugitives'!L53</f>
        <v>1.2864078406132528E-5</v>
      </c>
      <c r="E53" s="322">
        <f>INDEX('3 Vapor'!E:E,MATCH($A53,'3 Vapor'!$A:$A,0))</f>
        <v>1.600251775073045E-3</v>
      </c>
      <c r="F53" s="439">
        <f>INDEX('3 Vapor'!F:F,MATCH($A53,'3 Vapor'!$A:$A,0))</f>
        <v>1.920302130087654E-4</v>
      </c>
      <c r="G53" s="322">
        <f>INDEX('9 Flare Hold'!$F:$F,MATCH(Scenarios!$A53,'9 Flare Hold'!$A:$A,0))</f>
        <v>1.3408808121373466E-6</v>
      </c>
      <c r="H53" s="439">
        <f>INDEX('9 Flare Hold'!$G:$G,MATCH(Scenarios!$A53,'9 Flare Hold'!$A:$A,0))</f>
        <v>5.8730579571615787E-6</v>
      </c>
      <c r="I53" s="126">
        <f>INDEX('5 Flare2'!$F:$F,MATCH(Scenarios!$A53,'5 Flare2'!$A:$A,0))</f>
        <v>3.6568364484293139E-6</v>
      </c>
      <c r="J53" s="436">
        <f>INDEX('5 Flare2'!$G:$G,MATCH(Scenarios!$A53,'5 Flare2'!$A:$A,0))</f>
        <v>1.6016943644120394E-5</v>
      </c>
      <c r="K53" s="126">
        <f t="shared" si="6"/>
        <v>3.6568364484293139E-6</v>
      </c>
      <c r="L53" s="436">
        <f t="shared" si="6"/>
        <v>1.6016943644120394E-5</v>
      </c>
      <c r="M53" s="126">
        <f>INDEX('4 Flare1'!$F:$F,MATCH(Scenarios!$A53,'4 Flare1'!$A:$A,0))</f>
        <v>1.4938097368792884E-5</v>
      </c>
      <c r="N53" s="436">
        <f>INDEX('4 Flare1'!$G:$G,MATCH(Scenarios!$A53,'4 Flare1'!$A:$A,0))</f>
        <v>6.542886647531283E-5</v>
      </c>
      <c r="O53" s="126">
        <f>INDEX('6 Flare3'!$F:$F,MATCH(Scenarios!$A53,'6 Flare3'!$A:$A,0))</f>
        <v>5.0588888304634369E-5</v>
      </c>
      <c r="P53" s="436">
        <f>INDEX('6 Flare3'!$G:$G,MATCH(Scenarios!$A53,'6 Flare3'!$A:$A,0))</f>
        <v>2.2157933077429854E-4</v>
      </c>
      <c r="Q53" s="323">
        <f>INDEX('7 Flare4'!$F:$F,MATCH(Scenarios!$A53,'7 Flare4'!$A:$A,0))</f>
        <v>5.2334724909488371E-5</v>
      </c>
      <c r="R53" s="439">
        <f>INDEX('7 Flare4'!$G:$G,MATCH(Scenarios!$A53,'7 Flare4'!$A:$A,0))</f>
        <v>2.2922609510355908E-4</v>
      </c>
      <c r="S53" s="323">
        <f>INDEX('8 Flare5'!$F:$F,MATCH(Scenarios!$A53,'8 Flare5'!$A:$A,0))</f>
        <v>5.4582780103194926E-5</v>
      </c>
      <c r="T53" s="439">
        <f>INDEX('8 Flare5'!$G:$G,MATCH(Scenarios!$A53,'8 Flare5'!$A:$A,0))</f>
        <v>2.3907257685199377E-4</v>
      </c>
      <c r="U53" s="126">
        <f t="shared" si="0"/>
        <v>5.4582780103194926E-5</v>
      </c>
      <c r="V53" s="436">
        <f t="shared" si="0"/>
        <v>2.3907257685199377E-4</v>
      </c>
      <c r="W53" s="323">
        <f>INDEX('10 Flare Purge A1'!$F:$F,MATCH(Scenarios!$A53,'10 Flare Purge A1'!$A:$A,0))</f>
        <v>3.6111616762397206E-6</v>
      </c>
      <c r="X53" s="439">
        <f>INDEX('10 Flare Purge A1'!$G:$G,MATCH(Scenarios!$A53,'10 Flare Purge A1'!$A:$A,0))</f>
        <v>1.8778040716446547E-7</v>
      </c>
      <c r="Y53" s="323">
        <f>INDEX('11 Flare Purge A2'!$F:$F,MATCH(Scenarios!$A53,'11 Flare Purge A2'!$A:$A,0))</f>
        <v>3.0952814367769035E-6</v>
      </c>
      <c r="Z53" s="439">
        <f>INDEX('11 Flare Purge A2'!$G:$G,MATCH(Scenarios!$A53,'11 Flare Purge A2'!$A:$A,0))</f>
        <v>7.4944501787960783E-7</v>
      </c>
      <c r="AA53" s="323">
        <f>INDEX('12 Flare Purge B'!$F:$F,MATCH(Scenarios!$A53,'12 Flare Purge B'!$A:$A,0))</f>
        <v>1.3619238321818375E-6</v>
      </c>
      <c r="AB53" s="439">
        <f>INDEX('12 Flare Purge B'!$G:$G,MATCH(Scenarios!$A53,'12 Flare Purge B'!$A:$A,0))</f>
        <v>7.0820039273455552E-8</v>
      </c>
      <c r="AC53" s="126">
        <f t="shared" si="10"/>
        <v>3.6111616762397206E-6</v>
      </c>
      <c r="AD53" s="435">
        <f t="shared" si="10"/>
        <v>7.4944501787960783E-7</v>
      </c>
      <c r="AE53" s="462">
        <f t="shared" si="2"/>
        <v>7.267998124669035E-6</v>
      </c>
      <c r="AF53" s="436">
        <f t="shared" si="2"/>
        <v>1.6766388662000002E-5</v>
      </c>
      <c r="AG53" s="126">
        <f t="shared" si="3"/>
        <v>5.8193941779434647E-5</v>
      </c>
      <c r="AH53" s="436">
        <f t="shared" si="3"/>
        <v>2.3982202186987339E-4</v>
      </c>
      <c r="AI53" s="126">
        <f t="shared" si="4"/>
        <v>1.6052038175614221E-3</v>
      </c>
      <c r="AJ53" s="435">
        <f t="shared" si="7"/>
        <v>4.2546320696371185E-4</v>
      </c>
      <c r="AK53" s="470">
        <f t="shared" si="5"/>
        <v>1.6081408217637355E-3</v>
      </c>
      <c r="AL53" s="471">
        <f t="shared" si="5"/>
        <v>4.3832728536984437E-4</v>
      </c>
      <c r="AM53" s="471">
        <f t="shared" si="8"/>
        <v>0.87665457073968878</v>
      </c>
      <c r="AN53" s="1" t="s">
        <v>370</v>
      </c>
    </row>
    <row r="54" spans="1:40">
      <c r="A54" s="398" t="s">
        <v>72</v>
      </c>
      <c r="B54" s="83" t="s">
        <v>42</v>
      </c>
      <c r="C54" s="328">
        <v>0</v>
      </c>
      <c r="D54" s="438">
        <v>0</v>
      </c>
      <c r="E54" s="322">
        <f>INDEX('3 Vapor'!E:E,MATCH($A54,'3 Vapor'!$A:$A,0))</f>
        <v>1.3888977670445298E-4</v>
      </c>
      <c r="F54" s="439">
        <f>INDEX('3 Vapor'!F:F,MATCH($A54,'3 Vapor'!$A:$A,0))</f>
        <v>1.6666773204534358E-5</v>
      </c>
      <c r="G54" s="322">
        <f>INDEX('9 Flare Hold'!$F:$F,MATCH(Scenarios!$A54,'9 Flare Hold'!$A:$A,0))</f>
        <v>2.0594771241830069E-6</v>
      </c>
      <c r="H54" s="439">
        <f>INDEX('9 Flare Hold'!$G:$G,MATCH(Scenarios!$A54,'9 Flare Hold'!$A:$A,0))</f>
        <v>9.0205098039215714E-6</v>
      </c>
      <c r="I54" s="126">
        <f>INDEX('5 Flare2'!$F:$F,MATCH(Scenarios!$A54,'5 Flare2'!$A:$A,0))</f>
        <v>5.6165849673202614E-6</v>
      </c>
      <c r="J54" s="436">
        <f>INDEX('5 Flare2'!$G:$G,MATCH(Scenarios!$A54,'5 Flare2'!$A:$A,0))</f>
        <v>2.4600642156862744E-5</v>
      </c>
      <c r="K54" s="126">
        <f t="shared" si="6"/>
        <v>5.6165849673202614E-6</v>
      </c>
      <c r="L54" s="436">
        <f t="shared" si="6"/>
        <v>2.4600642156862744E-5</v>
      </c>
      <c r="M54" s="126">
        <f>INDEX('4 Flare1'!$F:$F,MATCH(Scenarios!$A54,'4 Flare1'!$A:$A,0))</f>
        <v>2.2943627450980394E-5</v>
      </c>
      <c r="N54" s="436">
        <f>INDEX('4 Flare1'!$G:$G,MATCH(Scenarios!$A54,'4 Flare1'!$A:$A,0))</f>
        <v>1.0049308823529413E-4</v>
      </c>
      <c r="O54" s="126">
        <f>INDEX('6 Flare3'!$F:$F,MATCH(Scenarios!$A54,'6 Flare3'!$A:$A,0))</f>
        <v>7.7700163398692802E-5</v>
      </c>
      <c r="P54" s="436">
        <f>INDEX('6 Flare3'!$G:$G,MATCH(Scenarios!$A54,'6 Flare3'!$A:$A,0))</f>
        <v>3.4032671568627447E-4</v>
      </c>
      <c r="Q54" s="323">
        <f>INDEX('7 Flare4'!$F:$F,MATCH(Scenarios!$A54,'7 Flare4'!$A:$A,0))</f>
        <v>8.0381617647058812E-5</v>
      </c>
      <c r="R54" s="439">
        <f>INDEX('7 Flare4'!$G:$G,MATCH(Scenarios!$A54,'7 Flare4'!$A:$A,0))</f>
        <v>3.5207148529411758E-4</v>
      </c>
      <c r="S54" s="323">
        <f>INDEX('8 Flare5'!$F:$F,MATCH(Scenarios!$A54,'8 Flare5'!$A:$A,0))</f>
        <v>8.3834436274509802E-5</v>
      </c>
      <c r="T54" s="439">
        <f>INDEX('8 Flare5'!$G:$G,MATCH(Scenarios!$A54,'8 Flare5'!$A:$A,0))</f>
        <v>3.6719483088235293E-4</v>
      </c>
      <c r="U54" s="126">
        <f t="shared" si="0"/>
        <v>8.3834436274509802E-5</v>
      </c>
      <c r="V54" s="436">
        <f t="shared" si="0"/>
        <v>3.6719483088235293E-4</v>
      </c>
      <c r="W54" s="323">
        <f>INDEX('10 Flare Purge A1'!$F:$F,MATCH(Scenarios!$A54,'10 Flare Purge A1'!$A:$A,0))</f>
        <v>3.6111616762397206E-6</v>
      </c>
      <c r="X54" s="439">
        <f>INDEX('10 Flare Purge A1'!$G:$G,MATCH(Scenarios!$A54,'10 Flare Purge A1'!$A:$A,0))</f>
        <v>1.8778040716446547E-7</v>
      </c>
      <c r="Y54" s="323">
        <f>INDEX('11 Flare Purge A2'!$F:$F,MATCH(Scenarios!$A54,'11 Flare Purge A2'!$A:$A,0))</f>
        <v>3.0952814367769035E-6</v>
      </c>
      <c r="Z54" s="439">
        <f>INDEX('11 Flare Purge A2'!$G:$G,MATCH(Scenarios!$A54,'11 Flare Purge A2'!$A:$A,0))</f>
        <v>7.4944501787960783E-7</v>
      </c>
      <c r="AA54" s="323">
        <f>INDEX('12 Flare Purge B'!$F:$F,MATCH(Scenarios!$A54,'12 Flare Purge B'!$A:$A,0))</f>
        <v>1.3619238321818375E-6</v>
      </c>
      <c r="AB54" s="439">
        <f>INDEX('12 Flare Purge B'!$G:$G,MATCH(Scenarios!$A54,'12 Flare Purge B'!$A:$A,0))</f>
        <v>7.0820039273455552E-8</v>
      </c>
      <c r="AC54" s="126">
        <f t="shared" si="10"/>
        <v>3.6111616762397206E-6</v>
      </c>
      <c r="AD54" s="435">
        <f t="shared" si="10"/>
        <v>7.4944501787960783E-7</v>
      </c>
      <c r="AE54" s="462">
        <f t="shared" si="2"/>
        <v>9.2277466435599825E-6</v>
      </c>
      <c r="AF54" s="436">
        <f t="shared" si="2"/>
        <v>2.5350087174742352E-5</v>
      </c>
      <c r="AG54" s="126">
        <f t="shared" si="3"/>
        <v>8.7445597950749516E-5</v>
      </c>
      <c r="AH54" s="436">
        <f t="shared" si="3"/>
        <v>3.6794427590023255E-4</v>
      </c>
      <c r="AI54" s="126">
        <f t="shared" si="4"/>
        <v>1.4456041550487572E-4</v>
      </c>
      <c r="AJ54" s="435">
        <f t="shared" si="7"/>
        <v>3.7479805400672766E-4</v>
      </c>
      <c r="AK54" s="470">
        <f t="shared" si="5"/>
        <v>1.4456041550487572E-4</v>
      </c>
      <c r="AL54" s="471">
        <f t="shared" si="5"/>
        <v>3.7479805400672766E-4</v>
      </c>
      <c r="AM54" s="471">
        <f t="shared" si="8"/>
        <v>0.74959610801345533</v>
      </c>
      <c r="AN54" s="1" t="s">
        <v>370</v>
      </c>
    </row>
    <row r="55" spans="1:40">
      <c r="A55" s="398" t="s">
        <v>147</v>
      </c>
      <c r="B55" s="83" t="s">
        <v>140</v>
      </c>
      <c r="C55" s="322">
        <f>'13 Fugitives'!L40</f>
        <v>1.1268039468797571E-6</v>
      </c>
      <c r="D55" s="439">
        <f>'13 Fugitives'!L51</f>
        <v>4.9354012873333357E-6</v>
      </c>
      <c r="E55" s="322">
        <f>INDEX('3 Vapor'!E:E,MATCH($A55,'3 Vapor'!$A:$A,0))</f>
        <v>1.1896211309033581E-3</v>
      </c>
      <c r="F55" s="439">
        <f>INDEX('3 Vapor'!F:F,MATCH($A55,'3 Vapor'!$A:$A,0))</f>
        <v>1.4275453570840297E-4</v>
      </c>
      <c r="G55" s="322">
        <f>INDEX('9 Flare Hold'!$F:$F,MATCH(Scenarios!$A55,'9 Flare Hold'!$A:$A,0))</f>
        <v>5.1443909757487316E-7</v>
      </c>
      <c r="H55" s="439">
        <f>INDEX('9 Flare Hold'!$G:$G,MATCH(Scenarios!$A55,'9 Flare Hold'!$A:$A,0))</f>
        <v>2.2532432473779441E-6</v>
      </c>
      <c r="I55" s="126">
        <f>INDEX('5 Flare2'!$F:$F,MATCH(Scenarios!$A55,'5 Flare2'!$A:$A,0))</f>
        <v>1.4029730498643208E-6</v>
      </c>
      <c r="J55" s="436">
        <f>INDEX('5 Flare2'!$G:$G,MATCH(Scenarios!$A55,'5 Flare2'!$A:$A,0))</f>
        <v>6.1450219584057252E-6</v>
      </c>
      <c r="K55" s="126">
        <f t="shared" si="6"/>
        <v>1.4029730498643208E-6</v>
      </c>
      <c r="L55" s="436">
        <f t="shared" si="6"/>
        <v>6.1450219584057252E-6</v>
      </c>
      <c r="M55" s="126">
        <f>INDEX('4 Flare1'!$F:$F,MATCH(Scenarios!$A55,'4 Flare1'!$A:$A,0))</f>
        <v>5.7311143990777385E-6</v>
      </c>
      <c r="N55" s="436">
        <f>INDEX('4 Flare1'!$G:$G,MATCH(Scenarios!$A55,'4 Flare1'!$A:$A,0))</f>
        <v>2.5102281067960496E-5</v>
      </c>
      <c r="O55" s="126">
        <f>INDEX('6 Flare3'!$F:$F,MATCH(Scenarios!$A55,'6 Flare3'!$A:$A,0))</f>
        <v>1.9408810843723542E-5</v>
      </c>
      <c r="P55" s="436">
        <f>INDEX('6 Flare3'!$G:$G,MATCH(Scenarios!$A55,'6 Flare3'!$A:$A,0))</f>
        <v>8.5010591495509122E-5</v>
      </c>
      <c r="Q55" s="323">
        <f>INDEX('7 Flare4'!$F:$F,MATCH(Scenarios!$A55,'7 Flare4'!$A:$A,0))</f>
        <v>2.0078614303795935E-5</v>
      </c>
      <c r="R55" s="439">
        <f>INDEX('7 Flare4'!$G:$G,MATCH(Scenarios!$A55,'7 Flare4'!$A:$A,0))</f>
        <v>8.7944330650626193E-5</v>
      </c>
      <c r="S55" s="323">
        <f>INDEX('8 Flare5'!$F:$F,MATCH(Scenarios!$A55,'8 Flare5'!$A:$A,0))</f>
        <v>2.0941097736089578E-5</v>
      </c>
      <c r="T55" s="439">
        <f>INDEX('8 Flare5'!$G:$G,MATCH(Scenarios!$A55,'8 Flare5'!$A:$A,0))</f>
        <v>9.1722008084072352E-5</v>
      </c>
      <c r="U55" s="126">
        <f t="shared" si="0"/>
        <v>2.0941097736089578E-5</v>
      </c>
      <c r="V55" s="436">
        <f t="shared" si="0"/>
        <v>9.1722008084072352E-5</v>
      </c>
      <c r="W55" s="323">
        <f>INDEX('10 Flare Purge A1'!$F:$F,MATCH(Scenarios!$A55,'10 Flare Purge A1'!$A:$A,0))</f>
        <v>1.3854495769542279E-6</v>
      </c>
      <c r="X55" s="439">
        <f>INDEX('10 Flare Purge A1'!$G:$G,MATCH(Scenarios!$A55,'10 Flare Purge A1'!$A:$A,0))</f>
        <v>7.2043378001619845E-8</v>
      </c>
      <c r="Y55" s="323">
        <f>INDEX('11 Flare Purge A2'!$F:$F,MATCH(Scenarios!$A55,'11 Flare Purge A2'!$A:$A,0))</f>
        <v>1.1875282088179097E-6</v>
      </c>
      <c r="Z55" s="439">
        <f>INDEX('11 Flare Purge A2'!$G:$G,MATCH(Scenarios!$A55,'11 Flare Purge A2'!$A:$A,0))</f>
        <v>2.8753026756003637E-7</v>
      </c>
      <c r="AA55" s="323">
        <f>INDEX('12 Flare Purge B'!$F:$F,MATCH(Scenarios!$A55,'12 Flare Purge B'!$A:$A,0))</f>
        <v>5.2251241187988025E-7</v>
      </c>
      <c r="AB55" s="439">
        <f>INDEX('12 Flare Purge B'!$G:$G,MATCH(Scenarios!$A55,'12 Flare Purge B'!$A:$A,0))</f>
        <v>2.7170645417753773E-8</v>
      </c>
      <c r="AC55" s="126">
        <f t="shared" si="10"/>
        <v>1.3854495769542279E-6</v>
      </c>
      <c r="AD55" s="435">
        <f t="shared" si="10"/>
        <v>2.8753026756003637E-7</v>
      </c>
      <c r="AE55" s="462">
        <f t="shared" si="2"/>
        <v>2.7884226268185489E-6</v>
      </c>
      <c r="AF55" s="436">
        <f t="shared" si="2"/>
        <v>6.4325522259657614E-6</v>
      </c>
      <c r="AG55" s="126">
        <f t="shared" si="3"/>
        <v>2.2326547313043806E-5</v>
      </c>
      <c r="AH55" s="436">
        <f t="shared" si="3"/>
        <v>9.200953835163239E-5</v>
      </c>
      <c r="AI55" s="126">
        <f t="shared" si="4"/>
        <v>1.1915210195778871E-3</v>
      </c>
      <c r="AJ55" s="435">
        <f t="shared" si="7"/>
        <v>2.3231287502341357E-4</v>
      </c>
      <c r="AK55" s="470">
        <f t="shared" si="5"/>
        <v>1.1926478235247668E-3</v>
      </c>
      <c r="AL55" s="471">
        <f t="shared" si="5"/>
        <v>2.372482763107469E-4</v>
      </c>
      <c r="AM55" s="471">
        <f t="shared" si="8"/>
        <v>0.47449655262149382</v>
      </c>
      <c r="AN55" s="1" t="s">
        <v>370</v>
      </c>
    </row>
    <row r="56" spans="1:40">
      <c r="A56" s="398" t="s">
        <v>146</v>
      </c>
      <c r="B56" s="83" t="s">
        <v>141</v>
      </c>
      <c r="C56" s="322">
        <f>'13 Fugitives'!L41</f>
        <v>1.885625266076672E-7</v>
      </c>
      <c r="D56" s="439">
        <f>'13 Fugitives'!L52</f>
        <v>8.2590386654158233E-7</v>
      </c>
      <c r="E56" s="328">
        <v>0</v>
      </c>
      <c r="F56" s="438">
        <v>0</v>
      </c>
      <c r="G56" s="322">
        <f>INDEX('9 Flare Hold'!$F:$F,MATCH(Scenarios!$A56,'9 Flare Hold'!$A:$A,0))</f>
        <v>8.608767860025766E-8</v>
      </c>
      <c r="H56" s="439">
        <f>INDEX('9 Flare Hold'!$G:$G,MATCH(Scenarios!$A56,'9 Flare Hold'!$A:$A,0))</f>
        <v>3.7706403226912855E-7</v>
      </c>
      <c r="I56" s="126">
        <f>INDEX('5 Flare2'!$F:$F,MATCH(Scenarios!$A56,'5 Flare2'!$A:$A,0))</f>
        <v>2.3477743735052016E-7</v>
      </c>
      <c r="J56" s="436">
        <f>INDEX('5 Flare2'!$G:$G,MATCH(Scenarios!$A56,'5 Flare2'!$A:$A,0))</f>
        <v>1.0283251755952784E-6</v>
      </c>
      <c r="K56" s="126">
        <f t="shared" si="6"/>
        <v>2.3477743735052016E-7</v>
      </c>
      <c r="L56" s="436">
        <f t="shared" si="6"/>
        <v>1.0283251755952784E-6</v>
      </c>
      <c r="M56" s="126">
        <f>INDEX('4 Flare1'!$F:$F,MATCH(Scenarios!$A56,'4 Flare1'!$A:$A,0))</f>
        <v>9.5906072601199452E-7</v>
      </c>
      <c r="N56" s="436">
        <f>INDEX('4 Flare1'!$G:$G,MATCH(Scenarios!$A56,'4 Flare1'!$A:$A,0))</f>
        <v>4.2006859799325362E-6</v>
      </c>
      <c r="O56" s="126">
        <f>INDEX('6 Flare3'!$F:$F,MATCH(Scenarios!$A56,'6 Flare3'!$A:$A,0))</f>
        <v>3.2479247355115451E-6</v>
      </c>
      <c r="P56" s="436">
        <f>INDEX('6 Flare3'!$G:$G,MATCH(Scenarios!$A56,'6 Flare3'!$A:$A,0))</f>
        <v>1.4225910341540569E-5</v>
      </c>
      <c r="Q56" s="323">
        <f>INDEX('7 Flare4'!$F:$F,MATCH(Scenarios!$A56,'7 Flare4'!$A:$A,0))</f>
        <v>3.3600115214262966E-6</v>
      </c>
      <c r="R56" s="439">
        <f>INDEX('7 Flare4'!$G:$G,MATCH(Scenarios!$A56,'7 Flare4'!$A:$A,0))</f>
        <v>1.471685046384718E-5</v>
      </c>
      <c r="S56" s="323">
        <f>INDEX('8 Flare5'!$F:$F,MATCH(Scenarios!$A56,'8 Flare5'!$A:$A,0))</f>
        <v>3.5043419132401414E-6</v>
      </c>
      <c r="T56" s="439">
        <f>INDEX('8 Flare5'!$G:$G,MATCH(Scenarios!$A56,'8 Flare5'!$A:$A,0))</f>
        <v>1.5349017579991819E-5</v>
      </c>
      <c r="U56" s="126">
        <f t="shared" si="0"/>
        <v>3.5043419132401414E-6</v>
      </c>
      <c r="V56" s="436">
        <f t="shared" si="0"/>
        <v>1.5349017579991819E-5</v>
      </c>
      <c r="W56" s="323">
        <f>INDEX('10 Flare Purge A1'!$F:$F,MATCH(Scenarios!$A56,'10 Flare Purge A1'!$A:$A,0))</f>
        <v>1.3854495769542279E-6</v>
      </c>
      <c r="X56" s="439">
        <f>INDEX('10 Flare Purge A1'!$G:$G,MATCH(Scenarios!$A56,'10 Flare Purge A1'!$A:$A,0))</f>
        <v>7.2043378001619845E-8</v>
      </c>
      <c r="Y56" s="323">
        <f>INDEX('11 Flare Purge A2'!$F:$F,MATCH(Scenarios!$A56,'11 Flare Purge A2'!$A:$A,0))</f>
        <v>1.1875282088179097E-6</v>
      </c>
      <c r="Z56" s="439">
        <f>INDEX('11 Flare Purge A2'!$G:$G,MATCH(Scenarios!$A56,'11 Flare Purge A2'!$A:$A,0))</f>
        <v>2.8753026756003637E-7</v>
      </c>
      <c r="AA56" s="323">
        <f>INDEX('12 Flare Purge B'!$F:$F,MATCH(Scenarios!$A56,'12 Flare Purge B'!$A:$A,0))</f>
        <v>5.2251241187988025E-7</v>
      </c>
      <c r="AB56" s="439">
        <f>INDEX('12 Flare Purge B'!$G:$G,MATCH(Scenarios!$A56,'12 Flare Purge B'!$A:$A,0))</f>
        <v>2.7170645417753773E-8</v>
      </c>
      <c r="AC56" s="126">
        <f t="shared" si="10"/>
        <v>1.3854495769542279E-6</v>
      </c>
      <c r="AD56" s="435">
        <f t="shared" si="10"/>
        <v>2.8753026756003637E-7</v>
      </c>
      <c r="AE56" s="462">
        <f t="shared" si="2"/>
        <v>1.620227014304748E-6</v>
      </c>
      <c r="AF56" s="436">
        <f t="shared" si="2"/>
        <v>1.3158554431553147E-6</v>
      </c>
      <c r="AG56" s="126">
        <f t="shared" si="3"/>
        <v>4.8897914901943691E-6</v>
      </c>
      <c r="AH56" s="436">
        <f t="shared" si="3"/>
        <v>1.5636547847551857E-5</v>
      </c>
      <c r="AI56" s="126">
        <f t="shared" si="4"/>
        <v>1.4715372555544855E-6</v>
      </c>
      <c r="AJ56" s="435">
        <f t="shared" si="7"/>
        <v>1.5226357339395068E-5</v>
      </c>
      <c r="AK56" s="470">
        <f t="shared" si="5"/>
        <v>5.0783540168020364E-6</v>
      </c>
      <c r="AL56" s="471">
        <f t="shared" si="5"/>
        <v>1.646245171409344E-5</v>
      </c>
      <c r="AM56" s="471">
        <f t="shared" si="8"/>
        <v>3.292490342818688E-2</v>
      </c>
      <c r="AN56" s="1" t="s">
        <v>370</v>
      </c>
    </row>
    <row r="57" spans="1:40" ht="12.75" thickBot="1">
      <c r="A57" s="398" t="s">
        <v>301</v>
      </c>
      <c r="B57" s="513" t="s">
        <v>49</v>
      </c>
      <c r="C57" s="433">
        <f>'13 Fugitives'!L43</f>
        <v>1.3856548345693494E-2</v>
      </c>
      <c r="D57" s="440">
        <f>'13 Fugitives'!L54</f>
        <v>6.0691681754137514E-2</v>
      </c>
      <c r="E57" s="433">
        <f>INDEX('3 Vapor'!E:E,MATCH($A57,'3 Vapor'!$A:$A,0))</f>
        <v>0.11793723938934783</v>
      </c>
      <c r="F57" s="440">
        <f>INDEX('3 Vapor'!F:F,MATCH($A57,'3 Vapor'!$A:$A,0))</f>
        <v>1.4152468726721726E-2</v>
      </c>
      <c r="G57" s="433">
        <f>INDEX('9 Flare Hold'!$F:$F,MATCH(Scenarios!$A57,'9 Flare Hold'!$A:$A,0))</f>
        <v>1.699620768290072E-3</v>
      </c>
      <c r="H57" s="440">
        <f>INDEX('9 Flare Hold'!$G:$G,MATCH(Scenarios!$A57,'9 Flare Hold'!$A:$A,0))</f>
        <v>7.444338965110521E-3</v>
      </c>
      <c r="I57" s="441">
        <f>INDEX('5 Flare2'!$F:$F,MATCH(Scenarios!$A57,'5 Flare2'!$A:$A,0))</f>
        <v>4.6351883908932693E-3</v>
      </c>
      <c r="J57" s="442">
        <f>INDEX('5 Flare2'!$G:$G,MATCH(Scenarios!$A57,'5 Flare2'!$A:$A,0))</f>
        <v>2.0302125152112507E-2</v>
      </c>
      <c r="K57" s="441">
        <f t="shared" si="6"/>
        <v>4.6351883908932693E-3</v>
      </c>
      <c r="L57" s="442">
        <f t="shared" si="6"/>
        <v>2.0302125152112507E-2</v>
      </c>
      <c r="M57" s="441">
        <f>INDEX('4 Flare1'!$F:$F,MATCH(Scenarios!$A57,'4 Flare1'!$A:$A,0))</f>
        <v>1.8934643778122054E-2</v>
      </c>
      <c r="N57" s="442">
        <f>INDEX('4 Flare1'!$G:$G,MATCH(Scenarios!$A57,'4 Flare1'!$A:$A,0))</f>
        <v>8.2933739748174695E-2</v>
      </c>
      <c r="O57" s="441">
        <f>INDEX('6 Flare3'!$F:$F,MATCH(Scenarios!$A57,'6 Flare3'!$A:$A,0))</f>
        <v>6.4123466029921999E-2</v>
      </c>
      <c r="P57" s="442">
        <f>INDEX('6 Flare3'!$G:$G,MATCH(Scenarios!$A57,'6 Flare3'!$A:$A,0))</f>
        <v>0.28086078121105829</v>
      </c>
      <c r="Q57" s="443">
        <f>INDEX('7 Flare4'!$F:$F,MATCH(Scenarios!$A57,'7 Flare4'!$A:$A,0))</f>
        <v>6.6336384676226656E-2</v>
      </c>
      <c r="R57" s="440">
        <f>INDEX('7 Flare4'!$G:$G,MATCH(Scenarios!$A57,'7 Flare4'!$A:$A,0))</f>
        <v>0.290553364881873</v>
      </c>
      <c r="S57" s="443">
        <f>INDEX('8 Flare5'!$F:$F,MATCH(Scenarios!$A57,'8 Flare5'!$A:$A,0))</f>
        <v>6.9185885736202046E-2</v>
      </c>
      <c r="T57" s="440">
        <f>INDEX('8 Flare5'!$G:$G,MATCH(Scenarios!$A57,'8 Flare5'!$A:$A,0))</f>
        <v>0.30303417952456491</v>
      </c>
      <c r="U57" s="441">
        <f t="shared" si="0"/>
        <v>6.9185885736202046E-2</v>
      </c>
      <c r="V57" s="442">
        <f t="shared" si="0"/>
        <v>0.30303417952456491</v>
      </c>
      <c r="W57" s="443">
        <f>INDEX('10 Flare Purge A1'!$F:$F,MATCH(Scenarios!$A57,'10 Flare Purge A1'!$A:$A,0))</f>
        <v>4.5784473707491946E-3</v>
      </c>
      <c r="X57" s="440">
        <f>INDEX('10 Flare Purge A1'!$G:$G,MATCH(Scenarios!$A57,'10 Flare Purge A1'!$A:$A,0))</f>
        <v>2.3807926327896241E-4</v>
      </c>
      <c r="Y57" s="443">
        <f>INDEX('11 Flare Purge A2'!$F:$F,MATCH(Scenarios!$A57,'11 Flare Purge A2'!$A:$A,0))</f>
        <v>3.9243834606423889E-3</v>
      </c>
      <c r="Z57" s="440">
        <f>INDEX('11 Flare Purge A2'!$G:$G,MATCH(Scenarios!$A57,'11 Flare Purge A2'!$A:$A,0))</f>
        <v>9.5019134540800143E-4</v>
      </c>
      <c r="AA57" s="443">
        <f>INDEX('12 Flare Purge B'!$F:$F,MATCH(Scenarios!$A57,'12 Flare Purge B'!$A:$A,0))</f>
        <v>1.7267287226825356E-3</v>
      </c>
      <c r="AB57" s="440">
        <f>INDEX('12 Flare Purge B'!$G:$G,MATCH(Scenarios!$A57,'12 Flare Purge B'!$A:$A,0))</f>
        <v>8.9789893579494338E-5</v>
      </c>
      <c r="AC57" s="441">
        <f t="shared" si="10"/>
        <v>4.5784473707491946E-3</v>
      </c>
      <c r="AD57" s="451">
        <f t="shared" si="10"/>
        <v>9.5019134540800143E-4</v>
      </c>
      <c r="AE57" s="463">
        <f t="shared" si="2"/>
        <v>9.2136357616424639E-3</v>
      </c>
      <c r="AF57" s="464">
        <f t="shared" si="2"/>
        <v>2.1252316497520508E-2</v>
      </c>
      <c r="AG57" s="465">
        <f t="shared" si="3"/>
        <v>7.3764333106951241E-2</v>
      </c>
      <c r="AH57" s="464">
        <f t="shared" si="3"/>
        <v>0.30398437086997293</v>
      </c>
      <c r="AI57" s="465">
        <f t="shared" si="4"/>
        <v>0.12421530752838709</v>
      </c>
      <c r="AJ57" s="467">
        <f t="shared" si="7"/>
        <v>0.31003848780054516</v>
      </c>
      <c r="AK57" s="472">
        <f t="shared" si="5"/>
        <v>0.13807185587408058</v>
      </c>
      <c r="AL57" s="473">
        <f t="shared" si="5"/>
        <v>0.37073016955468269</v>
      </c>
      <c r="AM57" s="471">
        <f t="shared" si="8"/>
        <v>741.46033910936535</v>
      </c>
    </row>
    <row r="58" spans="1:40">
      <c r="A58" s="398"/>
      <c r="B58" s="558" t="s">
        <v>369</v>
      </c>
      <c r="N58" s="444"/>
      <c r="O58" s="444"/>
      <c r="X58" s="445"/>
      <c r="Y58" s="445"/>
      <c r="Z58" s="446"/>
      <c r="AA58" s="446"/>
      <c r="AB58" s="434"/>
      <c r="AC58" s="434"/>
      <c r="AD58" s="434"/>
      <c r="AE58" s="434"/>
      <c r="AF58" s="434"/>
      <c r="AG58" s="434"/>
      <c r="AH58" s="434"/>
      <c r="AI58" s="434"/>
      <c r="AJ58" s="434"/>
      <c r="AK58" s="551">
        <f t="shared" ref="AK58:AL58" si="11">SUM(AK11:AK28,AK32:AK33,AK37:AK39,AK41:AK44,AK47:AK48,AK51:AK56)</f>
        <v>1.8972451696983281</v>
      </c>
      <c r="AL58" s="551">
        <f t="shared" si="11"/>
        <v>1.0288480125735175</v>
      </c>
      <c r="AM58" s="323">
        <f>SUM(AM11:AM28,AM32:AM33,AM37:AM39,AM41:AM44,AM47:AM48,AM51:AM56)</f>
        <v>2057.6960251470359</v>
      </c>
    </row>
    <row r="59" spans="1:40">
      <c r="A59" s="398"/>
      <c r="B59" s="318"/>
      <c r="N59" s="444"/>
      <c r="O59" s="444"/>
      <c r="X59" s="445"/>
      <c r="Y59" s="445"/>
      <c r="Z59" s="446"/>
      <c r="AA59" s="446"/>
      <c r="AB59" s="434"/>
      <c r="AC59" s="434"/>
      <c r="AD59" s="434"/>
      <c r="AE59" s="434"/>
      <c r="AF59" s="434"/>
      <c r="AG59" s="434"/>
      <c r="AH59" s="434"/>
      <c r="AI59" s="434"/>
      <c r="AJ59" s="434"/>
      <c r="AK59" s="434"/>
      <c r="AL59" s="434"/>
      <c r="AM59" s="434"/>
    </row>
    <row r="60" spans="1:40">
      <c r="A60" s="398"/>
      <c r="B60" s="318"/>
      <c r="N60" s="444"/>
      <c r="O60" s="444"/>
      <c r="U60" s="445"/>
      <c r="V60" s="445"/>
      <c r="W60" s="446"/>
      <c r="X60" s="446"/>
      <c r="Y60" s="434"/>
      <c r="Z60" s="434"/>
      <c r="AA60" s="434"/>
      <c r="AB60" s="434"/>
      <c r="AC60" s="434"/>
      <c r="AD60" s="434"/>
      <c r="AE60" s="434"/>
      <c r="AF60" s="434"/>
      <c r="AG60" s="434"/>
      <c r="AH60" s="434"/>
      <c r="AI60" s="434"/>
      <c r="AJ60" s="434"/>
      <c r="AK60" s="434"/>
      <c r="AL60" s="434"/>
      <c r="AM60" s="434"/>
    </row>
    <row r="61" spans="1:40">
      <c r="A61" s="398"/>
      <c r="B61" s="318"/>
      <c r="D61" s="447"/>
      <c r="F61" s="447"/>
      <c r="G61" s="447"/>
      <c r="H61" s="447"/>
      <c r="I61" s="447"/>
      <c r="J61" s="447"/>
      <c r="K61" s="447"/>
      <c r="L61" s="447"/>
      <c r="M61" s="447"/>
      <c r="N61" s="444"/>
      <c r="O61" s="444"/>
      <c r="U61" s="445"/>
      <c r="V61" s="445"/>
      <c r="W61" s="446"/>
      <c r="X61" s="446"/>
      <c r="Y61" s="434"/>
      <c r="Z61" s="434"/>
      <c r="AA61" s="434"/>
      <c r="AB61" s="434"/>
      <c r="AC61" s="434"/>
      <c r="AD61" s="434"/>
      <c r="AE61" s="434"/>
      <c r="AF61" s="434"/>
      <c r="AG61" s="434"/>
      <c r="AH61" s="434"/>
      <c r="AI61" s="434"/>
      <c r="AJ61" s="434"/>
      <c r="AK61" s="434"/>
      <c r="AL61" s="434"/>
      <c r="AM61" s="434"/>
    </row>
    <row r="62" spans="1:40">
      <c r="A62" s="398"/>
      <c r="B62" s="318"/>
      <c r="D62" s="447"/>
      <c r="F62" s="447"/>
      <c r="G62" s="447"/>
      <c r="H62" s="447"/>
      <c r="I62" s="447"/>
      <c r="J62" s="447"/>
      <c r="K62" s="447"/>
      <c r="L62" s="447"/>
      <c r="M62" s="447"/>
      <c r="N62" s="444"/>
      <c r="O62" s="444"/>
      <c r="U62" s="445"/>
      <c r="V62" s="445"/>
      <c r="W62" s="446"/>
      <c r="X62" s="446"/>
      <c r="Y62" s="434"/>
      <c r="Z62" s="434"/>
      <c r="AA62" s="434"/>
      <c r="AB62" s="434"/>
      <c r="AC62" s="434"/>
      <c r="AD62" s="434"/>
      <c r="AE62" s="434"/>
      <c r="AF62" s="434"/>
      <c r="AG62" s="434"/>
      <c r="AH62" s="434"/>
      <c r="AI62" s="434"/>
      <c r="AJ62" s="434"/>
      <c r="AK62" s="434"/>
      <c r="AL62" s="434"/>
      <c r="AM62" s="434"/>
    </row>
    <row r="63" spans="1:40">
      <c r="A63" s="398"/>
      <c r="B63" s="318"/>
      <c r="H63" s="447"/>
      <c r="I63" s="447"/>
      <c r="J63" s="447"/>
      <c r="K63" s="447"/>
      <c r="L63" s="447"/>
      <c r="M63" s="447"/>
      <c r="N63" s="444"/>
      <c r="O63" s="444"/>
      <c r="U63" s="445"/>
      <c r="V63" s="445"/>
      <c r="W63" s="446"/>
      <c r="X63" s="446"/>
      <c r="Y63" s="434"/>
      <c r="Z63" s="434"/>
      <c r="AA63" s="434"/>
      <c r="AB63" s="434"/>
      <c r="AC63" s="434"/>
      <c r="AD63" s="434"/>
      <c r="AE63" s="434"/>
      <c r="AF63" s="434"/>
      <c r="AG63" s="434"/>
      <c r="AH63" s="434"/>
      <c r="AI63" s="434"/>
      <c r="AJ63" s="434"/>
      <c r="AK63" s="434"/>
      <c r="AL63" s="434"/>
      <c r="AM63" s="434"/>
    </row>
    <row r="64" spans="1:40">
      <c r="U64" s="445"/>
      <c r="V64" s="445"/>
      <c r="W64" s="446"/>
      <c r="X64" s="446"/>
      <c r="Y64" s="434"/>
      <c r="Z64" s="434"/>
      <c r="AA64" s="434"/>
      <c r="AB64" s="434"/>
      <c r="AC64" s="434"/>
      <c r="AD64" s="434"/>
      <c r="AE64" s="434"/>
      <c r="AF64" s="434"/>
      <c r="AG64" s="434"/>
      <c r="AH64" s="434"/>
      <c r="AI64" s="434"/>
      <c r="AJ64" s="434"/>
      <c r="AK64" s="434"/>
      <c r="AL64" s="434"/>
      <c r="AM64" s="434"/>
    </row>
    <row r="65" spans="1:39">
      <c r="U65" s="445"/>
      <c r="V65" s="445"/>
      <c r="W65" s="446"/>
      <c r="X65" s="446"/>
      <c r="Y65" s="434"/>
      <c r="Z65" s="434"/>
      <c r="AA65" s="434"/>
      <c r="AB65" s="434"/>
      <c r="AC65" s="434"/>
      <c r="AD65" s="434"/>
      <c r="AG65" s="434"/>
      <c r="AH65" s="434"/>
      <c r="AI65" s="434"/>
      <c r="AJ65" s="434"/>
      <c r="AK65" s="434"/>
      <c r="AL65" s="434"/>
      <c r="AM65" s="434"/>
    </row>
    <row r="66" spans="1:39">
      <c r="U66" s="445"/>
      <c r="V66" s="445"/>
      <c r="W66" s="446"/>
      <c r="X66" s="446"/>
      <c r="Y66" s="434"/>
      <c r="Z66" s="434"/>
      <c r="AA66" s="434"/>
      <c r="AB66" s="434"/>
      <c r="AC66" s="434"/>
      <c r="AD66" s="434"/>
      <c r="AG66" s="434"/>
      <c r="AH66" s="434"/>
      <c r="AI66" s="434"/>
      <c r="AJ66" s="434"/>
      <c r="AK66" s="434"/>
      <c r="AL66" s="434"/>
      <c r="AM66" s="434"/>
    </row>
    <row r="67" spans="1:39">
      <c r="U67" s="445"/>
      <c r="V67" s="445"/>
      <c r="W67" s="446"/>
      <c r="X67" s="446"/>
      <c r="Y67" s="434"/>
      <c r="Z67" s="434"/>
      <c r="AA67" s="434"/>
      <c r="AB67" s="434"/>
      <c r="AC67" s="434"/>
      <c r="AD67" s="434"/>
      <c r="AG67" s="434"/>
      <c r="AH67" s="434"/>
      <c r="AI67" s="434"/>
      <c r="AJ67" s="434"/>
      <c r="AK67" s="434"/>
      <c r="AL67" s="434"/>
      <c r="AM67" s="434"/>
    </row>
    <row r="68" spans="1:39">
      <c r="U68" s="445"/>
      <c r="V68" s="445"/>
      <c r="W68" s="446"/>
      <c r="X68" s="446"/>
      <c r="Y68" s="434"/>
      <c r="Z68" s="434"/>
      <c r="AA68" s="434"/>
      <c r="AB68" s="434"/>
      <c r="AC68" s="434"/>
      <c r="AD68" s="434"/>
      <c r="AG68" s="434"/>
      <c r="AH68" s="434"/>
      <c r="AI68" s="434"/>
      <c r="AJ68" s="434"/>
      <c r="AK68" s="434"/>
      <c r="AL68" s="434"/>
      <c r="AM68" s="434"/>
    </row>
    <row r="69" spans="1:39">
      <c r="U69" s="445"/>
      <c r="V69" s="445"/>
      <c r="W69" s="446"/>
      <c r="X69" s="446"/>
      <c r="Y69" s="434"/>
      <c r="Z69" s="434"/>
      <c r="AA69" s="434"/>
      <c r="AB69" s="434"/>
      <c r="AC69" s="434"/>
      <c r="AD69" s="434"/>
      <c r="AG69" s="434"/>
      <c r="AH69" s="434"/>
      <c r="AI69" s="434"/>
      <c r="AJ69" s="434"/>
      <c r="AK69" s="434"/>
      <c r="AL69" s="434"/>
      <c r="AM69" s="434"/>
    </row>
    <row r="70" spans="1:39">
      <c r="U70" s="445"/>
      <c r="V70" s="445"/>
      <c r="W70" s="446"/>
      <c r="X70" s="446"/>
      <c r="Y70" s="434"/>
      <c r="Z70" s="434"/>
      <c r="AA70" s="434"/>
      <c r="AB70" s="434"/>
      <c r="AC70" s="434"/>
      <c r="AD70" s="434"/>
      <c r="AG70" s="434"/>
      <c r="AH70" s="434"/>
      <c r="AI70" s="434"/>
      <c r="AJ70" s="434"/>
      <c r="AK70" s="434"/>
      <c r="AL70" s="434"/>
      <c r="AM70" s="434"/>
    </row>
    <row r="71" spans="1:39">
      <c r="R71" s="445"/>
      <c r="S71" s="445"/>
      <c r="T71" s="445"/>
      <c r="U71" s="445"/>
      <c r="V71" s="445"/>
      <c r="W71" s="446"/>
      <c r="X71" s="446"/>
      <c r="Y71" s="446"/>
      <c r="Z71" s="446"/>
      <c r="AA71" s="446"/>
      <c r="AB71" s="446"/>
      <c r="AC71" s="446"/>
      <c r="AD71" s="446"/>
      <c r="AG71" s="454"/>
      <c r="AH71" s="454"/>
      <c r="AI71" s="454"/>
      <c r="AJ71" s="454"/>
      <c r="AK71" s="454"/>
      <c r="AL71" s="454"/>
      <c r="AM71" s="454"/>
    </row>
    <row r="72" spans="1:39">
      <c r="R72" s="445"/>
      <c r="S72" s="445"/>
      <c r="T72" s="445"/>
      <c r="U72" s="445"/>
      <c r="V72" s="445"/>
      <c r="W72" s="446"/>
      <c r="X72" s="446"/>
      <c r="Y72" s="446"/>
      <c r="Z72" s="446"/>
      <c r="AA72" s="446"/>
      <c r="AB72" s="446"/>
      <c r="AC72" s="446"/>
      <c r="AD72" s="446"/>
      <c r="AG72" s="454"/>
      <c r="AH72" s="454"/>
      <c r="AI72" s="454"/>
      <c r="AJ72" s="454"/>
      <c r="AK72" s="454"/>
      <c r="AL72" s="454"/>
      <c r="AM72" s="454"/>
    </row>
    <row r="73" spans="1:39">
      <c r="R73" s="445"/>
      <c r="S73" s="445"/>
      <c r="T73" s="445"/>
      <c r="U73" s="445"/>
      <c r="V73" s="445"/>
      <c r="W73" s="446"/>
      <c r="X73" s="446"/>
      <c r="Y73" s="446"/>
      <c r="Z73" s="446"/>
      <c r="AA73" s="446"/>
      <c r="AB73" s="446"/>
      <c r="AC73" s="446"/>
      <c r="AD73" s="446"/>
      <c r="AG73" s="454"/>
      <c r="AH73" s="454"/>
      <c r="AI73" s="454"/>
      <c r="AJ73" s="454"/>
      <c r="AK73" s="454"/>
      <c r="AL73" s="454"/>
      <c r="AM73" s="454"/>
    </row>
    <row r="74" spans="1:39">
      <c r="R74" s="445"/>
      <c r="S74" s="445"/>
      <c r="T74" s="445"/>
      <c r="U74" s="445"/>
      <c r="V74" s="445"/>
      <c r="W74" s="446"/>
      <c r="X74" s="446"/>
      <c r="Y74" s="446"/>
      <c r="Z74" s="446"/>
      <c r="AA74" s="446"/>
      <c r="AB74" s="446"/>
      <c r="AC74" s="446"/>
      <c r="AD74" s="446"/>
      <c r="AG74" s="454"/>
      <c r="AH74" s="454"/>
      <c r="AI74" s="454"/>
      <c r="AJ74" s="454"/>
      <c r="AK74" s="454"/>
      <c r="AL74" s="454"/>
      <c r="AM74" s="454"/>
    </row>
    <row r="75" spans="1:39">
      <c r="R75" s="445"/>
      <c r="S75" s="445"/>
      <c r="T75" s="445"/>
      <c r="U75" s="445"/>
      <c r="V75" s="445"/>
      <c r="W75" s="446"/>
      <c r="X75" s="446"/>
      <c r="Y75" s="446"/>
      <c r="Z75" s="446"/>
      <c r="AA75" s="446"/>
      <c r="AB75" s="446"/>
      <c r="AC75" s="446"/>
      <c r="AD75" s="446"/>
      <c r="AG75" s="454"/>
      <c r="AH75" s="454"/>
      <c r="AI75" s="454"/>
      <c r="AJ75" s="454"/>
      <c r="AK75" s="454"/>
      <c r="AL75" s="454"/>
      <c r="AM75" s="454"/>
    </row>
    <row r="76" spans="1:39">
      <c r="R76" s="445"/>
      <c r="S76" s="445"/>
      <c r="T76" s="445"/>
      <c r="U76" s="445"/>
      <c r="V76" s="445"/>
      <c r="W76" s="446"/>
      <c r="X76" s="446"/>
      <c r="Y76" s="446"/>
      <c r="Z76" s="446"/>
      <c r="AA76" s="446"/>
      <c r="AB76" s="446"/>
      <c r="AC76" s="446"/>
      <c r="AD76" s="446"/>
      <c r="AG76" s="454"/>
      <c r="AH76" s="454"/>
      <c r="AI76" s="454"/>
      <c r="AJ76" s="454"/>
      <c r="AK76" s="454"/>
      <c r="AL76" s="454"/>
      <c r="AM76" s="454"/>
    </row>
    <row r="77" spans="1:39">
      <c r="A77" s="398"/>
      <c r="B77" s="318"/>
      <c r="E77" s="448"/>
      <c r="F77" s="449"/>
      <c r="N77" s="444"/>
      <c r="O77" s="444"/>
      <c r="Q77" s="445"/>
      <c r="R77" s="445"/>
      <c r="S77" s="445"/>
      <c r="T77" s="445"/>
      <c r="U77" s="445"/>
      <c r="V77" s="445"/>
      <c r="W77" s="446"/>
      <c r="X77" s="446"/>
      <c r="Y77" s="446"/>
      <c r="Z77" s="446"/>
      <c r="AA77" s="446"/>
      <c r="AB77" s="446"/>
      <c r="AC77" s="446"/>
      <c r="AD77" s="446"/>
      <c r="AG77" s="454"/>
      <c r="AH77" s="454"/>
      <c r="AI77" s="454"/>
      <c r="AJ77" s="454"/>
      <c r="AK77" s="454"/>
      <c r="AL77" s="454"/>
      <c r="AM77" s="454"/>
    </row>
    <row r="78" spans="1:39">
      <c r="A78" s="398"/>
      <c r="B78" s="318"/>
      <c r="E78" s="448"/>
      <c r="F78" s="449"/>
      <c r="N78" s="444"/>
      <c r="O78" s="444"/>
      <c r="Q78" s="445"/>
      <c r="R78" s="445"/>
      <c r="S78" s="445"/>
      <c r="T78" s="445"/>
      <c r="U78" s="445"/>
      <c r="V78" s="445"/>
      <c r="W78" s="446"/>
      <c r="X78" s="446"/>
      <c r="Y78" s="446"/>
      <c r="Z78" s="446"/>
      <c r="AA78" s="446"/>
      <c r="AB78" s="446"/>
      <c r="AC78" s="446"/>
      <c r="AD78" s="446"/>
      <c r="AG78" s="454"/>
      <c r="AH78" s="454"/>
      <c r="AI78" s="454"/>
      <c r="AJ78" s="454"/>
      <c r="AK78" s="454"/>
      <c r="AL78" s="454"/>
      <c r="AM78" s="454"/>
    </row>
    <row r="79" spans="1:39">
      <c r="A79" s="398"/>
      <c r="B79" s="318"/>
      <c r="E79" s="448"/>
      <c r="F79" s="449"/>
      <c r="N79" s="444"/>
      <c r="O79" s="444"/>
      <c r="T79" s="445"/>
      <c r="U79" s="445"/>
      <c r="V79" s="445"/>
      <c r="W79" s="445"/>
      <c r="X79" s="445"/>
      <c r="Y79" s="445"/>
      <c r="Z79" s="446"/>
      <c r="AA79" s="446"/>
      <c r="AB79" s="446"/>
      <c r="AC79" s="446"/>
      <c r="AD79" s="446"/>
      <c r="AE79" s="454"/>
      <c r="AF79" s="454"/>
      <c r="AG79" s="454"/>
      <c r="AJ79" s="454"/>
      <c r="AK79" s="454"/>
      <c r="AL79" s="454"/>
      <c r="AM79" s="454"/>
    </row>
    <row r="80" spans="1:39">
      <c r="A80" s="398"/>
      <c r="B80" s="318"/>
      <c r="E80" s="448"/>
      <c r="F80" s="449"/>
      <c r="N80" s="444"/>
      <c r="O80" s="444"/>
      <c r="T80" s="445"/>
      <c r="U80" s="445"/>
      <c r="V80" s="445"/>
      <c r="W80" s="445"/>
      <c r="X80" s="445"/>
      <c r="Y80" s="445"/>
      <c r="Z80" s="446"/>
      <c r="AA80" s="446"/>
      <c r="AB80" s="446"/>
      <c r="AC80" s="446"/>
      <c r="AD80" s="446"/>
      <c r="AE80" s="454"/>
      <c r="AF80" s="454"/>
      <c r="AG80" s="454"/>
      <c r="AJ80" s="454"/>
      <c r="AK80" s="454"/>
      <c r="AL80" s="454"/>
      <c r="AM80" s="454"/>
    </row>
    <row r="81" spans="1:39">
      <c r="A81" s="398"/>
      <c r="B81" s="318"/>
      <c r="E81" s="448"/>
      <c r="F81" s="449"/>
      <c r="N81" s="444"/>
      <c r="O81" s="444"/>
      <c r="T81" s="445"/>
      <c r="U81" s="445"/>
      <c r="V81" s="445"/>
      <c r="W81" s="445"/>
      <c r="X81" s="445"/>
      <c r="Y81" s="445"/>
      <c r="Z81" s="446"/>
      <c r="AA81" s="446"/>
      <c r="AB81" s="446"/>
      <c r="AC81" s="446"/>
      <c r="AD81" s="446"/>
      <c r="AE81" s="454"/>
      <c r="AF81" s="454"/>
      <c r="AG81" s="454"/>
      <c r="AJ81" s="454"/>
      <c r="AK81" s="454"/>
      <c r="AL81" s="454"/>
      <c r="AM81" s="454"/>
    </row>
    <row r="82" spans="1:39">
      <c r="A82" s="398"/>
      <c r="B82" s="318"/>
      <c r="E82" s="448"/>
      <c r="F82" s="449"/>
      <c r="N82" s="444"/>
      <c r="O82" s="444"/>
      <c r="T82" s="445"/>
      <c r="U82" s="445"/>
      <c r="V82" s="445"/>
      <c r="W82" s="445"/>
      <c r="X82" s="445"/>
      <c r="Y82" s="445"/>
      <c r="Z82" s="446"/>
      <c r="AA82" s="446"/>
      <c r="AB82" s="446"/>
      <c r="AC82" s="446"/>
      <c r="AD82" s="446"/>
      <c r="AE82" s="454"/>
      <c r="AF82" s="454"/>
      <c r="AG82" s="454"/>
      <c r="AJ82" s="454"/>
      <c r="AK82" s="454"/>
      <c r="AL82" s="454"/>
      <c r="AM82" s="454"/>
    </row>
    <row r="83" spans="1:39">
      <c r="A83" s="398"/>
      <c r="B83" s="318"/>
      <c r="N83" s="444"/>
      <c r="O83" s="444"/>
      <c r="T83" s="445"/>
      <c r="U83" s="445"/>
      <c r="V83" s="445"/>
      <c r="W83" s="445"/>
      <c r="X83" s="445"/>
      <c r="Y83" s="445"/>
      <c r="Z83" s="446"/>
      <c r="AA83" s="446"/>
      <c r="AB83" s="446"/>
      <c r="AC83" s="446"/>
      <c r="AD83" s="446"/>
      <c r="AE83" s="454"/>
      <c r="AF83" s="454"/>
      <c r="AG83" s="454"/>
      <c r="AJ83" s="454"/>
      <c r="AK83" s="454"/>
      <c r="AL83" s="454"/>
      <c r="AM83" s="454"/>
    </row>
  </sheetData>
  <mergeCells count="32">
    <mergeCell ref="AK3:AL4"/>
    <mergeCell ref="G4:H4"/>
    <mergeCell ref="I4:J4"/>
    <mergeCell ref="K4:L4"/>
    <mergeCell ref="M4:N4"/>
    <mergeCell ref="O4:P4"/>
    <mergeCell ref="Q4:R4"/>
    <mergeCell ref="S4:T4"/>
    <mergeCell ref="W4:X4"/>
    <mergeCell ref="AE3:AH3"/>
    <mergeCell ref="AI3:AJ3"/>
    <mergeCell ref="M3:V3"/>
    <mergeCell ref="W3:AD3"/>
    <mergeCell ref="Y4:Z4"/>
    <mergeCell ref="AA4:AB4"/>
    <mergeCell ref="AC4:AD4"/>
    <mergeCell ref="M2:N2"/>
    <mergeCell ref="O2:P2"/>
    <mergeCell ref="AC2:AD2"/>
    <mergeCell ref="Q2:R2"/>
    <mergeCell ref="S2:T2"/>
    <mergeCell ref="U2:V2"/>
    <mergeCell ref="W2:X2"/>
    <mergeCell ref="Y2:Z2"/>
    <mergeCell ref="AA2:AB2"/>
    <mergeCell ref="C2:D2"/>
    <mergeCell ref="E2:F2"/>
    <mergeCell ref="C3:D4"/>
    <mergeCell ref="E3:F4"/>
    <mergeCell ref="G3:L3"/>
    <mergeCell ref="G2:H2"/>
    <mergeCell ref="I2:J2"/>
  </mergeCells>
  <conditionalFormatting sqref="E23:H24 G22:H22 E57:H57 G55:H56 G25:H25 W6:AB24 E6:H21 E26:H54 W26:AB57 Q6:T57">
    <cfRule type="cellIs" dxfId="19" priority="21" operator="equal">
      <formula>$AF6</formula>
    </cfRule>
    <cfRule type="cellIs" dxfId="18" priority="22" operator="equal">
      <formula>$AE6</formula>
    </cfRule>
  </conditionalFormatting>
  <conditionalFormatting sqref="C6:D9 C17:D21 C23:D23 C54:D54 C11:D11 C15:D15 C26:D52">
    <cfRule type="cellIs" dxfId="17" priority="17" operator="equal">
      <formula>$AF6</formula>
    </cfRule>
    <cfRule type="cellIs" dxfId="16" priority="18" operator="equal">
      <formula>$AE6</formula>
    </cfRule>
  </conditionalFormatting>
  <conditionalFormatting sqref="E56:F56">
    <cfRule type="cellIs" dxfId="15" priority="15" operator="equal">
      <formula>$AF56</formula>
    </cfRule>
    <cfRule type="cellIs" dxfId="14" priority="16" operator="equal">
      <formula>$AE56</formula>
    </cfRule>
  </conditionalFormatting>
  <conditionalFormatting sqref="AC25:AD25">
    <cfRule type="cellIs" dxfId="13" priority="11" operator="equal">
      <formula>$AF25</formula>
    </cfRule>
    <cfRule type="cellIs" dxfId="12" priority="12" operator="equal">
      <formula>$AE25</formula>
    </cfRule>
  </conditionalFormatting>
  <conditionalFormatting sqref="W25:AB25">
    <cfRule type="cellIs" dxfId="11" priority="9" operator="equal">
      <formula>$AF25</formula>
    </cfRule>
    <cfRule type="cellIs" dxfId="10" priority="10" operator="equal">
      <formula>$AE25</formula>
    </cfRule>
  </conditionalFormatting>
  <conditionalFormatting sqref="V7 L7 J7 P7 N7 AD5:AD24 AD26:AD57 V10:V57 L10:L57 J10:J57 P10:P57 N10:N57">
    <cfRule type="cellIs" dxfId="9" priority="19" operator="greaterThan">
      <formula>#REF!</formula>
    </cfRule>
    <cfRule type="cellIs" dxfId="8" priority="20" operator="greaterThan">
      <formula>#REF!</formula>
    </cfRule>
  </conditionalFormatting>
  <conditionalFormatting sqref="E25:F25">
    <cfRule type="cellIs" dxfId="7" priority="13" operator="equal">
      <formula>$AF25</formula>
    </cfRule>
    <cfRule type="cellIs" dxfId="6" priority="14" operator="equal">
      <formula>$AE25</formula>
    </cfRule>
  </conditionalFormatting>
  <conditionalFormatting sqref="AL7 AJ7 AH7 AF7 AL10:AL57 AJ10:AJ57 AH10:AH57 AF10:AF57">
    <cfRule type="cellIs" dxfId="5" priority="7" operator="greaterThan">
      <formula>#REF!</formula>
    </cfRule>
    <cfRule type="cellIs" dxfId="4" priority="8" operator="greaterThan">
      <formula>#REF!</formula>
    </cfRule>
  </conditionalFormatting>
  <conditionalFormatting sqref="E22:F22">
    <cfRule type="cellIs" dxfId="3" priority="5" operator="equal">
      <formula>$AF22</formula>
    </cfRule>
    <cfRule type="cellIs" dxfId="2" priority="6" operator="equal">
      <formula>$AE22</formula>
    </cfRule>
  </conditionalFormatting>
  <conditionalFormatting sqref="E55:F55">
    <cfRule type="cellIs" dxfId="1" priority="3" operator="equal">
      <formula>$AF55</formula>
    </cfRule>
    <cfRule type="cellIs" dxfId="0" priority="4" operator="equal">
      <formula>$AE55</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sheetPr>
  <dimension ref="A1:AG25"/>
  <sheetViews>
    <sheetView zoomScale="85" zoomScaleNormal="85" zoomScaleSheetLayoutView="100" zoomScalePageLayoutView="85" workbookViewId="0">
      <selection activeCell="A31" sqref="A31"/>
    </sheetView>
  </sheetViews>
  <sheetFormatPr defaultColWidth="9.140625" defaultRowHeight="12"/>
  <cols>
    <col min="1" max="1" width="29.28515625" style="1" customWidth="1"/>
    <col min="2" max="2" width="9.28515625" style="1" customWidth="1"/>
    <col min="3" max="5" width="11.5703125" style="17" customWidth="1"/>
    <col min="6" max="6" width="11.5703125" style="1" customWidth="1"/>
    <col min="7" max="8" width="11.5703125" style="17" customWidth="1"/>
    <col min="9" max="11" width="9.28515625" style="17" customWidth="1"/>
    <col min="12" max="12" width="9.28515625" style="1" customWidth="1"/>
    <col min="13" max="13" width="1.5703125" style="17" bestFit="1" customWidth="1"/>
    <col min="14" max="15" width="9.28515625" style="17" bestFit="1" customWidth="1"/>
    <col min="16" max="20" width="9.140625" style="17"/>
    <col min="21" max="21" width="12" style="17" bestFit="1" customWidth="1"/>
    <col min="22" max="24" width="9.140625" style="17"/>
    <col min="25" max="16384" width="9.140625" style="63"/>
  </cols>
  <sheetData>
    <row r="1" spans="1:33">
      <c r="A1" s="159" t="s">
        <v>190</v>
      </c>
      <c r="B1" s="159"/>
      <c r="C1" s="160"/>
      <c r="D1" s="160"/>
      <c r="E1" s="160"/>
      <c r="F1" s="159"/>
      <c r="G1" s="160"/>
      <c r="H1" s="23"/>
      <c r="I1" s="23"/>
      <c r="J1" s="23"/>
      <c r="K1" s="23"/>
      <c r="L1" s="159"/>
    </row>
    <row r="2" spans="1:33">
      <c r="A2" s="1">
        <v>0.799393301232598</v>
      </c>
      <c r="H2" s="23"/>
      <c r="I2" s="23"/>
      <c r="J2" s="23"/>
      <c r="K2" s="23"/>
    </row>
    <row r="3" spans="1:33" s="17" customFormat="1">
      <c r="H3" s="296"/>
      <c r="I3" s="315"/>
      <c r="J3" s="315"/>
      <c r="K3" s="315"/>
      <c r="Y3" s="63"/>
      <c r="Z3" s="63"/>
      <c r="AA3" s="63"/>
      <c r="AB3" s="63"/>
      <c r="AC3" s="63"/>
      <c r="AD3" s="63"/>
      <c r="AE3" s="63"/>
      <c r="AF3" s="63"/>
      <c r="AG3" s="63"/>
    </row>
    <row r="4" spans="1:33" s="17" customFormat="1" ht="14.25" customHeight="1">
      <c r="A4" s="559" t="s">
        <v>118</v>
      </c>
      <c r="B4" s="559" t="s">
        <v>204</v>
      </c>
      <c r="C4" s="305" t="s">
        <v>203</v>
      </c>
      <c r="D4" s="306"/>
      <c r="E4" s="306"/>
      <c r="F4" s="306"/>
      <c r="G4" s="307"/>
      <c r="H4" s="308"/>
      <c r="I4" s="316"/>
      <c r="J4" s="316"/>
      <c r="K4" s="316"/>
      <c r="L4" s="559" t="s">
        <v>50</v>
      </c>
      <c r="M4" s="253" t="s">
        <v>110</v>
      </c>
      <c r="Y4" s="63"/>
      <c r="Z4" s="63"/>
      <c r="AA4" s="63"/>
      <c r="AB4" s="63"/>
      <c r="AC4" s="63"/>
      <c r="AD4" s="63"/>
      <c r="AE4" s="63"/>
      <c r="AF4" s="63"/>
      <c r="AG4" s="63"/>
    </row>
    <row r="5" spans="1:33" s="17" customFormat="1" ht="36.75" thickBot="1">
      <c r="A5" s="560"/>
      <c r="B5" s="560"/>
      <c r="C5" s="234" t="s">
        <v>253</v>
      </c>
      <c r="D5" s="234" t="s">
        <v>254</v>
      </c>
      <c r="E5" s="234" t="s">
        <v>255</v>
      </c>
      <c r="F5" s="234" t="s">
        <v>256</v>
      </c>
      <c r="G5" s="234" t="s">
        <v>257</v>
      </c>
      <c r="H5" s="234" t="s">
        <v>232</v>
      </c>
      <c r="I5" s="234" t="s">
        <v>268</v>
      </c>
      <c r="J5" s="234" t="s">
        <v>271</v>
      </c>
      <c r="K5" s="234" t="s">
        <v>269</v>
      </c>
      <c r="L5" s="560"/>
      <c r="M5" s="1"/>
      <c r="N5" s="1"/>
      <c r="O5" s="1"/>
      <c r="P5" s="1"/>
      <c r="Q5" s="1"/>
      <c r="R5" s="1"/>
      <c r="S5" s="1"/>
      <c r="T5" s="1"/>
      <c r="U5" s="1"/>
      <c r="V5" s="1"/>
      <c r="W5" s="1"/>
      <c r="X5" s="1"/>
      <c r="Y5" s="63"/>
      <c r="Z5" s="63"/>
      <c r="AA5" s="63"/>
      <c r="AB5" s="63"/>
      <c r="AC5" s="63"/>
      <c r="AD5" s="63"/>
      <c r="AE5" s="63"/>
      <c r="AF5" s="63"/>
      <c r="AG5" s="63"/>
    </row>
    <row r="6" spans="1:33" s="17" customFormat="1" ht="12.75" thickTop="1">
      <c r="A6" s="115"/>
      <c r="B6" s="115"/>
      <c r="C6" s="115"/>
      <c r="D6" s="115"/>
      <c r="E6" s="115"/>
      <c r="F6" s="115"/>
      <c r="G6" s="115"/>
      <c r="H6" s="291"/>
      <c r="I6" s="115"/>
      <c r="J6" s="115"/>
      <c r="K6" s="115"/>
      <c r="L6" s="115"/>
      <c r="M6" s="1"/>
      <c r="N6" s="1"/>
      <c r="O6" s="1"/>
      <c r="S6" s="1"/>
      <c r="T6" s="1"/>
      <c r="U6" s="1"/>
      <c r="V6" s="1"/>
      <c r="W6" s="1"/>
      <c r="X6" s="1"/>
      <c r="Y6" s="63"/>
      <c r="Z6" s="63"/>
      <c r="AA6" s="63"/>
      <c r="AB6" s="63"/>
      <c r="AC6" s="63"/>
      <c r="AD6" s="63"/>
      <c r="AE6" s="63"/>
      <c r="AF6" s="63"/>
      <c r="AG6" s="63"/>
    </row>
    <row r="7" spans="1:33" s="17" customFormat="1">
      <c r="A7" s="65" t="s">
        <v>120</v>
      </c>
      <c r="B7" s="80">
        <v>1092.953013546987</v>
      </c>
      <c r="C7" s="80">
        <v>346.23717985554839</v>
      </c>
      <c r="D7" s="80">
        <v>466.33610909845947</v>
      </c>
      <c r="E7" s="80">
        <v>1644.1750560155813</v>
      </c>
      <c r="F7" s="80">
        <v>864.47497351433378</v>
      </c>
      <c r="G7" s="80">
        <v>1824.5610612756359</v>
      </c>
      <c r="H7" s="80">
        <v>1143.7958220361359</v>
      </c>
      <c r="I7" s="80">
        <v>506</v>
      </c>
      <c r="J7" s="80">
        <v>506</v>
      </c>
      <c r="K7" s="80">
        <v>222.64</v>
      </c>
      <c r="L7" s="80">
        <v>138000</v>
      </c>
      <c r="M7" s="1"/>
      <c r="N7" s="1"/>
      <c r="O7" s="1"/>
      <c r="S7" s="1"/>
      <c r="T7" s="1"/>
      <c r="U7" s="1"/>
      <c r="V7" s="1"/>
      <c r="W7" s="1"/>
      <c r="X7" s="1"/>
      <c r="Y7" s="63"/>
      <c r="Z7" s="63"/>
      <c r="AA7" s="63"/>
      <c r="AB7" s="63"/>
      <c r="AC7" s="63"/>
      <c r="AD7" s="63"/>
      <c r="AE7" s="63"/>
      <c r="AF7" s="63"/>
      <c r="AG7" s="63"/>
    </row>
    <row r="8" spans="1:33" s="17" customFormat="1">
      <c r="A8" s="70" t="s">
        <v>123</v>
      </c>
      <c r="B8" s="116">
        <v>4.6091924175538819E-2</v>
      </c>
      <c r="C8" s="116">
        <v>0.10126895175657308</v>
      </c>
      <c r="D8" s="116">
        <v>9.117505691797996E-2</v>
      </c>
      <c r="E8" s="116">
        <v>8.787460055544935E-2</v>
      </c>
      <c r="F8" s="116">
        <v>9.7307698556057434E-2</v>
      </c>
      <c r="G8" s="116">
        <v>8.6622386649299124E-2</v>
      </c>
      <c r="H8" s="116">
        <v>4.9390038631467341E-2</v>
      </c>
      <c r="I8" s="116">
        <v>5.8439999999999999E-2</v>
      </c>
      <c r="J8" s="116">
        <v>5.8560000000000001E-2</v>
      </c>
      <c r="K8" s="116">
        <v>6.744E-2</v>
      </c>
      <c r="L8" s="116"/>
      <c r="M8" s="1"/>
      <c r="N8" s="1"/>
      <c r="O8" s="1"/>
      <c r="S8" s="1"/>
      <c r="T8" s="1"/>
      <c r="U8" s="1"/>
      <c r="V8" s="1"/>
      <c r="W8" s="1"/>
      <c r="X8" s="1"/>
      <c r="Y8" s="63"/>
      <c r="Z8" s="63"/>
      <c r="AA8" s="63"/>
      <c r="AB8" s="63"/>
      <c r="AC8" s="63"/>
      <c r="AD8" s="63"/>
      <c r="AE8" s="63"/>
      <c r="AF8" s="63"/>
      <c r="AG8" s="63"/>
    </row>
    <row r="9" spans="1:33" s="17" customFormat="1" ht="14.25">
      <c r="A9" s="70" t="s">
        <v>281</v>
      </c>
      <c r="B9" s="389">
        <v>24.795171026156947</v>
      </c>
      <c r="C9" s="80">
        <v>336.87458824993291</v>
      </c>
      <c r="D9" s="80">
        <v>911.72258587687475</v>
      </c>
      <c r="E9" s="80">
        <v>523.91654973154107</v>
      </c>
      <c r="F9" s="80">
        <v>249.93794879712377</v>
      </c>
      <c r="G9" s="80">
        <v>587.2286661244068</v>
      </c>
      <c r="H9" s="80">
        <v>16.770121337302225</v>
      </c>
      <c r="I9" s="80">
        <v>0</v>
      </c>
      <c r="J9" s="80">
        <v>0</v>
      </c>
      <c r="K9" s="80">
        <v>0</v>
      </c>
      <c r="L9" s="389">
        <v>15</v>
      </c>
      <c r="M9" s="145"/>
      <c r="N9" s="1"/>
      <c r="O9" s="1"/>
      <c r="S9" s="1"/>
      <c r="T9" s="1"/>
      <c r="U9" s="1"/>
      <c r="V9" s="1"/>
      <c r="W9" s="1"/>
      <c r="X9" s="1"/>
      <c r="Y9" s="63"/>
      <c r="Z9" s="63"/>
      <c r="AA9" s="63"/>
      <c r="AB9" s="63"/>
      <c r="AC9" s="63"/>
      <c r="AD9" s="63"/>
      <c r="AE9" s="63"/>
      <c r="AF9" s="63"/>
      <c r="AG9" s="63"/>
    </row>
    <row r="10" spans="1:33" s="17" customFormat="1">
      <c r="A10" s="70" t="s">
        <v>172</v>
      </c>
      <c r="B10" s="117" t="s">
        <v>176</v>
      </c>
      <c r="C10" s="376">
        <v>9.5983657774938627E-2</v>
      </c>
      <c r="D10" s="377">
        <v>0.14373965861351329</v>
      </c>
      <c r="E10" s="377">
        <v>0.50587162903882654</v>
      </c>
      <c r="F10" s="377">
        <v>0.24189374112487722</v>
      </c>
      <c r="G10" s="377">
        <v>0.57573269935898719</v>
      </c>
      <c r="H10" s="377">
        <v>0.17223700359430283</v>
      </c>
      <c r="I10" s="325">
        <v>1.0156311215023474E-3</v>
      </c>
      <c r="J10" s="325">
        <v>1.0156311215023474E-3</v>
      </c>
      <c r="K10" s="325">
        <v>1.0156311215023474E-3</v>
      </c>
      <c r="L10" s="117"/>
      <c r="M10" s="145"/>
      <c r="N10" s="1"/>
      <c r="O10" s="1"/>
      <c r="S10" s="1"/>
      <c r="T10" s="1"/>
      <c r="U10" s="1"/>
      <c r="V10" s="1"/>
      <c r="W10" s="1"/>
      <c r="X10" s="1"/>
      <c r="Y10" s="63"/>
      <c r="Z10" s="63"/>
      <c r="AA10" s="63"/>
      <c r="AB10" s="63"/>
      <c r="AC10" s="63"/>
      <c r="AD10" s="63"/>
      <c r="AE10" s="63"/>
      <c r="AF10" s="63"/>
      <c r="AG10" s="63"/>
    </row>
    <row r="11" spans="1:33" s="17" customFormat="1" ht="14.25">
      <c r="A11" s="144" t="s">
        <v>205</v>
      </c>
      <c r="B11" s="143">
        <v>2980</v>
      </c>
      <c r="C11" s="143">
        <f t="shared" ref="C11:E15" si="0">$B11</f>
        <v>2980</v>
      </c>
      <c r="D11" s="143">
        <f t="shared" si="0"/>
        <v>2980</v>
      </c>
      <c r="E11" s="143">
        <f t="shared" si="0"/>
        <v>2980</v>
      </c>
      <c r="F11" s="143">
        <f>$B11</f>
        <v>2980</v>
      </c>
      <c r="G11" s="143">
        <f>$B11</f>
        <v>2980</v>
      </c>
      <c r="H11" s="143">
        <f t="shared" ref="H11:K11" si="1">$B11</f>
        <v>2980</v>
      </c>
      <c r="I11" s="143">
        <f t="shared" si="1"/>
        <v>2980</v>
      </c>
      <c r="J11" s="143">
        <f t="shared" si="1"/>
        <v>2980</v>
      </c>
      <c r="K11" s="143">
        <f t="shared" si="1"/>
        <v>2980</v>
      </c>
      <c r="L11" s="143"/>
      <c r="M11" s="1"/>
      <c r="N11" s="1"/>
      <c r="O11" s="1"/>
      <c r="S11" s="1"/>
      <c r="T11" s="1"/>
      <c r="U11" s="1"/>
      <c r="V11" s="1"/>
      <c r="W11" s="1"/>
      <c r="X11" s="1"/>
      <c r="Y11" s="63"/>
      <c r="Z11" s="63"/>
      <c r="AA11" s="63"/>
      <c r="AB11" s="63"/>
      <c r="AC11" s="63"/>
      <c r="AD11" s="63"/>
      <c r="AE11" s="63"/>
      <c r="AF11" s="63"/>
      <c r="AG11" s="63"/>
    </row>
    <row r="12" spans="1:33" s="17" customFormat="1" ht="14.25">
      <c r="A12" s="144" t="s">
        <v>206</v>
      </c>
      <c r="B12" s="143">
        <v>144</v>
      </c>
      <c r="C12" s="143">
        <f t="shared" si="0"/>
        <v>144</v>
      </c>
      <c r="D12" s="143">
        <f t="shared" si="0"/>
        <v>144</v>
      </c>
      <c r="E12" s="143">
        <f t="shared" si="0"/>
        <v>144</v>
      </c>
      <c r="F12" s="143">
        <f t="shared" ref="F12:K15" si="2">$B12</f>
        <v>144</v>
      </c>
      <c r="G12" s="143">
        <f t="shared" si="2"/>
        <v>144</v>
      </c>
      <c r="H12" s="143">
        <f t="shared" si="2"/>
        <v>144</v>
      </c>
      <c r="I12" s="143">
        <f t="shared" si="2"/>
        <v>144</v>
      </c>
      <c r="J12" s="143">
        <f t="shared" si="2"/>
        <v>144</v>
      </c>
      <c r="K12" s="143">
        <f t="shared" si="2"/>
        <v>144</v>
      </c>
      <c r="L12" s="143"/>
      <c r="M12" s="1"/>
      <c r="N12" s="1"/>
      <c r="O12" s="1"/>
      <c r="S12" s="1"/>
      <c r="T12" s="1"/>
      <c r="U12" s="1"/>
      <c r="V12" s="1"/>
      <c r="W12" s="1"/>
      <c r="X12" s="1"/>
      <c r="Y12" s="63"/>
      <c r="Z12" s="63"/>
      <c r="AA12" s="63"/>
      <c r="AB12" s="63"/>
      <c r="AC12" s="63"/>
      <c r="AD12" s="63"/>
      <c r="AE12" s="63"/>
      <c r="AF12" s="63"/>
      <c r="AG12" s="63"/>
    </row>
    <row r="13" spans="1:33" s="17" customFormat="1" ht="14.25">
      <c r="A13" s="144" t="s">
        <v>207</v>
      </c>
      <c r="B13" s="143">
        <v>986</v>
      </c>
      <c r="C13" s="143">
        <f t="shared" si="0"/>
        <v>986</v>
      </c>
      <c r="D13" s="143">
        <f t="shared" si="0"/>
        <v>986</v>
      </c>
      <c r="E13" s="143">
        <f t="shared" si="0"/>
        <v>986</v>
      </c>
      <c r="F13" s="143">
        <f t="shared" si="2"/>
        <v>986</v>
      </c>
      <c r="G13" s="143">
        <f t="shared" si="2"/>
        <v>986</v>
      </c>
      <c r="H13" s="143">
        <f t="shared" si="2"/>
        <v>986</v>
      </c>
      <c r="I13" s="143">
        <f t="shared" si="2"/>
        <v>986</v>
      </c>
      <c r="J13" s="143">
        <f t="shared" si="2"/>
        <v>986</v>
      </c>
      <c r="K13" s="143">
        <f t="shared" si="2"/>
        <v>986</v>
      </c>
      <c r="L13" s="143"/>
      <c r="M13" s="1"/>
      <c r="N13" s="1"/>
      <c r="O13" s="1"/>
      <c r="S13" s="1"/>
      <c r="T13" s="1"/>
      <c r="U13" s="1"/>
      <c r="V13" s="1"/>
      <c r="W13" s="1"/>
      <c r="X13" s="1"/>
      <c r="Y13" s="63"/>
      <c r="Z13" s="63"/>
      <c r="AA13" s="63"/>
      <c r="AB13" s="63"/>
      <c r="AC13" s="63"/>
      <c r="AD13" s="63"/>
      <c r="AE13" s="63"/>
      <c r="AF13" s="63"/>
      <c r="AG13" s="63"/>
    </row>
    <row r="14" spans="1:33" s="17" customFormat="1" ht="14.25">
      <c r="A14" s="144" t="s">
        <v>208</v>
      </c>
      <c r="B14" s="143">
        <v>165</v>
      </c>
      <c r="C14" s="143">
        <f t="shared" si="0"/>
        <v>165</v>
      </c>
      <c r="D14" s="143">
        <f t="shared" si="0"/>
        <v>165</v>
      </c>
      <c r="E14" s="143">
        <f t="shared" si="0"/>
        <v>165</v>
      </c>
      <c r="F14" s="143">
        <f t="shared" si="2"/>
        <v>165</v>
      </c>
      <c r="G14" s="143">
        <f t="shared" si="2"/>
        <v>165</v>
      </c>
      <c r="H14" s="143">
        <f t="shared" si="2"/>
        <v>165</v>
      </c>
      <c r="I14" s="143">
        <f t="shared" si="2"/>
        <v>165</v>
      </c>
      <c r="J14" s="143">
        <f t="shared" si="2"/>
        <v>165</v>
      </c>
      <c r="K14" s="143">
        <f t="shared" si="2"/>
        <v>165</v>
      </c>
      <c r="L14" s="143"/>
      <c r="M14" s="1"/>
      <c r="N14" s="1"/>
      <c r="O14" s="1"/>
      <c r="S14" s="1"/>
      <c r="T14" s="1"/>
      <c r="U14" s="1"/>
      <c r="V14" s="1"/>
      <c r="W14" s="1"/>
      <c r="X14" s="1"/>
      <c r="Y14" s="63"/>
      <c r="Z14" s="63"/>
      <c r="AA14" s="63"/>
      <c r="AB14" s="63"/>
      <c r="AC14" s="63"/>
      <c r="AD14" s="63"/>
      <c r="AE14" s="63"/>
      <c r="AF14" s="63"/>
      <c r="AG14" s="63"/>
    </row>
    <row r="15" spans="1:33" s="17" customFormat="1" ht="14.25">
      <c r="A15" s="144" t="s">
        <v>209</v>
      </c>
      <c r="B15" s="143">
        <v>2570</v>
      </c>
      <c r="C15" s="143">
        <f t="shared" si="0"/>
        <v>2570</v>
      </c>
      <c r="D15" s="143">
        <f t="shared" si="0"/>
        <v>2570</v>
      </c>
      <c r="E15" s="143">
        <f t="shared" si="0"/>
        <v>2570</v>
      </c>
      <c r="F15" s="143">
        <f t="shared" si="2"/>
        <v>2570</v>
      </c>
      <c r="G15" s="143">
        <f t="shared" si="2"/>
        <v>2570</v>
      </c>
      <c r="H15" s="143">
        <f t="shared" si="2"/>
        <v>2570</v>
      </c>
      <c r="I15" s="143">
        <f t="shared" si="2"/>
        <v>2570</v>
      </c>
      <c r="J15" s="143">
        <f t="shared" si="2"/>
        <v>2570</v>
      </c>
      <c r="K15" s="143">
        <f t="shared" si="2"/>
        <v>2570</v>
      </c>
      <c r="L15" s="143"/>
      <c r="M15" s="1"/>
      <c r="N15" s="1"/>
      <c r="O15" s="1"/>
      <c r="S15" s="1"/>
      <c r="T15" s="1"/>
      <c r="U15" s="1"/>
      <c r="V15" s="1"/>
      <c r="W15" s="1"/>
      <c r="X15" s="1"/>
      <c r="Y15" s="63"/>
      <c r="Z15" s="63"/>
      <c r="AA15" s="63"/>
      <c r="AB15" s="63"/>
      <c r="AC15" s="63"/>
      <c r="AD15" s="63"/>
      <c r="AE15" s="63"/>
      <c r="AF15" s="63"/>
      <c r="AG15" s="63"/>
    </row>
    <row r="16" spans="1:33" s="17" customFormat="1">
      <c r="A16" s="118"/>
      <c r="B16" s="77"/>
      <c r="C16" s="77"/>
      <c r="D16" s="77"/>
      <c r="E16" s="77"/>
      <c r="F16" s="77"/>
      <c r="G16" s="77"/>
      <c r="H16" s="292"/>
      <c r="I16" s="292"/>
      <c r="J16" s="292"/>
      <c r="K16" s="292"/>
      <c r="L16" s="77"/>
      <c r="M16" s="1"/>
      <c r="N16" s="1"/>
      <c r="O16" s="1"/>
      <c r="S16" s="1"/>
      <c r="T16" s="1"/>
      <c r="U16" s="1"/>
      <c r="V16" s="1"/>
      <c r="W16" s="1"/>
      <c r="X16" s="1"/>
      <c r="Y16" s="63"/>
      <c r="Z16" s="63"/>
      <c r="AA16" s="63"/>
      <c r="AB16" s="63"/>
      <c r="AC16" s="63"/>
      <c r="AD16" s="63"/>
      <c r="AE16" s="63"/>
      <c r="AF16" s="63"/>
      <c r="AG16" s="63"/>
    </row>
    <row r="17" spans="1:33" s="165" customFormat="1" ht="6">
      <c r="A17" s="225"/>
      <c r="B17" s="225"/>
      <c r="F17" s="225"/>
      <c r="L17" s="225"/>
      <c r="M17" s="225"/>
      <c r="N17" s="225"/>
      <c r="O17" s="225"/>
      <c r="S17" s="225"/>
      <c r="T17" s="225"/>
      <c r="U17" s="225"/>
      <c r="V17" s="225"/>
      <c r="W17" s="225"/>
      <c r="X17" s="225"/>
      <c r="Y17" s="166"/>
      <c r="Z17" s="166"/>
      <c r="AA17" s="166"/>
      <c r="AB17" s="166"/>
      <c r="AC17" s="166"/>
      <c r="AD17" s="166"/>
      <c r="AE17" s="166"/>
      <c r="AF17" s="166"/>
      <c r="AG17" s="166"/>
    </row>
    <row r="18" spans="1:33" s="17" customFormat="1">
      <c r="A18" s="46" t="s">
        <v>32</v>
      </c>
      <c r="B18" s="1"/>
      <c r="F18" s="1"/>
      <c r="L18" s="1"/>
      <c r="M18" s="1"/>
      <c r="N18" s="1"/>
      <c r="O18" s="1"/>
      <c r="S18" s="1"/>
      <c r="T18" s="1"/>
      <c r="U18" s="1"/>
      <c r="V18" s="1"/>
      <c r="W18" s="1"/>
      <c r="X18" s="1"/>
      <c r="Y18" s="63"/>
      <c r="Z18" s="63"/>
      <c r="AA18" s="63"/>
      <c r="AB18" s="63"/>
      <c r="AC18" s="63"/>
      <c r="AD18" s="63"/>
      <c r="AE18" s="63"/>
      <c r="AF18" s="63"/>
      <c r="AG18" s="63"/>
    </row>
    <row r="19" spans="1:33" s="17" customFormat="1" ht="14.25">
      <c r="A19" s="561" t="s">
        <v>201</v>
      </c>
      <c r="B19" s="561"/>
      <c r="C19" s="561"/>
      <c r="D19" s="561"/>
      <c r="E19" s="561"/>
      <c r="F19" s="561"/>
      <c r="G19" s="561"/>
      <c r="L19" s="1"/>
      <c r="M19" s="253" t="s">
        <v>110</v>
      </c>
      <c r="N19" s="1"/>
      <c r="O19" s="1"/>
      <c r="S19" s="1"/>
      <c r="T19" s="1"/>
      <c r="U19" s="1"/>
      <c r="V19" s="1"/>
      <c r="W19" s="1"/>
      <c r="X19" s="1"/>
      <c r="Y19" s="63"/>
      <c r="Z19" s="63"/>
      <c r="AA19" s="63"/>
      <c r="AB19" s="63"/>
      <c r="AC19" s="63"/>
      <c r="AD19" s="63"/>
      <c r="AE19" s="63"/>
      <c r="AF19" s="63"/>
      <c r="AG19" s="63"/>
    </row>
    <row r="20" spans="1:33" s="17" customFormat="1" ht="14.25">
      <c r="A20" s="563" t="s">
        <v>282</v>
      </c>
      <c r="B20" s="563"/>
      <c r="C20" s="563"/>
      <c r="D20" s="563"/>
      <c r="E20" s="563"/>
      <c r="F20" s="563"/>
      <c r="G20" s="563"/>
      <c r="H20" s="563"/>
      <c r="I20" s="563"/>
      <c r="J20" s="563"/>
      <c r="K20" s="563"/>
      <c r="L20" s="1"/>
      <c r="M20" s="253" t="s">
        <v>110</v>
      </c>
      <c r="N20" s="138"/>
      <c r="O20" s="1"/>
      <c r="S20" s="1"/>
      <c r="T20" s="1"/>
      <c r="U20" s="1"/>
      <c r="V20" s="1"/>
      <c r="W20" s="1"/>
      <c r="X20" s="1"/>
      <c r="Y20" s="63"/>
      <c r="Z20" s="63"/>
      <c r="AA20" s="63"/>
      <c r="AB20" s="63"/>
      <c r="AC20" s="63"/>
      <c r="AD20" s="63"/>
      <c r="AE20" s="63"/>
      <c r="AF20" s="63"/>
      <c r="AG20" s="63"/>
    </row>
    <row r="21" spans="1:33" s="17" customFormat="1" ht="14.25">
      <c r="A21" s="563"/>
      <c r="B21" s="563"/>
      <c r="C21" s="563"/>
      <c r="D21" s="563"/>
      <c r="E21" s="563"/>
      <c r="F21" s="563"/>
      <c r="G21" s="563"/>
      <c r="H21" s="563"/>
      <c r="I21" s="563"/>
      <c r="J21" s="563"/>
      <c r="K21" s="563"/>
      <c r="L21" s="1"/>
      <c r="M21" s="253"/>
      <c r="N21" s="1"/>
      <c r="O21" s="1"/>
      <c r="S21" s="1"/>
      <c r="T21" s="1"/>
      <c r="U21" s="1"/>
      <c r="V21" s="1"/>
      <c r="W21" s="1"/>
      <c r="X21" s="1"/>
      <c r="Y21" s="63"/>
      <c r="Z21" s="63"/>
      <c r="AA21" s="63"/>
      <c r="AB21" s="63"/>
      <c r="AC21" s="63"/>
      <c r="AD21" s="63"/>
      <c r="AE21" s="63"/>
      <c r="AF21" s="63"/>
      <c r="AG21" s="63"/>
    </row>
    <row r="22" spans="1:33" s="17" customFormat="1" ht="14.25">
      <c r="A22" s="562" t="s">
        <v>231</v>
      </c>
      <c r="B22" s="562"/>
      <c r="C22" s="562"/>
      <c r="D22" s="562"/>
      <c r="E22" s="562"/>
      <c r="F22" s="562"/>
      <c r="G22" s="562"/>
      <c r="H22" s="562"/>
      <c r="I22" s="562"/>
      <c r="J22" s="562"/>
      <c r="K22" s="562"/>
      <c r="L22" s="1"/>
      <c r="M22" s="253" t="s">
        <v>110</v>
      </c>
      <c r="N22" s="60"/>
      <c r="O22" s="60"/>
      <c r="S22" s="1"/>
      <c r="T22" s="1"/>
      <c r="U22" s="1"/>
      <c r="V22" s="1"/>
      <c r="W22" s="1"/>
      <c r="X22" s="1"/>
      <c r="Y22" s="63"/>
      <c r="Z22" s="63"/>
      <c r="AA22" s="63"/>
      <c r="AB22" s="63"/>
      <c r="AC22" s="63"/>
      <c r="AD22" s="63"/>
      <c r="AE22" s="63"/>
      <c r="AF22" s="63"/>
      <c r="AG22" s="63"/>
    </row>
    <row r="23" spans="1:33" s="17" customFormat="1">
      <c r="A23" s="562"/>
      <c r="B23" s="562"/>
      <c r="C23" s="562"/>
      <c r="D23" s="562"/>
      <c r="E23" s="562"/>
      <c r="F23" s="562"/>
      <c r="G23" s="562"/>
      <c r="H23" s="562"/>
      <c r="I23" s="562"/>
      <c r="J23" s="562"/>
      <c r="K23" s="562"/>
      <c r="L23" s="1"/>
      <c r="M23" s="60"/>
      <c r="N23" s="60"/>
      <c r="O23" s="60"/>
      <c r="S23" s="1"/>
      <c r="T23" s="1"/>
      <c r="U23" s="1"/>
      <c r="V23" s="1"/>
      <c r="W23" s="1"/>
      <c r="X23" s="1"/>
      <c r="Y23" s="63"/>
      <c r="Z23" s="63"/>
      <c r="AA23" s="63"/>
      <c r="AB23" s="63"/>
      <c r="AC23" s="63"/>
      <c r="AD23" s="63"/>
      <c r="AE23" s="63"/>
      <c r="AF23" s="63"/>
      <c r="AG23" s="63"/>
    </row>
    <row r="24" spans="1:33" s="17" customFormat="1">
      <c r="A24" s="60"/>
      <c r="B24" s="60"/>
      <c r="C24" s="137"/>
      <c r="D24" s="137"/>
      <c r="E24" s="137"/>
      <c r="F24" s="60"/>
      <c r="G24" s="137"/>
      <c r="H24" s="314"/>
      <c r="I24" s="137"/>
      <c r="J24" s="137"/>
      <c r="K24" s="137"/>
      <c r="L24" s="1"/>
      <c r="M24" s="60"/>
      <c r="N24" s="60"/>
      <c r="O24" s="60"/>
      <c r="S24" s="1"/>
      <c r="T24" s="1"/>
      <c r="U24" s="1"/>
      <c r="V24" s="1"/>
      <c r="W24" s="1"/>
      <c r="X24" s="1"/>
      <c r="Y24" s="63"/>
      <c r="Z24" s="63"/>
      <c r="AA24" s="63"/>
      <c r="AB24" s="63"/>
      <c r="AC24" s="63"/>
      <c r="AD24" s="63"/>
      <c r="AE24" s="63"/>
      <c r="AF24" s="63"/>
      <c r="AG24" s="63"/>
    </row>
    <row r="25" spans="1:33">
      <c r="C25" s="375"/>
    </row>
  </sheetData>
  <mergeCells count="6">
    <mergeCell ref="A19:G19"/>
    <mergeCell ref="L4:L5"/>
    <mergeCell ref="B4:B5"/>
    <mergeCell ref="A4:A5"/>
    <mergeCell ref="A22:K23"/>
    <mergeCell ref="A20:K21"/>
  </mergeCells>
  <printOptions horizontalCentered="1"/>
  <pageMargins left="0.75" right="0.75" top="1.6" bottom="1" header="0.75" footer="0.5"/>
  <pageSetup scale="99" fitToHeight="0" orientation="landscape" r:id="rId1"/>
  <headerFooter>
    <oddHeader>&amp;C&amp;"-,Bold"Table B-2
Combusted Gas Characteristics
Puget Sound Energy – Liquefied Natural Gas Project
Tacoma, Washington&amp;R&amp;8Page &amp;P of &amp;N</oddHeader>
    <oddFooter>&amp;L&amp;6 May 2017  &amp;Z&amp;F  &amp;A&amp;R&amp;9Landau Associates</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B050"/>
  </sheetPr>
  <dimension ref="A1:G104"/>
  <sheetViews>
    <sheetView topLeftCell="B17" zoomScaleNormal="100" zoomScaleSheetLayoutView="100" zoomScalePageLayoutView="85" workbookViewId="0">
      <selection activeCell="F58" sqref="F58"/>
    </sheetView>
  </sheetViews>
  <sheetFormatPr defaultColWidth="9.140625" defaultRowHeight="12"/>
  <cols>
    <col min="1" max="1" width="0" style="81" hidden="1" customWidth="1"/>
    <col min="2" max="2" width="38.28515625" style="38" bestFit="1" customWidth="1"/>
    <col min="3" max="3" width="13.28515625" style="38" customWidth="1"/>
    <col min="4" max="4" width="2" style="8" customWidth="1"/>
    <col min="5" max="5" width="13.85546875" style="8" customWidth="1"/>
    <col min="6" max="6" width="15.5703125" style="38" customWidth="1"/>
    <col min="7" max="7" width="1.28515625" style="318" customWidth="1"/>
    <col min="8" max="16384" width="9.140625" style="324"/>
  </cols>
  <sheetData>
    <row r="1" spans="1:7" s="63" customFormat="1">
      <c r="A1" s="81"/>
      <c r="B1" s="161" t="s">
        <v>191</v>
      </c>
      <c r="C1" s="161"/>
      <c r="D1" s="161"/>
      <c r="E1" s="161"/>
      <c r="F1" s="161"/>
      <c r="G1" s="23"/>
    </row>
    <row r="2" spans="1:7" s="63" customFormat="1">
      <c r="A2" s="81"/>
      <c r="B2" s="22"/>
      <c r="C2" s="22"/>
      <c r="D2" s="15"/>
      <c r="E2" s="15"/>
      <c r="F2" s="22"/>
      <c r="G2" s="23"/>
    </row>
    <row r="3" spans="1:7" s="17" customFormat="1">
      <c r="A3" s="23"/>
      <c r="B3" s="236"/>
      <c r="C3" s="569" t="s">
        <v>31</v>
      </c>
      <c r="D3" s="569"/>
      <c r="E3" s="237" t="s">
        <v>98</v>
      </c>
      <c r="F3" s="237"/>
      <c r="G3" s="23"/>
    </row>
    <row r="4" spans="1:7" s="17" customFormat="1" ht="14.25">
      <c r="A4" s="23"/>
      <c r="B4" s="238"/>
      <c r="C4" s="570"/>
      <c r="D4" s="570"/>
      <c r="E4" s="239" t="s">
        <v>210</v>
      </c>
      <c r="F4" s="239" t="s">
        <v>211</v>
      </c>
      <c r="G4" s="23"/>
    </row>
    <row r="5" spans="1:7" s="17" customFormat="1" ht="12.75" thickBot="1">
      <c r="A5" s="395" t="s">
        <v>302</v>
      </c>
      <c r="B5" s="240" t="s">
        <v>30</v>
      </c>
      <c r="C5" s="241" t="s">
        <v>99</v>
      </c>
      <c r="D5" s="241"/>
      <c r="E5" s="242" t="s">
        <v>113</v>
      </c>
      <c r="F5" s="242" t="s">
        <v>114</v>
      </c>
      <c r="G5" s="23"/>
    </row>
    <row r="6" spans="1:7" s="17" customFormat="1" ht="12.75" thickTop="1">
      <c r="A6" s="23"/>
      <c r="B6" s="82" t="s">
        <v>77</v>
      </c>
      <c r="C6" s="92"/>
      <c r="D6" s="93"/>
      <c r="E6" s="94"/>
      <c r="F6" s="94"/>
      <c r="G6" s="23"/>
    </row>
    <row r="7" spans="1:7" s="17" customFormat="1" ht="14.25">
      <c r="A7" s="395" t="s">
        <v>300</v>
      </c>
      <c r="B7" s="83" t="s">
        <v>185</v>
      </c>
      <c r="C7" s="95">
        <v>7.6</v>
      </c>
      <c r="D7" s="243">
        <v>1</v>
      </c>
      <c r="E7" s="84">
        <f t="shared" ref="E7:E12" si="0">$C$65/$C$66*C7</f>
        <v>0.45894013171906201</v>
      </c>
      <c r="F7" s="85">
        <f t="shared" ref="F7:F12" si="1">$C7*$C$65/$C$66*$C$67/2000</f>
        <v>5.5072815806287437E-2</v>
      </c>
      <c r="G7" s="23"/>
    </row>
    <row r="8" spans="1:7" s="17" customFormat="1" ht="14.25">
      <c r="A8" s="395">
        <v>2025884</v>
      </c>
      <c r="B8" s="83" t="s">
        <v>184</v>
      </c>
      <c r="C8" s="97">
        <f>$C$70*$C$71/10^6*(64/32)*10^6</f>
        <v>2.285714285714286</v>
      </c>
      <c r="D8" s="243" t="s">
        <v>212</v>
      </c>
      <c r="E8" s="84">
        <f t="shared" si="0"/>
        <v>0.13802710728392845</v>
      </c>
      <c r="F8" s="85">
        <f t="shared" si="1"/>
        <v>1.6563252874071413E-2</v>
      </c>
      <c r="G8" s="23"/>
    </row>
    <row r="9" spans="1:7" s="17" customFormat="1" ht="14.25">
      <c r="A9" s="398" t="s">
        <v>311</v>
      </c>
      <c r="B9" s="83" t="s">
        <v>213</v>
      </c>
      <c r="C9" s="96">
        <f>C76*0.00000000259*46.01*$C$79*$C$66*(20.9/(20.9-$C$78))</f>
        <v>11.920855092009507</v>
      </c>
      <c r="D9" s="246" t="s">
        <v>234</v>
      </c>
      <c r="E9" s="84">
        <f t="shared" si="0"/>
        <v>0.71986300080667032</v>
      </c>
      <c r="F9" s="85">
        <f t="shared" si="1"/>
        <v>8.6383560096800441E-2</v>
      </c>
      <c r="G9" s="23"/>
    </row>
    <row r="10" spans="1:7" s="17" customFormat="1" ht="14.25">
      <c r="A10" s="395" t="s">
        <v>73</v>
      </c>
      <c r="B10" s="83" t="s">
        <v>0</v>
      </c>
      <c r="C10" s="96">
        <f>C77*0.00000000259*28*$C$79*$C$66*(20.9/(20.9-$C$78))</f>
        <v>40.303308770589268</v>
      </c>
      <c r="D10" s="246" t="s">
        <v>234</v>
      </c>
      <c r="E10" s="86">
        <f t="shared" si="0"/>
        <v>2.4337902415642456</v>
      </c>
      <c r="F10" s="84">
        <f t="shared" si="1"/>
        <v>0.29205482898770946</v>
      </c>
      <c r="G10" s="23"/>
    </row>
    <row r="11" spans="1:7" s="17" customFormat="1" ht="14.25">
      <c r="A11" s="395" t="s">
        <v>1</v>
      </c>
      <c r="B11" s="83" t="s">
        <v>101</v>
      </c>
      <c r="C11" s="97">
        <v>5.5</v>
      </c>
      <c r="D11" s="243">
        <v>1</v>
      </c>
      <c r="E11" s="84">
        <f t="shared" si="0"/>
        <v>0.3321277269019528</v>
      </c>
      <c r="F11" s="85">
        <f t="shared" si="1"/>
        <v>3.9855327228234337E-2</v>
      </c>
      <c r="G11" s="23"/>
    </row>
    <row r="12" spans="1:7" s="17" customFormat="1" ht="14.25">
      <c r="A12" s="395" t="s">
        <v>306</v>
      </c>
      <c r="B12" s="98" t="s">
        <v>78</v>
      </c>
      <c r="C12" s="99">
        <v>5.0000000000000001E-4</v>
      </c>
      <c r="D12" s="297">
        <v>1</v>
      </c>
      <c r="E12" s="100">
        <f t="shared" si="0"/>
        <v>3.0193429718359346E-5</v>
      </c>
      <c r="F12" s="100">
        <f t="shared" si="1"/>
        <v>3.6232115662031216E-6</v>
      </c>
      <c r="G12" s="23"/>
    </row>
    <row r="13" spans="1:7" s="318" customFormat="1" ht="14.25">
      <c r="A13" s="395"/>
      <c r="B13" s="101" t="s">
        <v>158</v>
      </c>
      <c r="C13" s="102"/>
      <c r="D13" s="298"/>
      <c r="E13" s="103"/>
      <c r="F13" s="103"/>
    </row>
    <row r="14" spans="1:7" s="318" customFormat="1" ht="14.25">
      <c r="A14" s="395" t="s">
        <v>56</v>
      </c>
      <c r="B14" s="83" t="s">
        <v>9</v>
      </c>
      <c r="C14" s="104">
        <f>MAX(0.00847,0.0031)</f>
        <v>8.4700000000000001E-3</v>
      </c>
      <c r="D14" s="299" t="s">
        <v>235</v>
      </c>
      <c r="E14" s="90">
        <f t="shared" ref="E14:E29" si="2">C14*$C$65/$C$66</f>
        <v>5.114766994290073E-4</v>
      </c>
      <c r="F14" s="90">
        <f t="shared" ref="F14:F29" si="3">$C14*$C$65/$C$66*$C$67/2000</f>
        <v>6.1377203931480879E-5</v>
      </c>
    </row>
    <row r="15" spans="1:7" s="318" customFormat="1" ht="14.25">
      <c r="A15" s="395" t="s">
        <v>57</v>
      </c>
      <c r="B15" s="83" t="s">
        <v>10</v>
      </c>
      <c r="C15" s="104">
        <v>2.7000000000000001E-3</v>
      </c>
      <c r="D15" s="299" t="s">
        <v>235</v>
      </c>
      <c r="E15" s="90">
        <f t="shared" si="2"/>
        <v>1.6304452047914047E-4</v>
      </c>
      <c r="F15" s="90">
        <f t="shared" si="3"/>
        <v>1.9565342457496856E-5</v>
      </c>
    </row>
    <row r="16" spans="1:7" s="318" customFormat="1" ht="14.25">
      <c r="A16" s="395" t="s">
        <v>153</v>
      </c>
      <c r="B16" s="83" t="s">
        <v>152</v>
      </c>
      <c r="C16" s="104">
        <v>3.2</v>
      </c>
      <c r="D16" s="299" t="s">
        <v>235</v>
      </c>
      <c r="E16" s="90">
        <f t="shared" si="2"/>
        <v>0.19323795019749981</v>
      </c>
      <c r="F16" s="90">
        <f t="shared" si="3"/>
        <v>2.318855402369998E-2</v>
      </c>
    </row>
    <row r="17" spans="1:6" s="318" customFormat="1" ht="14.25">
      <c r="A17" s="395" t="s">
        <v>308</v>
      </c>
      <c r="B17" s="83" t="s">
        <v>33</v>
      </c>
      <c r="C17" s="104">
        <v>2.0000000000000001E-4</v>
      </c>
      <c r="D17" s="299" t="s">
        <v>235</v>
      </c>
      <c r="E17" s="90">
        <f t="shared" si="2"/>
        <v>1.2077371887343738E-5</v>
      </c>
      <c r="F17" s="90">
        <f t="shared" si="3"/>
        <v>1.4492846264812485E-6</v>
      </c>
    </row>
    <row r="18" spans="1:6" s="318" customFormat="1" ht="14.25">
      <c r="A18" s="395" t="s">
        <v>59</v>
      </c>
      <c r="B18" s="83" t="s">
        <v>12</v>
      </c>
      <c r="C18" s="104">
        <f>MAX(0.00215,0.0021,0.0058)</f>
        <v>5.7999999999999996E-3</v>
      </c>
      <c r="D18" s="299" t="s">
        <v>235</v>
      </c>
      <c r="E18" s="90">
        <f t="shared" si="2"/>
        <v>3.5024378473296836E-4</v>
      </c>
      <c r="F18" s="90">
        <f t="shared" si="3"/>
        <v>4.2029254167956207E-5</v>
      </c>
    </row>
    <row r="19" spans="1:6" s="318" customFormat="1" ht="14.25">
      <c r="A19" s="395" t="s">
        <v>307</v>
      </c>
      <c r="B19" s="83" t="s">
        <v>34</v>
      </c>
      <c r="C19" s="104">
        <v>1.2E-5</v>
      </c>
      <c r="D19" s="299" t="s">
        <v>239</v>
      </c>
      <c r="E19" s="90">
        <f t="shared" si="2"/>
        <v>7.2464231324062436E-7</v>
      </c>
      <c r="F19" s="90">
        <f t="shared" si="3"/>
        <v>8.6957077588874924E-8</v>
      </c>
    </row>
    <row r="20" spans="1:6" s="318" customFormat="1" ht="14.25">
      <c r="A20" s="395" t="s">
        <v>69</v>
      </c>
      <c r="B20" s="83" t="s">
        <v>35</v>
      </c>
      <c r="C20" s="104">
        <v>1.1000000000000001E-3</v>
      </c>
      <c r="D20" s="299" t="s">
        <v>239</v>
      </c>
      <c r="E20" s="90">
        <f t="shared" si="2"/>
        <v>6.6425545380390549E-5</v>
      </c>
      <c r="F20" s="90">
        <f t="shared" si="3"/>
        <v>7.9710654456468661E-6</v>
      </c>
    </row>
    <row r="21" spans="1:6" s="318" customFormat="1" ht="12" customHeight="1">
      <c r="A21" s="395" t="s">
        <v>290</v>
      </c>
      <c r="B21" s="83" t="s">
        <v>80</v>
      </c>
      <c r="C21" s="104">
        <v>1.4E-3</v>
      </c>
      <c r="D21" s="299" t="s">
        <v>239</v>
      </c>
      <c r="E21" s="90">
        <f t="shared" si="2"/>
        <v>8.4541603211406161E-5</v>
      </c>
      <c r="F21" s="90">
        <f t="shared" si="3"/>
        <v>1.0144992385368739E-5</v>
      </c>
    </row>
    <row r="22" spans="1:6" s="318" customFormat="1" ht="14.25">
      <c r="A22" s="395" t="s">
        <v>70</v>
      </c>
      <c r="B22" s="83" t="s">
        <v>36</v>
      </c>
      <c r="C22" s="104">
        <v>8.3999999999999995E-5</v>
      </c>
      <c r="D22" s="299" t="s">
        <v>239</v>
      </c>
      <c r="E22" s="90">
        <f t="shared" si="2"/>
        <v>5.0724961926843695E-6</v>
      </c>
      <c r="F22" s="90">
        <f t="shared" si="3"/>
        <v>6.0869954312212428E-7</v>
      </c>
    </row>
    <row r="23" spans="1:6" s="318" customFormat="1" ht="14.25">
      <c r="A23" s="395" t="s">
        <v>299</v>
      </c>
      <c r="B23" s="83" t="s">
        <v>37</v>
      </c>
      <c r="C23" s="104">
        <v>8.4999999999999995E-4</v>
      </c>
      <c r="D23" s="299" t="s">
        <v>239</v>
      </c>
      <c r="E23" s="90">
        <f t="shared" si="2"/>
        <v>5.132883052121088E-5</v>
      </c>
      <c r="F23" s="90">
        <f t="shared" si="3"/>
        <v>6.1594596625453059E-6</v>
      </c>
    </row>
    <row r="24" spans="1:6" s="318" customFormat="1" ht="14.25">
      <c r="A24" s="395" t="s">
        <v>150</v>
      </c>
      <c r="B24" s="83" t="s">
        <v>19</v>
      </c>
      <c r="C24" s="104">
        <v>6.8999999999999999E-3</v>
      </c>
      <c r="D24" s="299" t="s">
        <v>235</v>
      </c>
      <c r="E24" s="90">
        <f t="shared" si="2"/>
        <v>4.1666933011335895E-4</v>
      </c>
      <c r="F24" s="90">
        <f t="shared" si="3"/>
        <v>5.0000319613603069E-5</v>
      </c>
    </row>
    <row r="25" spans="1:6" s="318" customFormat="1" ht="14.25">
      <c r="A25" s="395" t="s">
        <v>65</v>
      </c>
      <c r="B25" s="83" t="s">
        <v>22</v>
      </c>
      <c r="C25" s="104">
        <v>7.4999999999999997E-2</v>
      </c>
      <c r="D25" s="299" t="s">
        <v>240</v>
      </c>
      <c r="E25" s="90">
        <f t="shared" si="2"/>
        <v>4.5290144577539021E-3</v>
      </c>
      <c r="F25" s="90">
        <f t="shared" si="3"/>
        <v>5.4348173493046822E-4</v>
      </c>
    </row>
    <row r="26" spans="1:6" s="318" customFormat="1" ht="14.25">
      <c r="A26" s="395" t="s">
        <v>154</v>
      </c>
      <c r="B26" s="83" t="s">
        <v>23</v>
      </c>
      <c r="C26" s="104">
        <v>1.8</v>
      </c>
      <c r="D26" s="299" t="s">
        <v>240</v>
      </c>
      <c r="E26" s="90">
        <f t="shared" si="2"/>
        <v>0.10869634698609364</v>
      </c>
      <c r="F26" s="90">
        <f t="shared" si="3"/>
        <v>1.3043561638331237E-2</v>
      </c>
    </row>
    <row r="27" spans="1:6" s="318" customFormat="1" ht="14.25">
      <c r="A27" s="395" t="s">
        <v>306</v>
      </c>
      <c r="B27" s="83" t="s">
        <v>81</v>
      </c>
      <c r="C27" s="104">
        <f>C12</f>
        <v>5.0000000000000001E-4</v>
      </c>
      <c r="D27" s="300">
        <v>1</v>
      </c>
      <c r="E27" s="90">
        <f t="shared" si="2"/>
        <v>3.0193429718359346E-5</v>
      </c>
      <c r="F27" s="90">
        <f t="shared" si="3"/>
        <v>3.6232115662031216E-6</v>
      </c>
    </row>
    <row r="28" spans="1:6" s="318" customFormat="1" ht="14.25">
      <c r="A28" s="395" t="s">
        <v>305</v>
      </c>
      <c r="B28" s="83" t="s">
        <v>38</v>
      </c>
      <c r="C28" s="104">
        <v>3.8000000000000002E-4</v>
      </c>
      <c r="D28" s="299" t="s">
        <v>239</v>
      </c>
      <c r="E28" s="90">
        <f t="shared" si="2"/>
        <v>2.2947006585953102E-5</v>
      </c>
      <c r="F28" s="90">
        <f t="shared" si="3"/>
        <v>2.7536407903143726E-6</v>
      </c>
    </row>
    <row r="29" spans="1:6" s="318" customFormat="1" ht="14.25">
      <c r="A29" s="395" t="s">
        <v>71</v>
      </c>
      <c r="B29" s="83" t="s">
        <v>39</v>
      </c>
      <c r="C29" s="104">
        <v>2.5999999999999998E-4</v>
      </c>
      <c r="D29" s="299" t="s">
        <v>239</v>
      </c>
      <c r="E29" s="90">
        <f t="shared" si="2"/>
        <v>1.5700583453546858E-5</v>
      </c>
      <c r="F29" s="90">
        <f t="shared" si="3"/>
        <v>1.8840700144256228E-6</v>
      </c>
    </row>
    <row r="30" spans="1:6" s="318" customFormat="1" ht="14.25">
      <c r="A30" s="395" t="s">
        <v>67</v>
      </c>
      <c r="B30" s="83" t="s">
        <v>24</v>
      </c>
      <c r="C30" s="104">
        <f>C50</f>
        <v>6.0999999999999997E-4</v>
      </c>
      <c r="D30" s="299" t="str">
        <f t="shared" ref="D30:F30" si="4">D50</f>
        <v>5</v>
      </c>
      <c r="E30" s="90">
        <f t="shared" si="4"/>
        <v>3.6835984256398398E-5</v>
      </c>
      <c r="F30" s="90">
        <f t="shared" si="4"/>
        <v>4.4203181107678079E-6</v>
      </c>
    </row>
    <row r="31" spans="1:6" s="318" customFormat="1" ht="14.25">
      <c r="A31" s="395" t="s">
        <v>293</v>
      </c>
      <c r="B31" s="83" t="s">
        <v>40</v>
      </c>
      <c r="C31" s="104">
        <v>2.0999999999999999E-3</v>
      </c>
      <c r="D31" s="299" t="s">
        <v>239</v>
      </c>
      <c r="E31" s="90">
        <f t="shared" ref="E31:E57" si="5">C31*$C$65/$C$66</f>
        <v>1.2681240481710924E-4</v>
      </c>
      <c r="F31" s="90">
        <f t="shared" ref="F31:F57" si="6">$C31*$C$65/$C$66*$C$67/2000</f>
        <v>1.5217488578053108E-5</v>
      </c>
    </row>
    <row r="32" spans="1:6" s="318" customFormat="1" ht="14.25">
      <c r="A32" s="395" t="s">
        <v>296</v>
      </c>
      <c r="B32" s="83" t="s">
        <v>82</v>
      </c>
      <c r="C32" s="104">
        <f>SUM(C33:C52)</f>
        <v>1.8981999999999998E-3</v>
      </c>
      <c r="D32" s="299" t="s">
        <v>240</v>
      </c>
      <c r="E32" s="90">
        <f t="shared" si="5"/>
        <v>1.146263365827794E-4</v>
      </c>
      <c r="F32" s="90">
        <f t="shared" si="6"/>
        <v>1.3755160389933527E-5</v>
      </c>
    </row>
    <row r="33" spans="1:6" s="318" customFormat="1" ht="14.25">
      <c r="A33" s="395" t="s">
        <v>285</v>
      </c>
      <c r="B33" s="105" t="s">
        <v>4</v>
      </c>
      <c r="C33" s="106">
        <v>2.4000000000000001E-5</v>
      </c>
      <c r="D33" s="299" t="s">
        <v>240</v>
      </c>
      <c r="E33" s="90">
        <f t="shared" si="5"/>
        <v>1.4492846264812487E-6</v>
      </c>
      <c r="F33" s="107">
        <f t="shared" si="6"/>
        <v>1.7391415517774985E-7</v>
      </c>
    </row>
    <row r="34" spans="1:6" s="318" customFormat="1" ht="14.25">
      <c r="A34" s="395" t="s">
        <v>54</v>
      </c>
      <c r="B34" s="105" t="s">
        <v>5</v>
      </c>
      <c r="C34" s="106">
        <v>1.7999999999999999E-6</v>
      </c>
      <c r="D34" s="299" t="s">
        <v>240</v>
      </c>
      <c r="E34" s="90">
        <f t="shared" si="5"/>
        <v>1.0869634698609364E-7</v>
      </c>
      <c r="F34" s="107">
        <f t="shared" si="6"/>
        <v>1.3043561638331235E-8</v>
      </c>
    </row>
    <row r="35" spans="1:6" s="318" customFormat="1" ht="14.25">
      <c r="A35" s="395" t="s">
        <v>55</v>
      </c>
      <c r="B35" s="105" t="s">
        <v>6</v>
      </c>
      <c r="C35" s="108">
        <v>1.5999999999999999E-5</v>
      </c>
      <c r="D35" s="299" t="s">
        <v>240</v>
      </c>
      <c r="E35" s="90">
        <f t="shared" si="5"/>
        <v>9.6618975098749879E-7</v>
      </c>
      <c r="F35" s="107">
        <f t="shared" si="6"/>
        <v>1.1594277011849985E-7</v>
      </c>
    </row>
    <row r="36" spans="1:6" s="318" customFormat="1" ht="14.25">
      <c r="A36" s="395" t="s">
        <v>287</v>
      </c>
      <c r="B36" s="105" t="s">
        <v>7</v>
      </c>
      <c r="C36" s="108">
        <v>1.7999999999999999E-6</v>
      </c>
      <c r="D36" s="299" t="s">
        <v>240</v>
      </c>
      <c r="E36" s="90">
        <f t="shared" si="5"/>
        <v>1.0869634698609364E-7</v>
      </c>
      <c r="F36" s="107">
        <f t="shared" si="6"/>
        <v>1.3043561638331235E-8</v>
      </c>
    </row>
    <row r="37" spans="1:6" s="318" customFormat="1" ht="14.25">
      <c r="A37" s="395" t="s">
        <v>286</v>
      </c>
      <c r="B37" s="105" t="s">
        <v>8</v>
      </c>
      <c r="C37" s="108">
        <v>1.7999999999999999E-6</v>
      </c>
      <c r="D37" s="299" t="s">
        <v>240</v>
      </c>
      <c r="E37" s="90">
        <f t="shared" si="5"/>
        <v>1.0869634698609364E-7</v>
      </c>
      <c r="F37" s="107">
        <f t="shared" si="6"/>
        <v>1.3043561638331235E-8</v>
      </c>
    </row>
    <row r="38" spans="1:6" s="318" customFormat="1" ht="14.25">
      <c r="A38" s="395" t="s">
        <v>288</v>
      </c>
      <c r="B38" s="105" t="s">
        <v>11</v>
      </c>
      <c r="C38" s="108">
        <v>2.3999999999999999E-6</v>
      </c>
      <c r="D38" s="299" t="s">
        <v>240</v>
      </c>
      <c r="E38" s="90">
        <f t="shared" si="5"/>
        <v>1.4492846264812486E-7</v>
      </c>
      <c r="F38" s="107">
        <f t="shared" si="6"/>
        <v>1.7391415517774982E-8</v>
      </c>
    </row>
    <row r="39" spans="1:6" s="318" customFormat="1" ht="14.25">
      <c r="A39" s="395" t="s">
        <v>58</v>
      </c>
      <c r="B39" s="105" t="s">
        <v>83</v>
      </c>
      <c r="C39" s="108">
        <v>1.7999999999999999E-6</v>
      </c>
      <c r="D39" s="299" t="s">
        <v>240</v>
      </c>
      <c r="E39" s="90">
        <f t="shared" si="5"/>
        <v>1.0869634698609364E-7</v>
      </c>
      <c r="F39" s="107">
        <f t="shared" si="6"/>
        <v>1.3043561638331235E-8</v>
      </c>
    </row>
    <row r="40" spans="1:6" s="318" customFormat="1" ht="14.25">
      <c r="A40" s="395" t="s">
        <v>60</v>
      </c>
      <c r="B40" s="105" t="s">
        <v>13</v>
      </c>
      <c r="C40" s="108">
        <v>1.1999999999999999E-6</v>
      </c>
      <c r="D40" s="299" t="s">
        <v>240</v>
      </c>
      <c r="E40" s="90">
        <f t="shared" si="5"/>
        <v>7.2464231324062428E-8</v>
      </c>
      <c r="F40" s="107">
        <f t="shared" si="6"/>
        <v>8.6957077588874908E-9</v>
      </c>
    </row>
    <row r="41" spans="1:6" s="318" customFormat="1" ht="14.25">
      <c r="A41" s="395" t="s">
        <v>61</v>
      </c>
      <c r="B41" s="105" t="s">
        <v>14</v>
      </c>
      <c r="C41" s="108">
        <v>1.7999999999999999E-6</v>
      </c>
      <c r="D41" s="299" t="s">
        <v>240</v>
      </c>
      <c r="E41" s="90">
        <f t="shared" si="5"/>
        <v>1.0869634698609364E-7</v>
      </c>
      <c r="F41" s="107">
        <f t="shared" si="6"/>
        <v>1.3043561638331235E-8</v>
      </c>
    </row>
    <row r="42" spans="1:6" s="318" customFormat="1" ht="14.25">
      <c r="A42" s="395" t="s">
        <v>289</v>
      </c>
      <c r="B42" s="105" t="s">
        <v>15</v>
      </c>
      <c r="C42" s="108">
        <v>1.1999999999999999E-6</v>
      </c>
      <c r="D42" s="299" t="s">
        <v>240</v>
      </c>
      <c r="E42" s="90">
        <f t="shared" si="5"/>
        <v>7.2464231324062428E-8</v>
      </c>
      <c r="F42" s="107">
        <f t="shared" si="6"/>
        <v>8.6957077588874908E-9</v>
      </c>
    </row>
    <row r="43" spans="1:6" s="318" customFormat="1" ht="14.25">
      <c r="A43" s="395" t="s">
        <v>62</v>
      </c>
      <c r="B43" s="105" t="s">
        <v>16</v>
      </c>
      <c r="C43" s="108">
        <v>1.7999999999999999E-6</v>
      </c>
      <c r="D43" s="299" t="s">
        <v>240</v>
      </c>
      <c r="E43" s="90">
        <f t="shared" si="5"/>
        <v>1.0869634698609364E-7</v>
      </c>
      <c r="F43" s="107">
        <f t="shared" si="6"/>
        <v>1.3043561638331235E-8</v>
      </c>
    </row>
    <row r="44" spans="1:6" s="318" customFormat="1" ht="14.25">
      <c r="A44" s="395" t="s">
        <v>63</v>
      </c>
      <c r="B44" s="109" t="s">
        <v>17</v>
      </c>
      <c r="C44" s="110">
        <v>1.7999999999999999E-6</v>
      </c>
      <c r="D44" s="299" t="s">
        <v>240</v>
      </c>
      <c r="E44" s="90">
        <f t="shared" si="5"/>
        <v>1.0869634698609364E-7</v>
      </c>
      <c r="F44" s="107">
        <f t="shared" si="6"/>
        <v>1.3043561638331235E-8</v>
      </c>
    </row>
    <row r="45" spans="1:6" s="318" customFormat="1" ht="14.25">
      <c r="A45" s="395" t="s">
        <v>64</v>
      </c>
      <c r="B45" s="109" t="s">
        <v>84</v>
      </c>
      <c r="C45" s="110">
        <v>1.1999999999999999E-6</v>
      </c>
      <c r="D45" s="299" t="s">
        <v>240</v>
      </c>
      <c r="E45" s="90">
        <f t="shared" si="5"/>
        <v>7.2464231324062428E-8</v>
      </c>
      <c r="F45" s="107">
        <f t="shared" si="6"/>
        <v>8.6957077588874908E-9</v>
      </c>
    </row>
    <row r="46" spans="1:6" s="318" customFormat="1" ht="14.25">
      <c r="A46" s="395" t="s">
        <v>151</v>
      </c>
      <c r="B46" s="109" t="s">
        <v>283</v>
      </c>
      <c r="C46" s="110">
        <v>1.1999999999999999E-3</v>
      </c>
      <c r="D46" s="299" t="s">
        <v>240</v>
      </c>
      <c r="E46" s="90">
        <f t="shared" si="5"/>
        <v>7.246423132406242E-5</v>
      </c>
      <c r="F46" s="107">
        <f t="shared" si="6"/>
        <v>8.6957077588874898E-6</v>
      </c>
    </row>
    <row r="47" spans="1:6" s="318" customFormat="1" ht="14.25">
      <c r="A47" s="395" t="s">
        <v>291</v>
      </c>
      <c r="B47" s="109" t="s">
        <v>20</v>
      </c>
      <c r="C47" s="110">
        <v>3.0000000000000001E-6</v>
      </c>
      <c r="D47" s="299" t="s">
        <v>240</v>
      </c>
      <c r="E47" s="90">
        <f t="shared" si="5"/>
        <v>1.8116057831015609E-7</v>
      </c>
      <c r="F47" s="107">
        <f t="shared" si="6"/>
        <v>2.1739269397218731E-8</v>
      </c>
    </row>
    <row r="48" spans="1:6" s="318" customFormat="1" ht="14.25">
      <c r="A48" s="396" t="s">
        <v>292</v>
      </c>
      <c r="B48" s="109" t="s">
        <v>21</v>
      </c>
      <c r="C48" s="110">
        <v>2.7999999999999999E-6</v>
      </c>
      <c r="D48" s="299" t="s">
        <v>240</v>
      </c>
      <c r="E48" s="90">
        <f t="shared" si="5"/>
        <v>1.6908320642281231E-7</v>
      </c>
      <c r="F48" s="107">
        <f t="shared" si="6"/>
        <v>2.0289984770737477E-8</v>
      </c>
    </row>
    <row r="49" spans="1:7" s="318" customFormat="1" ht="14.25">
      <c r="A49" s="396" t="s">
        <v>66</v>
      </c>
      <c r="B49" s="109" t="s">
        <v>52</v>
      </c>
      <c r="C49" s="110">
        <v>1.7999999999999999E-6</v>
      </c>
      <c r="D49" s="299" t="s">
        <v>240</v>
      </c>
      <c r="E49" s="90">
        <f t="shared" si="5"/>
        <v>1.0869634698609364E-7</v>
      </c>
      <c r="F49" s="107">
        <f t="shared" si="6"/>
        <v>1.3043561638331235E-8</v>
      </c>
    </row>
    <row r="50" spans="1:7" s="318" customFormat="1" ht="14.25">
      <c r="A50" s="396" t="s">
        <v>67</v>
      </c>
      <c r="B50" s="109" t="s">
        <v>24</v>
      </c>
      <c r="C50" s="110">
        <v>6.0999999999999997E-4</v>
      </c>
      <c r="D50" s="299" t="s">
        <v>240</v>
      </c>
      <c r="E50" s="90">
        <f t="shared" si="5"/>
        <v>3.6835984256398398E-5</v>
      </c>
      <c r="F50" s="107">
        <f t="shared" si="6"/>
        <v>4.4203181107678079E-6</v>
      </c>
    </row>
    <row r="51" spans="1:7" s="318" customFormat="1" ht="14.25">
      <c r="A51" s="396" t="s">
        <v>294</v>
      </c>
      <c r="B51" s="109" t="s">
        <v>85</v>
      </c>
      <c r="C51" s="110">
        <v>1.7E-5</v>
      </c>
      <c r="D51" s="299" t="s">
        <v>240</v>
      </c>
      <c r="E51" s="90">
        <f t="shared" si="5"/>
        <v>1.0265766104242177E-6</v>
      </c>
      <c r="F51" s="107">
        <f t="shared" si="6"/>
        <v>1.2318919325090613E-7</v>
      </c>
    </row>
    <row r="52" spans="1:7" s="318" customFormat="1" ht="14.25">
      <c r="A52" s="396" t="s">
        <v>295</v>
      </c>
      <c r="B52" s="109" t="s">
        <v>26</v>
      </c>
      <c r="C52" s="110">
        <v>5.0000000000000004E-6</v>
      </c>
      <c r="D52" s="299" t="s">
        <v>240</v>
      </c>
      <c r="E52" s="90">
        <f t="shared" si="5"/>
        <v>3.0193429718359347E-7</v>
      </c>
      <c r="F52" s="107">
        <f t="shared" si="6"/>
        <v>3.6232115662031214E-8</v>
      </c>
    </row>
    <row r="53" spans="1:7" s="318" customFormat="1" ht="14.25">
      <c r="A53" s="395" t="s">
        <v>68</v>
      </c>
      <c r="B53" s="83" t="s">
        <v>51</v>
      </c>
      <c r="C53" s="104">
        <v>0.53</v>
      </c>
      <c r="D53" s="299" t="s">
        <v>235</v>
      </c>
      <c r="E53" s="90">
        <f t="shared" si="5"/>
        <v>3.2005035501460909E-2</v>
      </c>
      <c r="F53" s="90">
        <f t="shared" si="6"/>
        <v>3.8406042601753093E-3</v>
      </c>
    </row>
    <row r="54" spans="1:7" ht="14.25">
      <c r="A54" s="396" t="s">
        <v>304</v>
      </c>
      <c r="B54" s="83" t="s">
        <v>41</v>
      </c>
      <c r="C54" s="104">
        <v>2.4000000000000001E-5</v>
      </c>
      <c r="D54" s="299" t="s">
        <v>239</v>
      </c>
      <c r="E54" s="90">
        <f t="shared" si="5"/>
        <v>1.4492846264812487E-6</v>
      </c>
      <c r="F54" s="90">
        <f t="shared" si="6"/>
        <v>1.7391415517774985E-7</v>
      </c>
    </row>
    <row r="55" spans="1:7" ht="14.25">
      <c r="A55" s="396" t="s">
        <v>303</v>
      </c>
      <c r="B55" s="83" t="s">
        <v>27</v>
      </c>
      <c r="C55" s="104">
        <f>MAX(0.0034,0.0265)</f>
        <v>2.6499999999999999E-2</v>
      </c>
      <c r="D55" s="299" t="s">
        <v>235</v>
      </c>
      <c r="E55" s="90">
        <f t="shared" si="5"/>
        <v>1.600251775073045E-3</v>
      </c>
      <c r="F55" s="90">
        <f t="shared" si="6"/>
        <v>1.920302130087654E-4</v>
      </c>
    </row>
    <row r="56" spans="1:7" ht="14.25">
      <c r="A56" s="396" t="s">
        <v>72</v>
      </c>
      <c r="B56" s="83" t="s">
        <v>42</v>
      </c>
      <c r="C56" s="104">
        <v>2.3E-3</v>
      </c>
      <c r="D56" s="299" t="s">
        <v>239</v>
      </c>
      <c r="E56" s="90">
        <f t="shared" si="5"/>
        <v>1.3888977670445298E-4</v>
      </c>
      <c r="F56" s="90">
        <f t="shared" si="6"/>
        <v>1.6666773204534358E-5</v>
      </c>
    </row>
    <row r="57" spans="1:7" ht="14.25">
      <c r="A57" s="396" t="s">
        <v>147</v>
      </c>
      <c r="B57" s="83" t="s">
        <v>28</v>
      </c>
      <c r="C57" s="104">
        <v>1.9699999999999999E-2</v>
      </c>
      <c r="D57" s="299" t="s">
        <v>235</v>
      </c>
      <c r="E57" s="90">
        <f t="shared" si="5"/>
        <v>1.1896211309033581E-3</v>
      </c>
      <c r="F57" s="90">
        <f t="shared" si="6"/>
        <v>1.4275453570840297E-4</v>
      </c>
    </row>
    <row r="58" spans="1:7" ht="12" customHeight="1">
      <c r="A58" s="396" t="s">
        <v>301</v>
      </c>
      <c r="B58" s="111" t="s">
        <v>49</v>
      </c>
      <c r="C58" s="112"/>
      <c r="D58" s="113"/>
      <c r="E58" s="134">
        <f>SUM(E14:E32,E53:E57)-SUM(E23,E56,E30,E53,E16)</f>
        <v>0.11793723938934783</v>
      </c>
      <c r="F58" s="119">
        <f>SUM(F14:F32,F53:F57)-SUM(F23,F56,F30,F53,F16)</f>
        <v>1.4152468726721726E-2</v>
      </c>
    </row>
    <row r="59" spans="1:7" s="425" customFormat="1">
      <c r="A59" s="396"/>
      <c r="B59" s="422"/>
      <c r="C59" s="422"/>
      <c r="D59" s="423"/>
      <c r="E59" s="423"/>
      <c r="F59" s="422"/>
      <c r="G59" s="424"/>
    </row>
    <row r="60" spans="1:7" ht="12" customHeight="1">
      <c r="A60" s="396"/>
      <c r="B60" s="7" t="s">
        <v>86</v>
      </c>
      <c r="C60" s="7"/>
      <c r="F60" s="7"/>
    </row>
    <row r="61" spans="1:7" ht="14.25">
      <c r="A61" s="396"/>
      <c r="B61" s="568" t="s">
        <v>214</v>
      </c>
      <c r="C61" s="568"/>
      <c r="D61" s="568"/>
      <c r="E61" s="568"/>
      <c r="F61" s="568"/>
      <c r="G61" s="55" t="s">
        <v>110</v>
      </c>
    </row>
    <row r="62" spans="1:7">
      <c r="A62" s="397"/>
      <c r="B62" s="568"/>
      <c r="C62" s="568"/>
      <c r="D62" s="568"/>
      <c r="E62" s="568"/>
      <c r="F62" s="568"/>
      <c r="G62" s="23"/>
    </row>
    <row r="63" spans="1:7" ht="14.25">
      <c r="B63" s="565" t="s">
        <v>215</v>
      </c>
      <c r="C63" s="565"/>
      <c r="D63" s="565"/>
      <c r="E63" s="565"/>
      <c r="F63" s="565"/>
      <c r="G63" s="55" t="s">
        <v>110</v>
      </c>
    </row>
    <row r="64" spans="1:7" ht="14.25" customHeight="1">
      <c r="B64" s="565"/>
      <c r="C64" s="565"/>
      <c r="D64" s="565"/>
      <c r="E64" s="565"/>
      <c r="F64" s="565"/>
      <c r="G64" s="23"/>
    </row>
    <row r="65" spans="1:7" ht="13.9" customHeight="1">
      <c r="B65" s="9" t="s">
        <v>166</v>
      </c>
      <c r="C65" s="10">
        <f>'1 Rates'!B6</f>
        <v>66</v>
      </c>
      <c r="D65" s="301">
        <v>6</v>
      </c>
      <c r="E65" s="18"/>
      <c r="F65" s="414"/>
      <c r="G65" s="23"/>
    </row>
    <row r="66" spans="1:7" ht="14.25">
      <c r="A66" s="23"/>
      <c r="B66" s="9" t="s">
        <v>128</v>
      </c>
      <c r="C66" s="10">
        <f>'2 Gas Data'!$B$7</f>
        <v>1092.953013546987</v>
      </c>
      <c r="D66" s="301">
        <v>7</v>
      </c>
      <c r="E66" s="48"/>
      <c r="F66" s="413"/>
      <c r="G66" s="23"/>
    </row>
    <row r="67" spans="1:7" ht="13.9" customHeight="1">
      <c r="A67" s="23"/>
      <c r="B67" s="20" t="s">
        <v>87</v>
      </c>
      <c r="C67" s="21">
        <f>'1 Rates'!D6</f>
        <v>240</v>
      </c>
      <c r="D67" s="301">
        <v>6</v>
      </c>
      <c r="E67" s="11"/>
      <c r="F67" s="19"/>
      <c r="G67" s="23"/>
    </row>
    <row r="68" spans="1:7" ht="14.25" customHeight="1">
      <c r="A68" s="23"/>
      <c r="B68" s="565" t="s">
        <v>314</v>
      </c>
      <c r="C68" s="565"/>
      <c r="D68" s="565"/>
      <c r="E68" s="565"/>
      <c r="F68" s="565"/>
      <c r="G68" s="55" t="s">
        <v>110</v>
      </c>
    </row>
    <row r="69" spans="1:7" ht="14.25">
      <c r="A69" s="23"/>
      <c r="B69" s="565"/>
      <c r="C69" s="565"/>
      <c r="D69" s="565"/>
      <c r="E69" s="565"/>
      <c r="F69" s="565"/>
      <c r="G69" s="55" t="s">
        <v>110</v>
      </c>
    </row>
    <row r="70" spans="1:7" ht="14.25">
      <c r="A70" s="23"/>
      <c r="B70" s="6" t="s">
        <v>122</v>
      </c>
      <c r="C70" s="50">
        <f>'2 Gas Data'!$B$8</f>
        <v>4.6091924175538819E-2</v>
      </c>
      <c r="D70" s="301">
        <v>7</v>
      </c>
      <c r="E70" s="414"/>
      <c r="F70" s="414"/>
      <c r="G70" s="55"/>
    </row>
    <row r="71" spans="1:7" s="318" customFormat="1" ht="14.25">
      <c r="A71" s="23"/>
      <c r="B71" s="6" t="s">
        <v>175</v>
      </c>
      <c r="C71" s="51">
        <f>'2 Gas Data'!B9</f>
        <v>24.795171026156947</v>
      </c>
      <c r="D71" s="301">
        <v>7</v>
      </c>
      <c r="E71" s="8"/>
      <c r="F71" s="38"/>
      <c r="G71" s="23"/>
    </row>
    <row r="72" spans="1:7" s="318" customFormat="1" ht="14.25" customHeight="1">
      <c r="A72" s="23"/>
      <c r="B72" s="567" t="s">
        <v>217</v>
      </c>
      <c r="C72" s="567"/>
      <c r="D72" s="567"/>
      <c r="E72" s="567"/>
      <c r="F72" s="567"/>
      <c r="G72" s="55" t="s">
        <v>110</v>
      </c>
    </row>
    <row r="73" spans="1:7" s="318" customFormat="1">
      <c r="A73" s="23"/>
      <c r="B73" s="567"/>
      <c r="C73" s="567"/>
      <c r="D73" s="567"/>
      <c r="E73" s="567"/>
      <c r="F73" s="567"/>
      <c r="G73" s="17"/>
    </row>
    <row r="74" spans="1:7" s="318" customFormat="1" ht="12" customHeight="1">
      <c r="A74" s="23"/>
      <c r="B74" s="567"/>
      <c r="C74" s="567"/>
      <c r="D74" s="567"/>
      <c r="E74" s="567"/>
      <c r="F74" s="567"/>
      <c r="G74" s="55" t="s">
        <v>110</v>
      </c>
    </row>
    <row r="75" spans="1:7" s="318" customFormat="1" ht="14.25">
      <c r="A75" s="23"/>
      <c r="B75" s="567"/>
      <c r="C75" s="567"/>
      <c r="D75" s="567"/>
      <c r="E75" s="567"/>
      <c r="F75" s="567"/>
      <c r="G75" s="55" t="s">
        <v>110</v>
      </c>
    </row>
    <row r="76" spans="1:7" s="318" customFormat="1" ht="15">
      <c r="A76" s="23"/>
      <c r="B76" s="9" t="s">
        <v>124</v>
      </c>
      <c r="C76" s="52">
        <v>9</v>
      </c>
      <c r="D76" s="302" t="s">
        <v>234</v>
      </c>
      <c r="E76" s="48"/>
      <c r="F76" s="413"/>
      <c r="G76" s="23"/>
    </row>
    <row r="77" spans="1:7" s="318" customFormat="1" ht="13.9" customHeight="1">
      <c r="A77" s="81"/>
      <c r="B77" s="9" t="s">
        <v>167</v>
      </c>
      <c r="C77" s="52">
        <v>50</v>
      </c>
      <c r="D77" s="302" t="s">
        <v>234</v>
      </c>
      <c r="E77" s="48"/>
      <c r="F77" s="413"/>
      <c r="G77" s="23"/>
    </row>
    <row r="78" spans="1:7" s="318" customFormat="1" ht="14.25">
      <c r="A78" s="81"/>
      <c r="B78" s="9" t="s">
        <v>187</v>
      </c>
      <c r="C78" s="52">
        <v>3</v>
      </c>
      <c r="D78" s="302" t="s">
        <v>234</v>
      </c>
      <c r="E78" s="157"/>
      <c r="F78" s="413"/>
      <c r="G78" s="23"/>
    </row>
    <row r="79" spans="1:7" s="318" customFormat="1" ht="14.25">
      <c r="A79" s="81"/>
      <c r="B79" s="9" t="s">
        <v>119</v>
      </c>
      <c r="C79" s="10">
        <v>8710</v>
      </c>
      <c r="D79" s="302" t="s">
        <v>364</v>
      </c>
      <c r="E79" s="48"/>
      <c r="F79" s="413"/>
      <c r="G79" s="23"/>
    </row>
    <row r="80" spans="1:7" s="424" customFormat="1" ht="14.45" customHeight="1">
      <c r="A80" s="81"/>
      <c r="B80" s="426"/>
      <c r="C80" s="427"/>
      <c r="D80" s="428"/>
      <c r="E80" s="428"/>
      <c r="F80" s="429"/>
    </row>
    <row r="81" spans="1:7" s="318" customFormat="1">
      <c r="A81" s="81"/>
      <c r="B81" s="7" t="s">
        <v>32</v>
      </c>
      <c r="C81" s="7"/>
      <c r="D81" s="13"/>
      <c r="E81" s="13"/>
      <c r="F81" s="7"/>
    </row>
    <row r="82" spans="1:7" s="318" customFormat="1" ht="14.25">
      <c r="A82" s="81"/>
      <c r="B82" s="565" t="s">
        <v>236</v>
      </c>
      <c r="C82" s="565"/>
      <c r="D82" s="565"/>
      <c r="E82" s="565"/>
      <c r="F82" s="565"/>
      <c r="G82" s="55" t="s">
        <v>110</v>
      </c>
    </row>
    <row r="83" spans="1:7" s="318" customFormat="1">
      <c r="A83" s="81"/>
      <c r="B83" s="565"/>
      <c r="C83" s="565"/>
      <c r="D83" s="565"/>
      <c r="E83" s="565"/>
      <c r="F83" s="565"/>
      <c r="G83" s="23"/>
    </row>
    <row r="84" spans="1:7" s="318" customFormat="1">
      <c r="A84" s="81"/>
      <c r="B84" s="565"/>
      <c r="C84" s="565"/>
      <c r="D84" s="565"/>
      <c r="E84" s="565"/>
      <c r="F84" s="565"/>
      <c r="G84" s="23"/>
    </row>
    <row r="85" spans="1:7" s="318" customFormat="1">
      <c r="A85" s="81"/>
      <c r="B85" s="565"/>
      <c r="C85" s="565"/>
      <c r="D85" s="565"/>
      <c r="E85" s="565"/>
      <c r="F85" s="565"/>
      <c r="G85" s="23"/>
    </row>
    <row r="86" spans="1:7" ht="14.25">
      <c r="B86" s="565" t="s">
        <v>237</v>
      </c>
      <c r="C86" s="565"/>
      <c r="D86" s="565"/>
      <c r="E86" s="565"/>
      <c r="F86" s="565"/>
      <c r="G86" s="55" t="s">
        <v>110</v>
      </c>
    </row>
    <row r="87" spans="1:7" ht="14.25">
      <c r="B87" s="566" t="s">
        <v>366</v>
      </c>
      <c r="C87" s="566"/>
      <c r="D87" s="566"/>
      <c r="E87" s="566"/>
      <c r="F87" s="566"/>
      <c r="G87" s="55" t="s">
        <v>110</v>
      </c>
    </row>
    <row r="88" spans="1:7">
      <c r="B88" s="566"/>
      <c r="C88" s="566"/>
      <c r="D88" s="566"/>
      <c r="E88" s="566"/>
      <c r="F88" s="566"/>
      <c r="G88" s="17"/>
    </row>
    <row r="89" spans="1:7">
      <c r="B89" s="566"/>
      <c r="C89" s="566"/>
      <c r="D89" s="566"/>
      <c r="E89" s="566"/>
      <c r="F89" s="566"/>
      <c r="G89" s="17"/>
    </row>
    <row r="90" spans="1:7" ht="14.25">
      <c r="B90" s="565" t="s">
        <v>354</v>
      </c>
      <c r="C90" s="565"/>
      <c r="D90" s="565"/>
      <c r="E90" s="565"/>
      <c r="F90" s="565"/>
      <c r="G90" s="55" t="s">
        <v>110</v>
      </c>
    </row>
    <row r="91" spans="1:7" ht="14.45" customHeight="1">
      <c r="A91" s="397"/>
      <c r="B91" s="565"/>
      <c r="C91" s="565"/>
      <c r="D91" s="565"/>
      <c r="E91" s="565"/>
      <c r="F91" s="565"/>
      <c r="G91" s="23"/>
    </row>
    <row r="92" spans="1:7">
      <c r="B92" s="565"/>
      <c r="C92" s="565"/>
      <c r="D92" s="565"/>
      <c r="E92" s="565"/>
      <c r="F92" s="565"/>
      <c r="G92" s="23"/>
    </row>
    <row r="93" spans="1:7">
      <c r="B93" s="565"/>
      <c r="C93" s="565"/>
      <c r="D93" s="565"/>
      <c r="E93" s="565"/>
      <c r="F93" s="565"/>
      <c r="G93" s="23"/>
    </row>
    <row r="94" spans="1:7" ht="12" customHeight="1">
      <c r="B94" s="565" t="s">
        <v>356</v>
      </c>
      <c r="C94" s="565"/>
      <c r="D94" s="565"/>
      <c r="E94" s="565"/>
      <c r="F94" s="565"/>
      <c r="G94" s="55" t="s">
        <v>110</v>
      </c>
    </row>
    <row r="95" spans="1:7" ht="13.9" customHeight="1">
      <c r="B95" s="565"/>
      <c r="C95" s="565"/>
      <c r="D95" s="565"/>
      <c r="E95" s="565"/>
      <c r="F95" s="565"/>
      <c r="G95" s="324"/>
    </row>
    <row r="96" spans="1:7">
      <c r="B96" s="565"/>
      <c r="C96" s="565"/>
      <c r="D96" s="565"/>
      <c r="E96" s="565"/>
      <c r="F96" s="565"/>
      <c r="G96" s="324"/>
    </row>
    <row r="97" spans="2:7">
      <c r="B97" s="565"/>
      <c r="C97" s="565"/>
      <c r="D97" s="565"/>
      <c r="E97" s="565"/>
      <c r="F97" s="565"/>
      <c r="G97" s="324"/>
    </row>
    <row r="98" spans="2:7" ht="14.25">
      <c r="B98" s="564" t="s">
        <v>358</v>
      </c>
      <c r="C98" s="564"/>
      <c r="D98" s="564"/>
      <c r="E98" s="564"/>
      <c r="F98" s="564"/>
    </row>
    <row r="99" spans="2:7" ht="13.9" customHeight="1">
      <c r="B99" s="564" t="s">
        <v>360</v>
      </c>
      <c r="C99" s="564"/>
      <c r="D99" s="564"/>
      <c r="E99" s="564"/>
      <c r="F99" s="564"/>
    </row>
    <row r="100" spans="2:7" ht="13.9" customHeight="1">
      <c r="B100" s="564" t="s">
        <v>362</v>
      </c>
      <c r="C100" s="564"/>
      <c r="D100" s="564"/>
      <c r="E100" s="564"/>
      <c r="F100" s="564"/>
    </row>
    <row r="102" spans="2:7" ht="15">
      <c r="B102" s="430"/>
    </row>
    <row r="103" spans="2:7">
      <c r="C103" s="372"/>
    </row>
    <row r="104" spans="2:7" ht="13.9" customHeight="1"/>
  </sheetData>
  <mergeCells count="13">
    <mergeCell ref="B82:F85"/>
    <mergeCell ref="B72:F75"/>
    <mergeCell ref="B61:F62"/>
    <mergeCell ref="B68:F69"/>
    <mergeCell ref="C3:D4"/>
    <mergeCell ref="B63:F64"/>
    <mergeCell ref="B98:F98"/>
    <mergeCell ref="B99:F99"/>
    <mergeCell ref="B100:F100"/>
    <mergeCell ref="B90:F93"/>
    <mergeCell ref="B86:F86"/>
    <mergeCell ref="B94:F97"/>
    <mergeCell ref="B87:F89"/>
  </mergeCells>
  <conditionalFormatting sqref="F7:F11 F25:F29 F31:F52 F54:F55">
    <cfRule type="cellIs" dxfId="187" priority="61" operator="greaterThan">
      <formula>#REF!</formula>
    </cfRule>
    <cfRule type="cellIs" dxfId="186" priority="62" operator="greaterThan">
      <formula>#REF!</formula>
    </cfRule>
  </conditionalFormatting>
  <conditionalFormatting sqref="F14 F17:F22">
    <cfRule type="cellIs" dxfId="185" priority="57" operator="greaterThan">
      <formula>#REF!</formula>
    </cfRule>
    <cfRule type="cellIs" dxfId="184" priority="58" operator="greaterThan">
      <formula>#REF!</formula>
    </cfRule>
  </conditionalFormatting>
  <conditionalFormatting sqref="F12">
    <cfRule type="cellIs" dxfId="183" priority="55" operator="greaterThan">
      <formula>#REF!</formula>
    </cfRule>
    <cfRule type="cellIs" dxfId="182" priority="56" operator="greaterThan">
      <formula>#REF!</formula>
    </cfRule>
  </conditionalFormatting>
  <conditionalFormatting sqref="F23:F24">
    <cfRule type="cellIs" dxfId="181" priority="53" operator="greaterThan">
      <formula>#REF!</formula>
    </cfRule>
    <cfRule type="cellIs" dxfId="180" priority="54" operator="greaterThan">
      <formula>#REF!</formula>
    </cfRule>
  </conditionalFormatting>
  <conditionalFormatting sqref="F56:F57">
    <cfRule type="cellIs" dxfId="179" priority="51" operator="greaterThan">
      <formula>#REF!</formula>
    </cfRule>
    <cfRule type="cellIs" dxfId="178" priority="52" operator="greaterThan">
      <formula>#REF!</formula>
    </cfRule>
  </conditionalFormatting>
  <conditionalFormatting sqref="F30">
    <cfRule type="cellIs" dxfId="177" priority="7" operator="greaterThan">
      <formula>#REF!</formula>
    </cfRule>
    <cfRule type="cellIs" dxfId="176" priority="8" operator="greaterThan">
      <formula>#REF!</formula>
    </cfRule>
  </conditionalFormatting>
  <conditionalFormatting sqref="F15">
    <cfRule type="cellIs" dxfId="175" priority="5" operator="greaterThan">
      <formula>#REF!</formula>
    </cfRule>
    <cfRule type="cellIs" dxfId="174" priority="6" operator="greaterThan">
      <formula>#REF!</formula>
    </cfRule>
  </conditionalFormatting>
  <conditionalFormatting sqref="F16">
    <cfRule type="cellIs" dxfId="173" priority="3" operator="greaterThan">
      <formula>#REF!</formula>
    </cfRule>
    <cfRule type="cellIs" dxfId="172" priority="4" operator="greaterThan">
      <formula>#REF!</formula>
    </cfRule>
  </conditionalFormatting>
  <conditionalFormatting sqref="F53">
    <cfRule type="cellIs" dxfId="171" priority="1" operator="greaterThan">
      <formula>#REF!</formula>
    </cfRule>
    <cfRule type="cellIs" dxfId="170" priority="2" operator="greaterThan">
      <formula>#REF!</formula>
    </cfRule>
  </conditionalFormatting>
  <printOptions horizontalCentered="1"/>
  <pageMargins left="0.75" right="0.75" top="1.6" bottom="1" header="0.75" footer="0.5"/>
  <pageSetup paperSize="119" fitToHeight="0" orientation="portrait" r:id="rId1"/>
  <headerFooter>
    <oddHeader>&amp;C&amp;"-,Bold"Table B-3
Potential Emissions from Vaporizer
Puget Sound Energy – Liquefied Natural Gas Project
Tacoma, Washington&amp;R&amp;8Page &amp;P of &amp;N</oddHeader>
    <oddFooter>&amp;L&amp;6 May 2017  &amp;Z&amp;F  &amp;A&amp;R&amp;9Landau Associates</oddFooter>
  </headerFooter>
  <rowBreaks count="1" manualBreakCount="1">
    <brk id="80" min="1" max="5"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P110"/>
  <sheetViews>
    <sheetView topLeftCell="B23" zoomScaleNormal="100" zoomScaleSheetLayoutView="100" zoomScalePageLayoutView="85" workbookViewId="0">
      <selection activeCell="F60" sqref="F60"/>
    </sheetView>
  </sheetViews>
  <sheetFormatPr defaultColWidth="9.140625" defaultRowHeight="12"/>
  <cols>
    <col min="1" max="1" width="0" style="81" hidden="1" customWidth="1"/>
    <col min="2" max="2" width="27.28515625" style="38" customWidth="1"/>
    <col min="3" max="3" width="12.140625" style="38" customWidth="1"/>
    <col min="4" max="4" width="10" style="38" bestFit="1" customWidth="1"/>
    <col min="5" max="5" width="1.7109375" style="8" bestFit="1" customWidth="1"/>
    <col min="6" max="6" width="13.85546875" style="8" customWidth="1"/>
    <col min="7" max="7" width="15.5703125" style="38" customWidth="1"/>
    <col min="8" max="8" width="0" style="81" hidden="1" customWidth="1"/>
    <col min="9" max="9" width="1.28515625" style="17" customWidth="1"/>
    <col min="10" max="10" width="9.140625" style="17"/>
    <col min="11" max="16384" width="9.140625" style="63"/>
  </cols>
  <sheetData>
    <row r="1" spans="1:16">
      <c r="B1" s="161" t="s">
        <v>192</v>
      </c>
      <c r="C1" s="161"/>
      <c r="D1" s="161"/>
      <c r="E1" s="161"/>
      <c r="F1" s="161"/>
      <c r="G1" s="161"/>
      <c r="J1" s="63"/>
    </row>
    <row r="2" spans="1:16">
      <c r="J2" s="63"/>
    </row>
    <row r="3" spans="1:16" s="17" customFormat="1">
      <c r="A3" s="23"/>
      <c r="B3" s="236"/>
      <c r="C3" s="571" t="s">
        <v>31</v>
      </c>
      <c r="D3" s="572"/>
      <c r="E3" s="573"/>
      <c r="F3" s="244" t="s">
        <v>98</v>
      </c>
      <c r="G3" s="244"/>
      <c r="H3" s="23"/>
    </row>
    <row r="4" spans="1:16" s="17" customFormat="1" ht="14.25">
      <c r="A4" s="23"/>
      <c r="B4" s="238"/>
      <c r="C4" s="574"/>
      <c r="D4" s="575"/>
      <c r="E4" s="576"/>
      <c r="F4" s="245" t="s">
        <v>210</v>
      </c>
      <c r="G4" s="245" t="s">
        <v>211</v>
      </c>
      <c r="H4" s="23"/>
    </row>
    <row r="5" spans="1:16" s="17" customFormat="1" ht="15.75" customHeight="1" thickBot="1">
      <c r="A5" s="395" t="s">
        <v>302</v>
      </c>
      <c r="B5" s="418" t="s">
        <v>30</v>
      </c>
      <c r="C5" s="577"/>
      <c r="D5" s="578"/>
      <c r="E5" s="579"/>
      <c r="F5" s="242" t="s">
        <v>113</v>
      </c>
      <c r="G5" s="242" t="s">
        <v>114</v>
      </c>
      <c r="H5" s="395" t="str">
        <f>'3 Vapor'!C5</f>
        <v>(lb/MMcf)</v>
      </c>
    </row>
    <row r="6" spans="1:16" s="17" customFormat="1" ht="12.75" thickTop="1">
      <c r="A6" s="23"/>
      <c r="B6" s="82" t="s">
        <v>77</v>
      </c>
      <c r="C6" s="420"/>
      <c r="D6" s="420"/>
      <c r="E6" s="93"/>
      <c r="F6" s="421"/>
      <c r="G6" s="421"/>
      <c r="H6" s="23"/>
    </row>
    <row r="7" spans="1:16" s="17" customFormat="1" ht="14.25">
      <c r="A7" s="395" t="s">
        <v>300</v>
      </c>
      <c r="B7" s="83" t="s">
        <v>185</v>
      </c>
      <c r="C7" s="122">
        <f>H7/1020</f>
        <v>7.4509803921568628E-3</v>
      </c>
      <c r="D7" s="122" t="s">
        <v>102</v>
      </c>
      <c r="E7" s="243">
        <f>'3 Vapor'!D7</f>
        <v>1</v>
      </c>
      <c r="F7" s="327">
        <f>C7*$D$67</f>
        <v>7.5813725490196091E-2</v>
      </c>
      <c r="G7" s="84">
        <f>C7*$D$67*$D$68/2000</f>
        <v>0.3320641176470589</v>
      </c>
      <c r="H7" s="395">
        <f>INDEX('3 Vapor'!C:C,MATCH(A7,'3 Vapor'!A:A,0))</f>
        <v>7.6</v>
      </c>
    </row>
    <row r="8" spans="1:16" s="17" customFormat="1" ht="14.25">
      <c r="A8" s="395">
        <v>2025884</v>
      </c>
      <c r="B8" s="83" t="s">
        <v>184</v>
      </c>
      <c r="C8" s="96">
        <f>D72*D73/10^6*2*10^6*D74</f>
        <v>67.547574122485784</v>
      </c>
      <c r="D8" s="97" t="s">
        <v>169</v>
      </c>
      <c r="E8" s="243" t="s">
        <v>212</v>
      </c>
      <c r="F8" s="326">
        <f>C8*$D$69/1000000</f>
        <v>2.0827168687766453</v>
      </c>
      <c r="G8" s="86">
        <f>C8*$D$69/1000000*$D$68/2000</f>
        <v>9.1222998852417057</v>
      </c>
      <c r="H8" s="395"/>
    </row>
    <row r="9" spans="1:16" s="17" customFormat="1" ht="14.25">
      <c r="A9" s="398" t="s">
        <v>311</v>
      </c>
      <c r="B9" s="83" t="s">
        <v>213</v>
      </c>
      <c r="C9" s="311">
        <v>2.3488943488943485E-2</v>
      </c>
      <c r="D9" s="95" t="s">
        <v>102</v>
      </c>
      <c r="E9" s="246" t="s">
        <v>234</v>
      </c>
      <c r="F9" s="326">
        <f>C9*$D$67</f>
        <v>0.23899999999999996</v>
      </c>
      <c r="G9" s="86">
        <f>C9*$D$67*$D$68/2000</f>
        <v>1.0468199999999999</v>
      </c>
      <c r="H9" s="395"/>
      <c r="J9" s="138"/>
      <c r="K9" s="138"/>
      <c r="L9" s="138"/>
      <c r="M9" s="310"/>
      <c r="N9" s="310"/>
      <c r="O9" s="310"/>
      <c r="P9" s="310"/>
    </row>
    <row r="10" spans="1:16" s="17" customFormat="1" ht="14.25">
      <c r="A10" s="395" t="s">
        <v>73</v>
      </c>
      <c r="B10" s="83" t="s">
        <v>0</v>
      </c>
      <c r="C10" s="311">
        <v>7.5184275184275187E-2</v>
      </c>
      <c r="D10" s="95" t="s">
        <v>102</v>
      </c>
      <c r="E10" s="246" t="s">
        <v>234</v>
      </c>
      <c r="F10" s="326">
        <f>C10*$D$67</f>
        <v>0.76500000000000012</v>
      </c>
      <c r="G10" s="86">
        <f>C10*$D$67*$D$68/2000</f>
        <v>3.3507000000000007</v>
      </c>
      <c r="H10" s="395"/>
    </row>
    <row r="11" spans="1:16" s="17" customFormat="1" ht="14.25">
      <c r="A11" s="395" t="s">
        <v>1</v>
      </c>
      <c r="B11" s="83" t="s">
        <v>101</v>
      </c>
      <c r="C11" s="96">
        <f>$D$72*$D$77*(1-$D$74)*10^6</f>
        <v>97.201644086296895</v>
      </c>
      <c r="D11" s="97" t="s">
        <v>169</v>
      </c>
      <c r="E11" s="243" t="s">
        <v>218</v>
      </c>
      <c r="F11" s="320">
        <f>$C$11*$D$69/1000000</f>
        <v>2.9970506926608209</v>
      </c>
      <c r="G11" s="88">
        <f>C11*$D$69/1000000*$D$68/2000</f>
        <v>13.127082033854396</v>
      </c>
      <c r="H11" s="395"/>
    </row>
    <row r="12" spans="1:16" s="17" customFormat="1" ht="14.25">
      <c r="A12" s="395" t="s">
        <v>306</v>
      </c>
      <c r="B12" s="98" t="s">
        <v>78</v>
      </c>
      <c r="C12" s="410">
        <f>H12/1020</f>
        <v>4.9019607843137254E-7</v>
      </c>
      <c r="D12" s="125" t="s">
        <v>102</v>
      </c>
      <c r="E12" s="297">
        <f>'3 Vapor'!D12</f>
        <v>1</v>
      </c>
      <c r="F12" s="321">
        <f>$C$12*$D$67</f>
        <v>4.9877450980392164E-6</v>
      </c>
      <c r="G12" s="90">
        <f>C12*$D$67*$D$68/2000</f>
        <v>2.1846323529411768E-5</v>
      </c>
      <c r="H12" s="395">
        <f>INDEX('3 Vapor'!C:C,MATCH(A12,'3 Vapor'!A:A,0))</f>
        <v>5.0000000000000001E-4</v>
      </c>
    </row>
    <row r="13" spans="1:16" s="17" customFormat="1">
      <c r="A13" s="395"/>
      <c r="B13" s="101" t="s">
        <v>158</v>
      </c>
      <c r="C13" s="127"/>
      <c r="D13" s="102"/>
      <c r="E13" s="383"/>
      <c r="F13" s="381"/>
      <c r="G13" s="103"/>
      <c r="H13" s="395"/>
    </row>
    <row r="14" spans="1:16" s="17" customFormat="1" ht="14.25">
      <c r="A14" s="395" t="s">
        <v>56</v>
      </c>
      <c r="B14" s="83" t="s">
        <v>9</v>
      </c>
      <c r="C14" s="129">
        <f t="shared" ref="C14:C17" si="0">H14/1020</f>
        <v>8.3039215686274504E-6</v>
      </c>
      <c r="D14" s="122" t="s">
        <v>102</v>
      </c>
      <c r="E14" s="243" t="s">
        <v>235</v>
      </c>
      <c r="F14" s="321">
        <f t="shared" ref="F14:F26" si="1">C14*$D$67</f>
        <v>8.4492401960784309E-5</v>
      </c>
      <c r="G14" s="90">
        <f t="shared" ref="G14:G15" si="2">C14*$D$67*$D$68/2000</f>
        <v>3.7007672058823524E-4</v>
      </c>
      <c r="H14" s="395">
        <f>INDEX('3 Vapor'!C:C,MATCH(A14,'3 Vapor'!A:A,0))</f>
        <v>8.4700000000000001E-3</v>
      </c>
    </row>
    <row r="15" spans="1:16" s="17" customFormat="1" ht="14.25">
      <c r="A15" s="395" t="s">
        <v>57</v>
      </c>
      <c r="B15" s="83" t="s">
        <v>10</v>
      </c>
      <c r="C15" s="129">
        <f t="shared" si="0"/>
        <v>2.647058823529412E-6</v>
      </c>
      <c r="D15" s="122" t="s">
        <v>102</v>
      </c>
      <c r="E15" s="243" t="s">
        <v>235</v>
      </c>
      <c r="F15" s="321">
        <f t="shared" si="1"/>
        <v>2.6933823529411769E-5</v>
      </c>
      <c r="G15" s="90">
        <f t="shared" si="2"/>
        <v>1.1797014705882356E-4</v>
      </c>
      <c r="H15" s="395">
        <f>INDEX('3 Vapor'!C:C,MATCH(A15,'3 Vapor'!A:A,0))</f>
        <v>2.7000000000000001E-3</v>
      </c>
    </row>
    <row r="16" spans="1:16" s="17" customFormat="1" ht="14.25">
      <c r="A16" s="395" t="s">
        <v>153</v>
      </c>
      <c r="B16" s="83" t="s">
        <v>152</v>
      </c>
      <c r="C16" s="129">
        <f t="shared" si="0"/>
        <v>3.1372549019607846E-3</v>
      </c>
      <c r="D16" s="122" t="s">
        <v>102</v>
      </c>
      <c r="E16" s="243" t="s">
        <v>235</v>
      </c>
      <c r="F16" s="321">
        <f t="shared" si="1"/>
        <v>3.1921568627450984E-2</v>
      </c>
      <c r="G16" s="90">
        <f t="shared" ref="G16:G26" si="3">C16*$D$67*$D$68/2000</f>
        <v>0.13981647058823532</v>
      </c>
      <c r="H16" s="395">
        <f>INDEX('3 Vapor'!C:C,MATCH(A16,'3 Vapor'!A:A,0))</f>
        <v>3.2</v>
      </c>
    </row>
    <row r="17" spans="1:9" s="17" customFormat="1" ht="14.25">
      <c r="A17" s="395" t="s">
        <v>308</v>
      </c>
      <c r="B17" s="83" t="s">
        <v>33</v>
      </c>
      <c r="C17" s="129">
        <f t="shared" si="0"/>
        <v>1.9607843137254904E-7</v>
      </c>
      <c r="D17" s="122" t="s">
        <v>102</v>
      </c>
      <c r="E17" s="243">
        <v>4</v>
      </c>
      <c r="F17" s="321">
        <f t="shared" si="1"/>
        <v>1.9950980392156867E-6</v>
      </c>
      <c r="G17" s="90">
        <f t="shared" si="3"/>
        <v>8.7385294117647068E-6</v>
      </c>
      <c r="H17" s="395">
        <f>INDEX('3 Vapor'!C:C,MATCH(A17,'3 Vapor'!A:A,0))</f>
        <v>2.0000000000000001E-4</v>
      </c>
    </row>
    <row r="18" spans="1:9" s="17" customFormat="1" ht="14.25">
      <c r="A18" s="395" t="s">
        <v>59</v>
      </c>
      <c r="B18" s="83" t="s">
        <v>12</v>
      </c>
      <c r="C18" s="129">
        <f>$D$80/(453.6*10^6)/35.31*10^6/$D$85*(1-$D$74)</f>
        <v>1.702331003508745E-6</v>
      </c>
      <c r="D18" s="122" t="s">
        <v>102</v>
      </c>
      <c r="E18" s="243">
        <v>5</v>
      </c>
      <c r="F18" s="321">
        <f t="shared" si="1"/>
        <v>1.7321217960701482E-5</v>
      </c>
      <c r="G18" s="90">
        <f t="shared" si="3"/>
        <v>7.5866934667872485E-5</v>
      </c>
      <c r="H18" s="395">
        <f>INDEX('3 Vapor'!C:C,MATCH(A18,'3 Vapor'!A:A,0))</f>
        <v>5.7999999999999996E-3</v>
      </c>
    </row>
    <row r="19" spans="1:9" s="17" customFormat="1" ht="14.25">
      <c r="A19" s="395" t="s">
        <v>307</v>
      </c>
      <c r="B19" s="83" t="s">
        <v>34</v>
      </c>
      <c r="C19" s="129">
        <f>H19/1020</f>
        <v>1.1764705882352941E-8</v>
      </c>
      <c r="D19" s="122" t="s">
        <v>102</v>
      </c>
      <c r="E19" s="246" t="s">
        <v>239</v>
      </c>
      <c r="F19" s="321">
        <f t="shared" si="1"/>
        <v>1.1970588235294118E-7</v>
      </c>
      <c r="G19" s="90">
        <f t="shared" si="3"/>
        <v>5.2431176470588233E-7</v>
      </c>
      <c r="H19" s="395">
        <f>INDEX('3 Vapor'!C:C,MATCH(A19,'3 Vapor'!A:A,0))</f>
        <v>1.2E-5</v>
      </c>
    </row>
    <row r="20" spans="1:9" s="17" customFormat="1" ht="14.25">
      <c r="A20" s="395" t="s">
        <v>69</v>
      </c>
      <c r="B20" s="83" t="s">
        <v>35</v>
      </c>
      <c r="C20" s="129">
        <f>H20/1020</f>
        <v>1.0784313725490197E-6</v>
      </c>
      <c r="D20" s="122" t="s">
        <v>102</v>
      </c>
      <c r="E20" s="246" t="s">
        <v>239</v>
      </c>
      <c r="F20" s="321">
        <f t="shared" si="1"/>
        <v>1.0973039215686276E-5</v>
      </c>
      <c r="G20" s="90">
        <f t="shared" si="3"/>
        <v>4.806191176470589E-5</v>
      </c>
      <c r="H20" s="395">
        <f>INDEX('3 Vapor'!C:C,MATCH(A20,'3 Vapor'!A:A,0))</f>
        <v>1.1000000000000001E-3</v>
      </c>
    </row>
    <row r="21" spans="1:9" s="17" customFormat="1" ht="14.25">
      <c r="A21" s="395" t="s">
        <v>290</v>
      </c>
      <c r="B21" s="83" t="s">
        <v>80</v>
      </c>
      <c r="C21" s="129">
        <f>H21/1020</f>
        <v>1.3725490196078432E-6</v>
      </c>
      <c r="D21" s="122" t="s">
        <v>102</v>
      </c>
      <c r="E21" s="246" t="s">
        <v>239</v>
      </c>
      <c r="F21" s="321">
        <f t="shared" si="1"/>
        <v>1.3965686274509805E-5</v>
      </c>
      <c r="G21" s="90">
        <f t="shared" si="3"/>
        <v>6.1169705882352946E-5</v>
      </c>
      <c r="H21" s="395">
        <f>INDEX('3 Vapor'!C:C,MATCH(A21,'3 Vapor'!A:A,0))</f>
        <v>1.4E-3</v>
      </c>
    </row>
    <row r="22" spans="1:9" s="17" customFormat="1" ht="14.25">
      <c r="A22" s="395" t="s">
        <v>70</v>
      </c>
      <c r="B22" s="83" t="s">
        <v>36</v>
      </c>
      <c r="C22" s="129">
        <f>H22/1020</f>
        <v>8.2352941176470587E-8</v>
      </c>
      <c r="D22" s="122" t="s">
        <v>102</v>
      </c>
      <c r="E22" s="246" t="s">
        <v>239</v>
      </c>
      <c r="F22" s="321">
        <f t="shared" si="1"/>
        <v>8.3794117647058824E-7</v>
      </c>
      <c r="G22" s="90">
        <f t="shared" si="3"/>
        <v>3.6701823529411764E-6</v>
      </c>
      <c r="H22" s="395">
        <f>INDEX('3 Vapor'!C:C,MATCH(A22,'3 Vapor'!A:A,0))</f>
        <v>8.3999999999999995E-5</v>
      </c>
    </row>
    <row r="23" spans="1:9" s="17" customFormat="1" ht="14.25">
      <c r="A23" s="395" t="s">
        <v>299</v>
      </c>
      <c r="B23" s="83" t="s">
        <v>37</v>
      </c>
      <c r="C23" s="129">
        <f>H23/1020</f>
        <v>8.3333333333333333E-7</v>
      </c>
      <c r="D23" s="122" t="s">
        <v>102</v>
      </c>
      <c r="E23" s="246" t="s">
        <v>239</v>
      </c>
      <c r="F23" s="321">
        <f t="shared" si="1"/>
        <v>8.4791666666666667E-6</v>
      </c>
      <c r="G23" s="90">
        <f t="shared" si="3"/>
        <v>3.7138750000000001E-5</v>
      </c>
      <c r="H23" s="395">
        <f>INDEX('3 Vapor'!C:C,MATCH(A23,'3 Vapor'!A:A,0))</f>
        <v>8.4999999999999995E-4</v>
      </c>
    </row>
    <row r="24" spans="1:9" s="17" customFormat="1" ht="14.25">
      <c r="A24" s="395" t="s">
        <v>150</v>
      </c>
      <c r="B24" s="83" t="s">
        <v>19</v>
      </c>
      <c r="C24" s="129">
        <f>$D$81/(453.6*10^6)/35.31*10^6/$D$85*(1-$D$74)</f>
        <v>8.2260290102436012E-8</v>
      </c>
      <c r="D24" s="122" t="s">
        <v>102</v>
      </c>
      <c r="E24" s="246" t="s">
        <v>240</v>
      </c>
      <c r="F24" s="321">
        <f t="shared" si="1"/>
        <v>8.3699845179228644E-7</v>
      </c>
      <c r="G24" s="90">
        <f t="shared" si="3"/>
        <v>3.6660532188502147E-6</v>
      </c>
      <c r="H24" s="395"/>
    </row>
    <row r="25" spans="1:9" s="17" customFormat="1" ht="14.25">
      <c r="A25" s="395" t="s">
        <v>65</v>
      </c>
      <c r="B25" s="83" t="s">
        <v>22</v>
      </c>
      <c r="C25" s="129">
        <f>H25/1020</f>
        <v>7.3529411764705876E-5</v>
      </c>
      <c r="D25" s="122" t="s">
        <v>102</v>
      </c>
      <c r="E25" s="243">
        <v>5</v>
      </c>
      <c r="F25" s="321">
        <f t="shared" si="1"/>
        <v>7.4816176470588239E-4</v>
      </c>
      <c r="G25" s="90">
        <f t="shared" si="3"/>
        <v>3.2769485294117649E-3</v>
      </c>
      <c r="H25" s="395">
        <f>INDEX('3 Vapor'!C:C,MATCH(A25,'3 Vapor'!A:A,0))</f>
        <v>7.4999999999999997E-2</v>
      </c>
    </row>
    <row r="26" spans="1:9" s="17" customFormat="1" ht="14.25">
      <c r="A26" s="395" t="s">
        <v>154</v>
      </c>
      <c r="B26" s="83" t="s">
        <v>23</v>
      </c>
      <c r="C26" s="129">
        <f>H26/1020</f>
        <v>1.7647058823529412E-3</v>
      </c>
      <c r="D26" s="122" t="s">
        <v>102</v>
      </c>
      <c r="E26" s="246" t="s">
        <v>240</v>
      </c>
      <c r="F26" s="321">
        <f t="shared" si="1"/>
        <v>1.7955882352941179E-2</v>
      </c>
      <c r="G26" s="90">
        <f t="shared" si="3"/>
        <v>7.864676470588236E-2</v>
      </c>
      <c r="H26" s="395">
        <f>INDEX('3 Vapor'!C:C,MATCH(A26,'3 Vapor'!A:A,0))</f>
        <v>1.8</v>
      </c>
    </row>
    <row r="27" spans="1:9" s="210" customFormat="1" ht="14.25">
      <c r="A27" s="395">
        <v>2148878</v>
      </c>
      <c r="B27" s="83" t="s">
        <v>155</v>
      </c>
      <c r="C27" s="129">
        <f>$D$72*$D$73/10^6*34/32*10^6*(1-$D$74)</f>
        <v>0.36247119952091528</v>
      </c>
      <c r="D27" s="122" t="s">
        <v>102</v>
      </c>
      <c r="E27" s="246" t="s">
        <v>220</v>
      </c>
      <c r="F27" s="321">
        <f>C27*$D$69/1000000</f>
        <v>1.1176195318561555E-2</v>
      </c>
      <c r="G27" s="90">
        <f>C27*$D$69/1000000*$D$68/2000</f>
        <v>4.8951735495299617E-2</v>
      </c>
      <c r="H27" s="395"/>
      <c r="I27" s="394"/>
    </row>
    <row r="28" spans="1:9" s="17" customFormat="1" ht="14.25">
      <c r="A28" s="395" t="s">
        <v>306</v>
      </c>
      <c r="B28" s="83" t="s">
        <v>81</v>
      </c>
      <c r="C28" s="129">
        <f>H28/1020</f>
        <v>4.9019607843137254E-7</v>
      </c>
      <c r="D28" s="122" t="s">
        <v>102</v>
      </c>
      <c r="E28" s="243">
        <v>1</v>
      </c>
      <c r="F28" s="321">
        <f>C28*$D$67</f>
        <v>4.9877450980392164E-6</v>
      </c>
      <c r="G28" s="90">
        <f>C28*$D$67*$D$68/2000</f>
        <v>2.1846323529411768E-5</v>
      </c>
      <c r="H28" s="395">
        <f>INDEX('3 Vapor'!C:C,MATCH(A28,'3 Vapor'!A:A,0))</f>
        <v>5.0000000000000001E-4</v>
      </c>
    </row>
    <row r="29" spans="1:9" s="17" customFormat="1" ht="14.25">
      <c r="A29" s="395" t="s">
        <v>305</v>
      </c>
      <c r="B29" s="83" t="s">
        <v>38</v>
      </c>
      <c r="C29" s="129">
        <f>H29/1020</f>
        <v>3.7254901960784315E-7</v>
      </c>
      <c r="D29" s="122" t="s">
        <v>102</v>
      </c>
      <c r="E29" s="246" t="s">
        <v>239</v>
      </c>
      <c r="F29" s="321">
        <f>C29*$D$67</f>
        <v>3.7906862745098045E-6</v>
      </c>
      <c r="G29" s="90">
        <f>C29*$D$67*$D$68/2000</f>
        <v>1.6603205882352945E-5</v>
      </c>
      <c r="H29" s="395">
        <f>INDEX('3 Vapor'!C:C,MATCH(A29,'3 Vapor'!A:A,0))</f>
        <v>3.8000000000000002E-4</v>
      </c>
    </row>
    <row r="30" spans="1:9" s="17" customFormat="1" ht="14.25">
      <c r="A30" s="395" t="s">
        <v>71</v>
      </c>
      <c r="B30" s="83" t="s">
        <v>39</v>
      </c>
      <c r="C30" s="129">
        <f>H30/1020</f>
        <v>2.5490196078431371E-7</v>
      </c>
      <c r="D30" s="122" t="s">
        <v>102</v>
      </c>
      <c r="E30" s="246" t="s">
        <v>239</v>
      </c>
      <c r="F30" s="321">
        <f>C30*$D$67</f>
        <v>2.5936274509803922E-6</v>
      </c>
      <c r="G30" s="90">
        <f>C30*$D$67*$D$68/2000</f>
        <v>1.1360088235294118E-5</v>
      </c>
      <c r="H30" s="395">
        <f>INDEX('3 Vapor'!C:C,MATCH(A30,'3 Vapor'!A:A,0))</f>
        <v>2.5999999999999998E-4</v>
      </c>
    </row>
    <row r="31" spans="1:9" s="17" customFormat="1" ht="14.25">
      <c r="A31" s="395" t="s">
        <v>67</v>
      </c>
      <c r="B31" s="83" t="s">
        <v>24</v>
      </c>
      <c r="C31" s="129">
        <f>C51</f>
        <v>5.9803921568627444E-7</v>
      </c>
      <c r="D31" s="122" t="str">
        <f t="shared" ref="D31:G31" si="4">D51</f>
        <v>lb/MMBtu</v>
      </c>
      <c r="E31" s="246" t="str">
        <f t="shared" si="4"/>
        <v>5</v>
      </c>
      <c r="F31" s="321">
        <f t="shared" si="4"/>
        <v>6.0850490196078429E-6</v>
      </c>
      <c r="G31" s="90">
        <f t="shared" si="4"/>
        <v>2.6652514705882351E-5</v>
      </c>
      <c r="H31" s="395"/>
    </row>
    <row r="32" spans="1:9" s="17" customFormat="1" ht="14.25">
      <c r="A32" s="395" t="s">
        <v>293</v>
      </c>
      <c r="B32" s="83" t="s">
        <v>40</v>
      </c>
      <c r="C32" s="129">
        <f>H32/1020</f>
        <v>2.0588235294117645E-6</v>
      </c>
      <c r="D32" s="122" t="s">
        <v>102</v>
      </c>
      <c r="E32" s="246" t="s">
        <v>239</v>
      </c>
      <c r="F32" s="321">
        <f t="shared" ref="F32:F47" si="5">C32*$D$67</f>
        <v>2.0948529411764705E-5</v>
      </c>
      <c r="G32" s="90">
        <f t="shared" ref="G32:G47" si="6">C32*$D$67*$D$68/2000</f>
        <v>9.1754558823529405E-5</v>
      </c>
      <c r="H32" s="395">
        <f>INDEX('3 Vapor'!C:C,MATCH(A32,'3 Vapor'!A:A,0))</f>
        <v>2.0999999999999999E-3</v>
      </c>
      <c r="I32" s="210"/>
    </row>
    <row r="33" spans="1:10" s="17" customFormat="1" ht="14.25">
      <c r="A33" s="395" t="s">
        <v>296</v>
      </c>
      <c r="B33" s="83" t="s">
        <v>82</v>
      </c>
      <c r="C33" s="104">
        <f>SUM(C34:C53)</f>
        <v>1.8609803921568625E-6</v>
      </c>
      <c r="D33" s="122" t="s">
        <v>102</v>
      </c>
      <c r="E33" s="246" t="s">
        <v>240</v>
      </c>
      <c r="F33" s="321">
        <f t="shared" si="5"/>
        <v>1.8935475490196076E-5</v>
      </c>
      <c r="G33" s="90">
        <f t="shared" si="6"/>
        <v>8.293738264705881E-5</v>
      </c>
      <c r="H33" s="395">
        <f>INDEX('3 Vapor'!C:C,MATCH(A33,'3 Vapor'!A:A,0))</f>
        <v>1.8981999999999998E-3</v>
      </c>
    </row>
    <row r="34" spans="1:10" s="17" customFormat="1" ht="14.25">
      <c r="A34" s="395" t="s">
        <v>285</v>
      </c>
      <c r="B34" s="105" t="s">
        <v>4</v>
      </c>
      <c r="C34" s="411">
        <f t="shared" ref="C34:C55" si="7">H34/1020</f>
        <v>2.3529411764705881E-8</v>
      </c>
      <c r="D34" s="131" t="s">
        <v>102</v>
      </c>
      <c r="E34" s="246" t="s">
        <v>240</v>
      </c>
      <c r="F34" s="382">
        <f t="shared" si="5"/>
        <v>2.3941176470588236E-7</v>
      </c>
      <c r="G34" s="107">
        <f t="shared" si="6"/>
        <v>1.0486235294117647E-6</v>
      </c>
      <c r="H34" s="395">
        <f>INDEX('3 Vapor'!C:C,MATCH(A34,'3 Vapor'!A:A,0))</f>
        <v>2.4000000000000001E-5</v>
      </c>
    </row>
    <row r="35" spans="1:10" s="17" customFormat="1" ht="14.25">
      <c r="A35" s="395" t="s">
        <v>54</v>
      </c>
      <c r="B35" s="105" t="s">
        <v>5</v>
      </c>
      <c r="C35" s="411">
        <f t="shared" si="7"/>
        <v>1.7647058823529412E-9</v>
      </c>
      <c r="D35" s="131" t="s">
        <v>102</v>
      </c>
      <c r="E35" s="246" t="s">
        <v>240</v>
      </c>
      <c r="F35" s="382">
        <f t="shared" si="5"/>
        <v>1.7955882352941176E-8</v>
      </c>
      <c r="G35" s="107">
        <f t="shared" si="6"/>
        <v>7.8646764705882352E-8</v>
      </c>
      <c r="H35" s="395">
        <f>INDEX('3 Vapor'!C:C,MATCH(A35,'3 Vapor'!A:A,0))</f>
        <v>1.7999999999999999E-6</v>
      </c>
    </row>
    <row r="36" spans="1:10" s="17" customFormat="1" ht="14.25">
      <c r="A36" s="395" t="s">
        <v>55</v>
      </c>
      <c r="B36" s="105" t="s">
        <v>6</v>
      </c>
      <c r="C36" s="411">
        <f t="shared" si="7"/>
        <v>1.5686274509803922E-8</v>
      </c>
      <c r="D36" s="131" t="s">
        <v>102</v>
      </c>
      <c r="E36" s="246" t="s">
        <v>240</v>
      </c>
      <c r="F36" s="382">
        <f t="shared" si="5"/>
        <v>1.5960784313725491E-7</v>
      </c>
      <c r="G36" s="107">
        <f t="shared" si="6"/>
        <v>6.9908235294117647E-7</v>
      </c>
      <c r="H36" s="395">
        <f>INDEX('3 Vapor'!C:C,MATCH(A36,'3 Vapor'!A:A,0))</f>
        <v>1.5999999999999999E-5</v>
      </c>
    </row>
    <row r="37" spans="1:10" s="17" customFormat="1" ht="14.25">
      <c r="A37" s="395" t="s">
        <v>287</v>
      </c>
      <c r="B37" s="105" t="s">
        <v>7</v>
      </c>
      <c r="C37" s="411">
        <f t="shared" si="7"/>
        <v>1.7647058823529412E-9</v>
      </c>
      <c r="D37" s="131" t="s">
        <v>102</v>
      </c>
      <c r="E37" s="246" t="s">
        <v>240</v>
      </c>
      <c r="F37" s="382">
        <f t="shared" si="5"/>
        <v>1.7955882352941176E-8</v>
      </c>
      <c r="G37" s="107">
        <f t="shared" si="6"/>
        <v>7.8646764705882352E-8</v>
      </c>
      <c r="H37" s="395">
        <f>INDEX('3 Vapor'!C:C,MATCH(A37,'3 Vapor'!A:A,0))</f>
        <v>1.7999999999999999E-6</v>
      </c>
    </row>
    <row r="38" spans="1:10" s="17" customFormat="1" ht="14.25">
      <c r="A38" s="395" t="s">
        <v>286</v>
      </c>
      <c r="B38" s="105" t="s">
        <v>8</v>
      </c>
      <c r="C38" s="411">
        <f t="shared" si="7"/>
        <v>1.7647058823529412E-9</v>
      </c>
      <c r="D38" s="131" t="s">
        <v>102</v>
      </c>
      <c r="E38" s="246" t="s">
        <v>240</v>
      </c>
      <c r="F38" s="382">
        <f t="shared" si="5"/>
        <v>1.7955882352941176E-8</v>
      </c>
      <c r="G38" s="107">
        <f t="shared" si="6"/>
        <v>7.8646764705882352E-8</v>
      </c>
      <c r="H38" s="395">
        <f>INDEX('3 Vapor'!C:C,MATCH(A38,'3 Vapor'!A:A,0))</f>
        <v>1.7999999999999999E-6</v>
      </c>
    </row>
    <row r="39" spans="1:10" s="17" customFormat="1" ht="14.25">
      <c r="A39" s="395" t="s">
        <v>288</v>
      </c>
      <c r="B39" s="105" t="s">
        <v>11</v>
      </c>
      <c r="C39" s="411">
        <f t="shared" si="7"/>
        <v>2.3529411764705881E-9</v>
      </c>
      <c r="D39" s="131" t="s">
        <v>102</v>
      </c>
      <c r="E39" s="246" t="s">
        <v>240</v>
      </c>
      <c r="F39" s="382">
        <f t="shared" si="5"/>
        <v>2.3941176470588234E-8</v>
      </c>
      <c r="G39" s="107">
        <f t="shared" si="6"/>
        <v>1.0486235294117646E-7</v>
      </c>
      <c r="H39" s="395">
        <f>INDEX('3 Vapor'!C:C,MATCH(A39,'3 Vapor'!A:A,0))</f>
        <v>2.3999999999999999E-6</v>
      </c>
    </row>
    <row r="40" spans="1:10" s="17" customFormat="1" ht="14.25">
      <c r="A40" s="395" t="s">
        <v>58</v>
      </c>
      <c r="B40" s="105" t="s">
        <v>83</v>
      </c>
      <c r="C40" s="411">
        <f t="shared" si="7"/>
        <v>1.7647058823529412E-9</v>
      </c>
      <c r="D40" s="131" t="s">
        <v>102</v>
      </c>
      <c r="E40" s="246" t="s">
        <v>240</v>
      </c>
      <c r="F40" s="382">
        <f t="shared" si="5"/>
        <v>1.7955882352941176E-8</v>
      </c>
      <c r="G40" s="107">
        <f t="shared" si="6"/>
        <v>7.8646764705882352E-8</v>
      </c>
      <c r="H40" s="395">
        <f>INDEX('3 Vapor'!C:C,MATCH(A40,'3 Vapor'!A:A,0))</f>
        <v>1.7999999999999999E-6</v>
      </c>
    </row>
    <row r="41" spans="1:10" s="17" customFormat="1" ht="14.25">
      <c r="A41" s="395" t="s">
        <v>60</v>
      </c>
      <c r="B41" s="105" t="s">
        <v>13</v>
      </c>
      <c r="C41" s="411">
        <f t="shared" si="7"/>
        <v>1.176470588235294E-9</v>
      </c>
      <c r="D41" s="131" t="s">
        <v>102</v>
      </c>
      <c r="E41" s="246" t="s">
        <v>240</v>
      </c>
      <c r="F41" s="382">
        <f t="shared" si="5"/>
        <v>1.1970588235294117E-8</v>
      </c>
      <c r="G41" s="107">
        <f t="shared" si="6"/>
        <v>5.243117647058823E-8</v>
      </c>
      <c r="H41" s="395">
        <f>INDEX('3 Vapor'!C:C,MATCH(A41,'3 Vapor'!A:A,0))</f>
        <v>1.1999999999999999E-6</v>
      </c>
    </row>
    <row r="42" spans="1:10" s="17" customFormat="1" ht="14.25">
      <c r="A42" s="395" t="s">
        <v>61</v>
      </c>
      <c r="B42" s="105" t="s">
        <v>14</v>
      </c>
      <c r="C42" s="411">
        <f t="shared" si="7"/>
        <v>1.7647058823529412E-9</v>
      </c>
      <c r="D42" s="131" t="s">
        <v>102</v>
      </c>
      <c r="E42" s="246" t="s">
        <v>240</v>
      </c>
      <c r="F42" s="382">
        <f t="shared" si="5"/>
        <v>1.7955882352941176E-8</v>
      </c>
      <c r="G42" s="107">
        <f t="shared" si="6"/>
        <v>7.8646764705882352E-8</v>
      </c>
      <c r="H42" s="395">
        <f>INDEX('3 Vapor'!C:C,MATCH(A42,'3 Vapor'!A:A,0))</f>
        <v>1.7999999999999999E-6</v>
      </c>
    </row>
    <row r="43" spans="1:10" s="17" customFormat="1" ht="14.25">
      <c r="A43" s="395" t="s">
        <v>289</v>
      </c>
      <c r="B43" s="105" t="s">
        <v>15</v>
      </c>
      <c r="C43" s="411">
        <f t="shared" si="7"/>
        <v>1.176470588235294E-9</v>
      </c>
      <c r="D43" s="131" t="s">
        <v>102</v>
      </c>
      <c r="E43" s="246" t="s">
        <v>240</v>
      </c>
      <c r="F43" s="382">
        <f t="shared" si="5"/>
        <v>1.1970588235294117E-8</v>
      </c>
      <c r="G43" s="107">
        <f t="shared" si="6"/>
        <v>5.243117647058823E-8</v>
      </c>
      <c r="H43" s="395">
        <f>INDEX('3 Vapor'!C:C,MATCH(A43,'3 Vapor'!A:A,0))</f>
        <v>1.1999999999999999E-6</v>
      </c>
    </row>
    <row r="44" spans="1:10" s="17" customFormat="1" ht="14.25">
      <c r="A44" s="395" t="s">
        <v>62</v>
      </c>
      <c r="B44" s="105" t="s">
        <v>16</v>
      </c>
      <c r="C44" s="411">
        <f t="shared" si="7"/>
        <v>1.7647058823529412E-9</v>
      </c>
      <c r="D44" s="131" t="s">
        <v>102</v>
      </c>
      <c r="E44" s="246" t="s">
        <v>240</v>
      </c>
      <c r="F44" s="382">
        <f t="shared" si="5"/>
        <v>1.7955882352941176E-8</v>
      </c>
      <c r="G44" s="107">
        <f t="shared" si="6"/>
        <v>7.8646764705882352E-8</v>
      </c>
      <c r="H44" s="395">
        <f>INDEX('3 Vapor'!C:C,MATCH(A44,'3 Vapor'!A:A,0))</f>
        <v>1.7999999999999999E-6</v>
      </c>
    </row>
    <row r="45" spans="1:10" s="17" customFormat="1" ht="14.25">
      <c r="A45" s="395" t="s">
        <v>63</v>
      </c>
      <c r="B45" s="109" t="s">
        <v>17</v>
      </c>
      <c r="C45" s="411">
        <f t="shared" si="7"/>
        <v>1.7647058823529412E-9</v>
      </c>
      <c r="D45" s="131" t="s">
        <v>102</v>
      </c>
      <c r="E45" s="246" t="s">
        <v>240</v>
      </c>
      <c r="F45" s="382">
        <f t="shared" si="5"/>
        <v>1.7955882352941176E-8</v>
      </c>
      <c r="G45" s="107">
        <f t="shared" si="6"/>
        <v>7.8646764705882352E-8</v>
      </c>
      <c r="H45" s="395">
        <f>INDEX('3 Vapor'!C:C,MATCH(A45,'3 Vapor'!A:A,0))</f>
        <v>1.7999999999999999E-6</v>
      </c>
    </row>
    <row r="46" spans="1:10" s="17" customFormat="1" ht="14.25">
      <c r="A46" s="395" t="s">
        <v>64</v>
      </c>
      <c r="B46" s="109" t="s">
        <v>84</v>
      </c>
      <c r="C46" s="411">
        <f t="shared" si="7"/>
        <v>1.176470588235294E-9</v>
      </c>
      <c r="D46" s="131" t="s">
        <v>102</v>
      </c>
      <c r="E46" s="246" t="s">
        <v>240</v>
      </c>
      <c r="F46" s="382">
        <f t="shared" si="5"/>
        <v>1.1970588235294117E-8</v>
      </c>
      <c r="G46" s="107">
        <f t="shared" si="6"/>
        <v>5.243117647058823E-8</v>
      </c>
      <c r="H46" s="395">
        <f>INDEX('3 Vapor'!C:C,MATCH(A46,'3 Vapor'!A:A,0))</f>
        <v>1.1999999999999999E-6</v>
      </c>
    </row>
    <row r="47" spans="1:10" s="17" customFormat="1" ht="14.25">
      <c r="A47" s="395" t="s">
        <v>151</v>
      </c>
      <c r="B47" s="109" t="s">
        <v>283</v>
      </c>
      <c r="C47" s="411">
        <f t="shared" si="7"/>
        <v>1.176470588235294E-6</v>
      </c>
      <c r="D47" s="131" t="s">
        <v>102</v>
      </c>
      <c r="E47" s="246" t="s">
        <v>240</v>
      </c>
      <c r="F47" s="382">
        <f t="shared" si="5"/>
        <v>1.1970588235294117E-5</v>
      </c>
      <c r="G47" s="107">
        <f t="shared" si="6"/>
        <v>5.243117647058823E-5</v>
      </c>
      <c r="H47" s="395">
        <f>INDEX('3 Vapor'!C:C,MATCH(A47,'3 Vapor'!A:A,0))</f>
        <v>1.1999999999999999E-3</v>
      </c>
    </row>
    <row r="48" spans="1:10" ht="14.25">
      <c r="A48" s="396" t="s">
        <v>291</v>
      </c>
      <c r="B48" s="109" t="s">
        <v>20</v>
      </c>
      <c r="C48" s="411">
        <f t="shared" si="7"/>
        <v>2.9411764705882352E-9</v>
      </c>
      <c r="D48" s="131" t="s">
        <v>102</v>
      </c>
      <c r="E48" s="246" t="s">
        <v>240</v>
      </c>
      <c r="F48" s="382">
        <f t="shared" ref="F48:F59" si="8">C48*$D$67</f>
        <v>2.9926470588235295E-8</v>
      </c>
      <c r="G48" s="107">
        <f t="shared" ref="G48:G59" si="9">C48*$D$67*$D$68/2000</f>
        <v>1.3107794117647058E-7</v>
      </c>
      <c r="H48" s="395">
        <f>INDEX('3 Vapor'!C:C,MATCH(A48,'3 Vapor'!A:A,0))</f>
        <v>3.0000000000000001E-6</v>
      </c>
      <c r="J48" s="63"/>
    </row>
    <row r="49" spans="1:10" ht="14.25">
      <c r="A49" s="396" t="s">
        <v>292</v>
      </c>
      <c r="B49" s="109" t="s">
        <v>21</v>
      </c>
      <c r="C49" s="411">
        <f t="shared" si="7"/>
        <v>2.7450980392156863E-9</v>
      </c>
      <c r="D49" s="131" t="s">
        <v>102</v>
      </c>
      <c r="E49" s="246" t="s">
        <v>240</v>
      </c>
      <c r="F49" s="382">
        <f t="shared" si="8"/>
        <v>2.7931372549019608E-8</v>
      </c>
      <c r="G49" s="107">
        <f t="shared" si="9"/>
        <v>1.223394117647059E-7</v>
      </c>
      <c r="H49" s="395">
        <f>INDEX('3 Vapor'!C:C,MATCH(A49,'3 Vapor'!A:A,0))</f>
        <v>2.7999999999999999E-6</v>
      </c>
      <c r="J49" s="63"/>
    </row>
    <row r="50" spans="1:10" ht="14.25">
      <c r="A50" s="396" t="s">
        <v>66</v>
      </c>
      <c r="B50" s="109" t="s">
        <v>52</v>
      </c>
      <c r="C50" s="411">
        <f t="shared" si="7"/>
        <v>1.7647058823529412E-9</v>
      </c>
      <c r="D50" s="131" t="s">
        <v>102</v>
      </c>
      <c r="E50" s="246" t="s">
        <v>240</v>
      </c>
      <c r="F50" s="382">
        <f t="shared" si="8"/>
        <v>1.7955882352941176E-8</v>
      </c>
      <c r="G50" s="107">
        <f t="shared" si="9"/>
        <v>7.8646764705882352E-8</v>
      </c>
      <c r="H50" s="395">
        <f>INDEX('3 Vapor'!C:C,MATCH(A50,'3 Vapor'!A:A,0))</f>
        <v>1.7999999999999999E-6</v>
      </c>
      <c r="J50" s="63"/>
    </row>
    <row r="51" spans="1:10" ht="14.25">
      <c r="A51" s="396" t="s">
        <v>67</v>
      </c>
      <c r="B51" s="109" t="s">
        <v>24</v>
      </c>
      <c r="C51" s="411">
        <f t="shared" si="7"/>
        <v>5.9803921568627444E-7</v>
      </c>
      <c r="D51" s="131" t="s">
        <v>102</v>
      </c>
      <c r="E51" s="246" t="s">
        <v>240</v>
      </c>
      <c r="F51" s="382">
        <f t="shared" si="8"/>
        <v>6.0850490196078429E-6</v>
      </c>
      <c r="G51" s="107">
        <f t="shared" si="9"/>
        <v>2.6652514705882351E-5</v>
      </c>
      <c r="H51" s="395">
        <f>INDEX('3 Vapor'!C:C,MATCH(A51,'3 Vapor'!A:A,0))</f>
        <v>6.0999999999999997E-4</v>
      </c>
      <c r="J51" s="63"/>
    </row>
    <row r="52" spans="1:10" ht="14.25">
      <c r="A52" s="396" t="s">
        <v>294</v>
      </c>
      <c r="B52" s="109" t="s">
        <v>85</v>
      </c>
      <c r="C52" s="411">
        <f t="shared" si="7"/>
        <v>1.6666666666666667E-8</v>
      </c>
      <c r="D52" s="131" t="s">
        <v>102</v>
      </c>
      <c r="E52" s="246" t="s">
        <v>240</v>
      </c>
      <c r="F52" s="382">
        <f t="shared" si="8"/>
        <v>1.6958333333333336E-7</v>
      </c>
      <c r="G52" s="107">
        <f t="shared" si="9"/>
        <v>7.4277500000000006E-7</v>
      </c>
      <c r="H52" s="395">
        <f>INDEX('3 Vapor'!C:C,MATCH(A52,'3 Vapor'!A:A,0))</f>
        <v>1.7E-5</v>
      </c>
      <c r="J52" s="63"/>
    </row>
    <row r="53" spans="1:10" ht="14.25">
      <c r="A53" s="396" t="s">
        <v>295</v>
      </c>
      <c r="B53" s="109" t="s">
        <v>26</v>
      </c>
      <c r="C53" s="411">
        <f t="shared" si="7"/>
        <v>4.9019607843137263E-9</v>
      </c>
      <c r="D53" s="131" t="s">
        <v>102</v>
      </c>
      <c r="E53" s="246" t="s">
        <v>240</v>
      </c>
      <c r="F53" s="382">
        <f t="shared" si="8"/>
        <v>4.9877450980392165E-8</v>
      </c>
      <c r="G53" s="107">
        <f t="shared" si="9"/>
        <v>2.1846323529411768E-7</v>
      </c>
      <c r="H53" s="395">
        <f>INDEX('3 Vapor'!C:C,MATCH(A53,'3 Vapor'!A:A,0))</f>
        <v>5.0000000000000004E-6</v>
      </c>
      <c r="I53" s="136"/>
      <c r="J53" s="63"/>
    </row>
    <row r="54" spans="1:10" s="17" customFormat="1" ht="14.25">
      <c r="A54" s="395" t="s">
        <v>68</v>
      </c>
      <c r="B54" s="83" t="s">
        <v>51</v>
      </c>
      <c r="C54" s="129">
        <f>H54/1020</f>
        <v>5.1960784313725495E-4</v>
      </c>
      <c r="D54" s="122" t="s">
        <v>102</v>
      </c>
      <c r="E54" s="246" t="s">
        <v>235</v>
      </c>
      <c r="F54" s="321">
        <f>C54*$D$67</f>
        <v>5.2870098039215696E-3</v>
      </c>
      <c r="G54" s="90">
        <f>C54*$D$67*$D$68/2000</f>
        <v>2.3157102941176476E-2</v>
      </c>
      <c r="H54" s="395">
        <f>INDEX('3 Vapor'!C:C,MATCH(A54,'3 Vapor'!A:A,0))</f>
        <v>0.53</v>
      </c>
    </row>
    <row r="55" spans="1:10" ht="14.25">
      <c r="A55" s="396" t="s">
        <v>304</v>
      </c>
      <c r="B55" s="83" t="s">
        <v>41</v>
      </c>
      <c r="C55" s="411">
        <f t="shared" si="7"/>
        <v>2.3529411764705881E-8</v>
      </c>
      <c r="D55" s="122" t="s">
        <v>102</v>
      </c>
      <c r="E55" s="246" t="s">
        <v>239</v>
      </c>
      <c r="F55" s="321">
        <f t="shared" si="8"/>
        <v>2.3941176470588236E-7</v>
      </c>
      <c r="G55" s="90">
        <f t="shared" si="9"/>
        <v>1.0486235294117647E-6</v>
      </c>
      <c r="H55" s="395">
        <f>INDEX('3 Vapor'!C:C,MATCH(A55,'3 Vapor'!A:A,0))</f>
        <v>2.4000000000000001E-5</v>
      </c>
      <c r="J55" s="63"/>
    </row>
    <row r="56" spans="1:10" ht="14.25">
      <c r="A56" s="396" t="s">
        <v>303</v>
      </c>
      <c r="B56" s="83" t="s">
        <v>27</v>
      </c>
      <c r="C56" s="129">
        <f>$D$84/(453.6*10^6)/35.31*10^6/$D$85*(1-$D$74)</f>
        <v>1.468117677522642E-6</v>
      </c>
      <c r="D56" s="122" t="s">
        <v>102</v>
      </c>
      <c r="E56" s="246" t="s">
        <v>240</v>
      </c>
      <c r="F56" s="321">
        <f t="shared" si="8"/>
        <v>1.4938097368792884E-5</v>
      </c>
      <c r="G56" s="90">
        <f t="shared" si="9"/>
        <v>6.542886647531283E-5</v>
      </c>
      <c r="H56" s="395"/>
      <c r="J56" s="63"/>
    </row>
    <row r="57" spans="1:10" ht="14.25">
      <c r="A57" s="396" t="s">
        <v>72</v>
      </c>
      <c r="B57" s="83" t="s">
        <v>42</v>
      </c>
      <c r="C57" s="411">
        <f>H57/1020</f>
        <v>2.2549019607843137E-6</v>
      </c>
      <c r="D57" s="122" t="s">
        <v>102</v>
      </c>
      <c r="E57" s="246" t="s">
        <v>239</v>
      </c>
      <c r="F57" s="321">
        <f t="shared" si="8"/>
        <v>2.2943627450980394E-5</v>
      </c>
      <c r="G57" s="90">
        <f t="shared" si="9"/>
        <v>1.0049308823529413E-4</v>
      </c>
      <c r="H57" s="395">
        <f>INDEX('3 Vapor'!C:C,MATCH(A57,'3 Vapor'!A:A,0))</f>
        <v>2.3E-3</v>
      </c>
      <c r="J57" s="63"/>
    </row>
    <row r="58" spans="1:10" ht="14.25">
      <c r="A58" s="396" t="s">
        <v>147</v>
      </c>
      <c r="B58" s="83" t="s">
        <v>140</v>
      </c>
      <c r="C58" s="129">
        <f>D82/(453.6*10^6)/35.31*10^6/$D$85*(1-$D$74)</f>
        <v>5.6325448639584649E-7</v>
      </c>
      <c r="D58" s="122" t="s">
        <v>102</v>
      </c>
      <c r="E58" s="243" t="s">
        <v>219</v>
      </c>
      <c r="F58" s="321">
        <f t="shared" si="8"/>
        <v>5.7311143990777385E-6</v>
      </c>
      <c r="G58" s="90">
        <f t="shared" si="9"/>
        <v>2.5102281067960496E-5</v>
      </c>
      <c r="H58" s="395"/>
      <c r="J58" s="63"/>
    </row>
    <row r="59" spans="1:10" ht="14.25">
      <c r="A59" s="396" t="s">
        <v>146</v>
      </c>
      <c r="B59" s="83" t="s">
        <v>141</v>
      </c>
      <c r="C59" s="129">
        <f>D83/(453.6*10^6)/35.31*10^6/$D$85*(1-$D$74)</f>
        <v>9.4256582409041224E-8</v>
      </c>
      <c r="D59" s="122" t="s">
        <v>102</v>
      </c>
      <c r="E59" s="243" t="s">
        <v>219</v>
      </c>
      <c r="F59" s="321">
        <f t="shared" si="8"/>
        <v>9.5906072601199452E-7</v>
      </c>
      <c r="G59" s="90">
        <f t="shared" si="9"/>
        <v>4.2006859799325362E-6</v>
      </c>
      <c r="H59" s="395"/>
      <c r="J59" s="63"/>
    </row>
    <row r="60" spans="1:10" ht="14.25">
      <c r="A60" s="396" t="s">
        <v>301</v>
      </c>
      <c r="B60" s="111" t="s">
        <v>49</v>
      </c>
      <c r="C60" s="133"/>
      <c r="D60" s="112"/>
      <c r="E60" s="303"/>
      <c r="F60" s="119">
        <f>SUM(F14:F33,F54:F59)-SUM(F23,F57,F27,F31,F54,F16)</f>
        <v>1.8934643778122054E-2</v>
      </c>
      <c r="G60" s="119">
        <f>SUM(G14:G33,G54:G59)-SUM(G23,G57,G27,G31,G54,G16)</f>
        <v>8.2933739748174695E-2</v>
      </c>
      <c r="H60" s="395"/>
      <c r="J60" s="63"/>
    </row>
    <row r="61" spans="1:10" s="166" customFormat="1" ht="6">
      <c r="A61" s="397"/>
      <c r="B61" s="422"/>
      <c r="C61" s="422"/>
      <c r="D61" s="422"/>
      <c r="E61" s="423"/>
      <c r="F61" s="423"/>
      <c r="G61" s="422"/>
      <c r="H61" s="397"/>
      <c r="I61" s="165"/>
    </row>
    <row r="62" spans="1:10">
      <c r="B62" s="7" t="s">
        <v>86</v>
      </c>
      <c r="C62" s="7"/>
      <c r="D62" s="7"/>
      <c r="G62" s="7"/>
      <c r="J62" s="63"/>
    </row>
    <row r="63" spans="1:10" ht="14.25">
      <c r="B63" s="581" t="s">
        <v>221</v>
      </c>
      <c r="C63" s="581"/>
      <c r="D63" s="581"/>
      <c r="E63" s="581"/>
      <c r="F63" s="581"/>
      <c r="G63" s="581"/>
      <c r="I63" s="55" t="s">
        <v>110</v>
      </c>
      <c r="J63" s="63"/>
    </row>
    <row r="64" spans="1:10">
      <c r="B64" s="581"/>
      <c r="C64" s="581"/>
      <c r="D64" s="581"/>
      <c r="E64" s="581"/>
      <c r="F64" s="581"/>
      <c r="G64" s="581"/>
      <c r="I64" s="81"/>
      <c r="J64" s="63"/>
    </row>
    <row r="65" spans="1:10" s="17" customFormat="1" ht="14.1" customHeight="1">
      <c r="A65" s="23"/>
      <c r="B65" s="580" t="s">
        <v>215</v>
      </c>
      <c r="C65" s="580"/>
      <c r="D65" s="580"/>
      <c r="E65" s="580"/>
      <c r="F65" s="580"/>
      <c r="G65" s="580"/>
      <c r="I65" s="55" t="s">
        <v>110</v>
      </c>
    </row>
    <row r="66" spans="1:10" s="17" customFormat="1" ht="14.1" customHeight="1">
      <c r="A66" s="23"/>
      <c r="B66" s="580"/>
      <c r="C66" s="580"/>
      <c r="D66" s="580"/>
      <c r="E66" s="580"/>
      <c r="F66" s="580"/>
      <c r="G66" s="580"/>
      <c r="I66" s="23"/>
    </row>
    <row r="67" spans="1:10" s="17" customFormat="1" ht="14.25">
      <c r="A67" s="23"/>
      <c r="B67" s="318"/>
      <c r="C67" s="42" t="s">
        <v>170</v>
      </c>
      <c r="D67" s="43">
        <f>'1 Rates'!B12</f>
        <v>10.175000000000001</v>
      </c>
      <c r="E67" s="299" t="s">
        <v>241</v>
      </c>
      <c r="F67" s="4"/>
      <c r="G67" s="42"/>
      <c r="I67" s="23"/>
    </row>
    <row r="68" spans="1:10" s="17" customFormat="1" ht="14.25">
      <c r="A68" s="23"/>
      <c r="B68" s="318"/>
      <c r="C68" s="44" t="s">
        <v>87</v>
      </c>
      <c r="D68" s="45">
        <f>'1 Rates'!D11</f>
        <v>8760</v>
      </c>
      <c r="E68" s="299" t="s">
        <v>241</v>
      </c>
      <c r="F68" s="4"/>
      <c r="G68" s="44"/>
      <c r="I68" s="23"/>
    </row>
    <row r="69" spans="1:10" s="17" customFormat="1" ht="14.25">
      <c r="A69" s="23"/>
      <c r="B69" s="318"/>
      <c r="C69" s="42" t="s">
        <v>171</v>
      </c>
      <c r="D69" s="45">
        <f>'1 Rates'!B11</f>
        <v>30833.333333333336</v>
      </c>
      <c r="E69" s="299" t="s">
        <v>241</v>
      </c>
      <c r="F69" s="4"/>
      <c r="G69" s="44"/>
      <c r="I69" s="23"/>
    </row>
    <row r="70" spans="1:10" s="17" customFormat="1" ht="14.25">
      <c r="A70" s="23"/>
      <c r="B70" s="580" t="s">
        <v>222</v>
      </c>
      <c r="C70" s="580"/>
      <c r="D70" s="580"/>
      <c r="E70" s="580"/>
      <c r="F70" s="580"/>
      <c r="G70" s="580"/>
      <c r="I70" s="55" t="s">
        <v>110</v>
      </c>
    </row>
    <row r="71" spans="1:10" s="17" customFormat="1" ht="14.25">
      <c r="A71" s="23"/>
      <c r="B71" s="580"/>
      <c r="C71" s="580"/>
      <c r="D71" s="580"/>
      <c r="E71" s="580"/>
      <c r="F71" s="580"/>
      <c r="G71" s="580"/>
      <c r="I71" s="55" t="s">
        <v>110</v>
      </c>
    </row>
    <row r="72" spans="1:10" s="17" customFormat="1" ht="14.25">
      <c r="A72" s="23"/>
      <c r="B72" s="318"/>
      <c r="C72" s="59" t="s">
        <v>121</v>
      </c>
      <c r="D72" s="50">
        <f>'2 Gas Data'!C8</f>
        <v>0.10126895175657308</v>
      </c>
      <c r="E72" s="299" t="s">
        <v>284</v>
      </c>
      <c r="F72" s="413"/>
      <c r="G72" s="413"/>
      <c r="I72" s="23"/>
    </row>
    <row r="73" spans="1:10" s="17" customFormat="1" ht="14.25">
      <c r="A73" s="23"/>
      <c r="B73" s="318"/>
      <c r="C73" s="152" t="s">
        <v>174</v>
      </c>
      <c r="D73" s="54">
        <f>'2 Gas Data'!C9</f>
        <v>336.87458824993291</v>
      </c>
      <c r="E73" s="299" t="s">
        <v>284</v>
      </c>
      <c r="F73" s="416"/>
      <c r="G73" s="49"/>
      <c r="I73" s="23"/>
    </row>
    <row r="74" spans="1:10" s="17" customFormat="1" ht="14.25">
      <c r="A74" s="23"/>
      <c r="B74" s="318"/>
      <c r="C74" s="152" t="s">
        <v>156</v>
      </c>
      <c r="D74" s="53">
        <v>0.99</v>
      </c>
      <c r="E74" s="299" t="s">
        <v>234</v>
      </c>
      <c r="F74" s="416"/>
      <c r="G74" s="49"/>
      <c r="I74" s="23"/>
    </row>
    <row r="75" spans="1:10" s="17" customFormat="1" ht="14.25">
      <c r="A75" s="23"/>
      <c r="B75" s="565" t="s">
        <v>223</v>
      </c>
      <c r="C75" s="565"/>
      <c r="D75" s="565"/>
      <c r="E75" s="565"/>
      <c r="F75" s="565"/>
      <c r="G75" s="565"/>
      <c r="I75" s="55" t="s">
        <v>110</v>
      </c>
    </row>
    <row r="76" spans="1:10" s="17" customFormat="1" ht="14.25">
      <c r="A76" s="23"/>
      <c r="B76" s="565"/>
      <c r="C76" s="565"/>
      <c r="D76" s="565"/>
      <c r="E76" s="565"/>
      <c r="F76" s="565"/>
      <c r="G76" s="565"/>
      <c r="I76" s="55" t="s">
        <v>110</v>
      </c>
    </row>
    <row r="77" spans="1:10" ht="14.25">
      <c r="B77" s="318"/>
      <c r="C77" s="9" t="s">
        <v>173</v>
      </c>
      <c r="D77" s="56">
        <f>'2 Gas Data'!C10</f>
        <v>9.5983657774938627E-2</v>
      </c>
      <c r="E77" s="299" t="s">
        <v>284</v>
      </c>
      <c r="F77" s="48"/>
      <c r="G77" s="413"/>
      <c r="I77" s="81"/>
      <c r="J77" s="63"/>
    </row>
    <row r="78" spans="1:10" ht="14.25">
      <c r="B78" s="565" t="s">
        <v>249</v>
      </c>
      <c r="C78" s="565"/>
      <c r="D78" s="565"/>
      <c r="E78" s="565"/>
      <c r="F78" s="565"/>
      <c r="G78" s="565"/>
      <c r="I78" s="55" t="s">
        <v>110</v>
      </c>
      <c r="J78" s="63"/>
    </row>
    <row r="79" spans="1:10" ht="14.25" customHeight="1">
      <c r="B79" s="565"/>
      <c r="C79" s="565"/>
      <c r="D79" s="565"/>
      <c r="E79" s="565"/>
      <c r="F79" s="565"/>
      <c r="G79" s="565"/>
      <c r="I79" s="55" t="s">
        <v>110</v>
      </c>
      <c r="J79" s="63"/>
    </row>
    <row r="80" spans="1:10" ht="14.25">
      <c r="B80" s="318"/>
      <c r="C80" s="150" t="s">
        <v>177</v>
      </c>
      <c r="D80" s="151">
        <f>'2 Gas Data'!$F$11</f>
        <v>2980</v>
      </c>
      <c r="E80" s="299" t="s">
        <v>284</v>
      </c>
      <c r="F80" s="48"/>
      <c r="G80" s="413"/>
      <c r="I80" s="81"/>
      <c r="J80" s="63"/>
    </row>
    <row r="81" spans="1:10" ht="14.25">
      <c r="B81" s="318"/>
      <c r="C81" s="150" t="s">
        <v>178</v>
      </c>
      <c r="D81" s="151">
        <f>'2 Gas Data'!$F$12</f>
        <v>144</v>
      </c>
      <c r="E81" s="299" t="s">
        <v>284</v>
      </c>
      <c r="F81" s="48"/>
      <c r="G81" s="413"/>
      <c r="I81" s="81"/>
      <c r="J81" s="63"/>
    </row>
    <row r="82" spans="1:10" ht="14.25">
      <c r="B82" s="318"/>
      <c r="C82" s="150" t="s">
        <v>179</v>
      </c>
      <c r="D82" s="151">
        <f>'2 Gas Data'!$F$13</f>
        <v>986</v>
      </c>
      <c r="E82" s="299" t="s">
        <v>284</v>
      </c>
      <c r="F82" s="48"/>
      <c r="G82" s="413"/>
      <c r="I82" s="81"/>
      <c r="J82" s="63"/>
    </row>
    <row r="83" spans="1:10" ht="14.25">
      <c r="B83" s="318"/>
      <c r="C83" s="150" t="s">
        <v>180</v>
      </c>
      <c r="D83" s="151">
        <f>'2 Gas Data'!$F$14</f>
        <v>165</v>
      </c>
      <c r="E83" s="299" t="s">
        <v>284</v>
      </c>
      <c r="F83" s="48"/>
      <c r="G83" s="413"/>
      <c r="I83" s="81"/>
      <c r="J83" s="63"/>
    </row>
    <row r="84" spans="1:10" ht="14.25">
      <c r="B84" s="318"/>
      <c r="C84" s="150" t="s">
        <v>181</v>
      </c>
      <c r="D84" s="151">
        <f>'2 Gas Data'!$F$15</f>
        <v>2570</v>
      </c>
      <c r="E84" s="299" t="s">
        <v>284</v>
      </c>
      <c r="F84" s="48"/>
      <c r="G84" s="413"/>
      <c r="I84" s="81"/>
      <c r="J84" s="63"/>
    </row>
    <row r="85" spans="1:10" ht="14.25">
      <c r="B85" s="4"/>
      <c r="C85" s="152" t="s">
        <v>182</v>
      </c>
      <c r="D85" s="10">
        <f>'2 Gas Data'!$B$7</f>
        <v>1092.953013546987</v>
      </c>
      <c r="E85" s="299" t="s">
        <v>284</v>
      </c>
      <c r="F85" s="431"/>
      <c r="G85" s="79"/>
      <c r="I85" s="81"/>
      <c r="J85" s="63"/>
    </row>
    <row r="86" spans="1:10" ht="14.25">
      <c r="B86" s="580" t="s">
        <v>224</v>
      </c>
      <c r="C86" s="580"/>
      <c r="D86" s="580"/>
      <c r="E86" s="580"/>
      <c r="F86" s="580"/>
      <c r="G86" s="580"/>
      <c r="I86" s="55" t="s">
        <v>110</v>
      </c>
      <c r="J86" s="63"/>
    </row>
    <row r="87" spans="1:10" ht="14.25">
      <c r="B87" s="580"/>
      <c r="C87" s="580"/>
      <c r="D87" s="580"/>
      <c r="E87" s="580"/>
      <c r="F87" s="580"/>
      <c r="G87" s="580"/>
      <c r="I87" s="55" t="s">
        <v>110</v>
      </c>
      <c r="J87" s="63"/>
    </row>
    <row r="88" spans="1:10" s="166" customFormat="1" ht="6">
      <c r="A88" s="397"/>
      <c r="B88" s="167"/>
      <c r="C88" s="167"/>
      <c r="D88" s="167"/>
      <c r="E88" s="167"/>
      <c r="F88" s="167"/>
      <c r="G88" s="167"/>
      <c r="I88" s="397"/>
    </row>
    <row r="89" spans="1:10">
      <c r="B89" s="46" t="s">
        <v>32</v>
      </c>
      <c r="C89" s="46"/>
      <c r="D89" s="46"/>
      <c r="E89" s="47"/>
      <c r="F89" s="47"/>
      <c r="G89" s="46"/>
      <c r="I89" s="81"/>
      <c r="J89" s="63"/>
    </row>
    <row r="90" spans="1:10" ht="13.9" customHeight="1">
      <c r="B90" s="565" t="s">
        <v>236</v>
      </c>
      <c r="C90" s="565"/>
      <c r="D90" s="565"/>
      <c r="E90" s="565"/>
      <c r="F90" s="565"/>
      <c r="G90" s="565"/>
      <c r="I90" s="55" t="s">
        <v>110</v>
      </c>
      <c r="J90" s="63"/>
    </row>
    <row r="91" spans="1:10">
      <c r="B91" s="565"/>
      <c r="C91" s="565"/>
      <c r="D91" s="565"/>
      <c r="E91" s="565"/>
      <c r="F91" s="565"/>
      <c r="G91" s="565"/>
      <c r="I91" s="81"/>
      <c r="J91" s="63"/>
    </row>
    <row r="92" spans="1:10">
      <c r="B92" s="565"/>
      <c r="C92" s="565"/>
      <c r="D92" s="565"/>
      <c r="E92" s="565"/>
      <c r="F92" s="565"/>
      <c r="G92" s="565"/>
      <c r="I92" s="81"/>
      <c r="J92" s="63"/>
    </row>
    <row r="93" spans="1:10">
      <c r="B93" s="565"/>
      <c r="C93" s="565"/>
      <c r="D93" s="565"/>
      <c r="E93" s="565"/>
      <c r="F93" s="565"/>
      <c r="G93" s="565"/>
      <c r="I93" s="81"/>
      <c r="J93" s="63"/>
    </row>
    <row r="94" spans="1:10" ht="13.9" customHeight="1">
      <c r="B94" s="565" t="s">
        <v>237</v>
      </c>
      <c r="C94" s="565"/>
      <c r="D94" s="565"/>
      <c r="E94" s="565"/>
      <c r="F94" s="565"/>
      <c r="G94" s="565"/>
      <c r="I94" s="55" t="s">
        <v>110</v>
      </c>
      <c r="J94" s="63"/>
    </row>
    <row r="95" spans="1:10" s="324" customFormat="1" ht="14.25">
      <c r="A95" s="81"/>
      <c r="B95" s="566" t="s">
        <v>366</v>
      </c>
      <c r="C95" s="566"/>
      <c r="D95" s="566"/>
      <c r="E95" s="566"/>
      <c r="F95" s="566"/>
      <c r="G95" s="566"/>
      <c r="I95" s="55" t="s">
        <v>110</v>
      </c>
    </row>
    <row r="96" spans="1:10" s="324" customFormat="1">
      <c r="A96" s="81"/>
      <c r="B96" s="566"/>
      <c r="C96" s="566"/>
      <c r="D96" s="566"/>
      <c r="E96" s="566"/>
      <c r="F96" s="566"/>
      <c r="G96" s="566"/>
    </row>
    <row r="97" spans="1:10" s="324" customFormat="1">
      <c r="A97" s="81"/>
      <c r="B97" s="566"/>
      <c r="C97" s="566"/>
      <c r="D97" s="566"/>
      <c r="E97" s="566"/>
      <c r="F97" s="566"/>
      <c r="G97" s="566"/>
    </row>
    <row r="98" spans="1:10" ht="13.9" customHeight="1">
      <c r="B98" s="565" t="s">
        <v>354</v>
      </c>
      <c r="C98" s="565"/>
      <c r="D98" s="565"/>
      <c r="E98" s="565"/>
      <c r="F98" s="565"/>
      <c r="G98" s="565"/>
      <c r="I98" s="55" t="s">
        <v>110</v>
      </c>
      <c r="J98" s="63"/>
    </row>
    <row r="99" spans="1:10">
      <c r="B99" s="565"/>
      <c r="C99" s="565"/>
      <c r="D99" s="565"/>
      <c r="E99" s="565"/>
      <c r="F99" s="565"/>
      <c r="G99" s="565"/>
      <c r="I99" s="81"/>
      <c r="J99" s="63"/>
    </row>
    <row r="100" spans="1:10">
      <c r="B100" s="565"/>
      <c r="C100" s="565"/>
      <c r="D100" s="565"/>
      <c r="E100" s="565"/>
      <c r="F100" s="565"/>
      <c r="G100" s="565"/>
      <c r="I100" s="81"/>
      <c r="J100" s="63"/>
    </row>
    <row r="101" spans="1:10">
      <c r="B101" s="565"/>
      <c r="C101" s="565"/>
      <c r="D101" s="565"/>
      <c r="E101" s="565"/>
      <c r="F101" s="565"/>
      <c r="G101" s="565"/>
      <c r="I101" s="81"/>
      <c r="J101" s="63"/>
    </row>
    <row r="102" spans="1:10" ht="13.9" customHeight="1">
      <c r="B102" s="565" t="s">
        <v>356</v>
      </c>
      <c r="C102" s="565"/>
      <c r="D102" s="565"/>
      <c r="E102" s="565"/>
      <c r="F102" s="565"/>
      <c r="G102" s="565"/>
      <c r="I102" s="55" t="s">
        <v>110</v>
      </c>
      <c r="J102" s="63"/>
    </row>
    <row r="103" spans="1:10">
      <c r="B103" s="565"/>
      <c r="C103" s="565"/>
      <c r="D103" s="565"/>
      <c r="E103" s="565"/>
      <c r="F103" s="565"/>
      <c r="G103" s="565"/>
      <c r="I103" s="63"/>
      <c r="J103" s="63"/>
    </row>
    <row r="104" spans="1:10">
      <c r="B104" s="565"/>
      <c r="C104" s="565"/>
      <c r="D104" s="565"/>
      <c r="E104" s="565"/>
      <c r="F104" s="565"/>
      <c r="G104" s="565"/>
      <c r="I104" s="63"/>
      <c r="J104" s="63"/>
    </row>
    <row r="105" spans="1:10">
      <c r="B105" s="565"/>
      <c r="C105" s="565"/>
      <c r="D105" s="565"/>
      <c r="E105" s="565"/>
      <c r="F105" s="565"/>
      <c r="G105" s="565"/>
      <c r="I105" s="63"/>
      <c r="J105" s="63"/>
    </row>
    <row r="106" spans="1:10" ht="14.25">
      <c r="B106" s="564" t="s">
        <v>358</v>
      </c>
      <c r="C106" s="564"/>
      <c r="D106" s="564"/>
      <c r="E106" s="564"/>
      <c r="F106" s="564"/>
      <c r="G106" s="564"/>
      <c r="I106" s="55" t="s">
        <v>110</v>
      </c>
      <c r="J106" s="63"/>
    </row>
    <row r="107" spans="1:10" ht="14.25">
      <c r="B107" s="564" t="s">
        <v>360</v>
      </c>
      <c r="C107" s="564"/>
      <c r="D107" s="564"/>
      <c r="E107" s="564"/>
      <c r="F107" s="564"/>
      <c r="G107" s="564"/>
      <c r="I107" s="55" t="s">
        <v>110</v>
      </c>
      <c r="J107" s="63"/>
    </row>
    <row r="108" spans="1:10">
      <c r="J108" s="63"/>
    </row>
    <row r="109" spans="1:10">
      <c r="J109" s="63"/>
    </row>
    <row r="110" spans="1:10">
      <c r="J110" s="63"/>
    </row>
  </sheetData>
  <mergeCells count="14">
    <mergeCell ref="C3:E5"/>
    <mergeCell ref="B78:G79"/>
    <mergeCell ref="B86:G87"/>
    <mergeCell ref="B63:G64"/>
    <mergeCell ref="B65:G66"/>
    <mergeCell ref="B70:G71"/>
    <mergeCell ref="B75:G76"/>
    <mergeCell ref="B90:G93"/>
    <mergeCell ref="B98:G101"/>
    <mergeCell ref="B94:G94"/>
    <mergeCell ref="B106:G106"/>
    <mergeCell ref="B107:G107"/>
    <mergeCell ref="B102:G105"/>
    <mergeCell ref="B95:G97"/>
  </mergeCells>
  <conditionalFormatting sqref="G8 G11:G12 G17:G30 G32:G46 G48:G59">
    <cfRule type="cellIs" dxfId="169" priority="29" operator="greaterThan">
      <formula>#REF!</formula>
    </cfRule>
    <cfRule type="cellIs" dxfId="168" priority="30" operator="greaterThan">
      <formula>#REF!</formula>
    </cfRule>
  </conditionalFormatting>
  <conditionalFormatting sqref="G47">
    <cfRule type="cellIs" dxfId="167" priority="7" operator="greaterThan">
      <formula>#REF!</formula>
    </cfRule>
    <cfRule type="cellIs" dxfId="166" priority="8" operator="greaterThan">
      <formula>#REF!</formula>
    </cfRule>
  </conditionalFormatting>
  <conditionalFormatting sqref="G31">
    <cfRule type="cellIs" dxfId="165" priority="3" operator="greaterThan">
      <formula>#REF!</formula>
    </cfRule>
    <cfRule type="cellIs" dxfId="164" priority="4" operator="greaterThan">
      <formula>#REF!</formula>
    </cfRule>
  </conditionalFormatting>
  <conditionalFormatting sqref="G14:G16">
    <cfRule type="cellIs" dxfId="163" priority="1" operator="greaterThan">
      <formula>#REF!</formula>
    </cfRule>
    <cfRule type="cellIs" dxfId="162" priority="2" operator="greaterThan">
      <formula>#REF!</formula>
    </cfRule>
  </conditionalFormatting>
  <printOptions horizontalCentered="1"/>
  <pageMargins left="0.75" right="0.75" top="1.6" bottom="1" header="0.75" footer="0.5"/>
  <pageSetup paperSize="119" orientation="portrait" r:id="rId1"/>
  <headerFooter>
    <oddHeader>&amp;C&amp;"-,Bold"Table B-4
Liquefying Case 1: Potential Emissions from Enclosed Ground Flare Burners
Puget Sound Energy – Liquefied Natural Gas Project
Tacoma, Washington&amp;R&amp;8Page &amp;P of &amp;N</oddHeader>
    <oddFooter>&amp;L&amp;6 May 2017  &amp;Z&amp;F  &amp;A&amp;R&amp;9Landau Associates</oddFooter>
  </headerFooter>
  <rowBreaks count="1" manualBreakCount="1">
    <brk id="77"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N111"/>
  <sheetViews>
    <sheetView topLeftCell="B28" zoomScaleNormal="100" zoomScaleSheetLayoutView="100" zoomScalePageLayoutView="85" workbookViewId="0">
      <selection activeCell="F60" sqref="F60"/>
    </sheetView>
  </sheetViews>
  <sheetFormatPr defaultColWidth="9.140625" defaultRowHeight="12"/>
  <cols>
    <col min="1" max="1" width="0" style="81" hidden="1" customWidth="1"/>
    <col min="2" max="2" width="27.28515625" style="38" customWidth="1"/>
    <col min="3" max="3" width="12.140625" style="38" customWidth="1"/>
    <col min="4" max="4" width="10" style="38" bestFit="1" customWidth="1"/>
    <col min="5" max="5" width="2" style="8" bestFit="1" customWidth="1"/>
    <col min="6" max="6" width="13.85546875" style="8" customWidth="1"/>
    <col min="7" max="7" width="15.5703125" style="38" customWidth="1"/>
    <col min="8" max="8" width="1.28515625" style="17" bestFit="1" customWidth="1"/>
    <col min="9" max="11" width="9.140625" style="17"/>
    <col min="12" max="16384" width="9.140625" style="63"/>
  </cols>
  <sheetData>
    <row r="1" spans="1:14">
      <c r="B1" s="161" t="s">
        <v>193</v>
      </c>
      <c r="C1" s="511"/>
      <c r="D1" s="511"/>
      <c r="E1" s="161"/>
      <c r="F1" s="511"/>
      <c r="G1" s="511"/>
    </row>
    <row r="3" spans="1:14" s="17" customFormat="1">
      <c r="A3" s="23"/>
      <c r="B3" s="236"/>
      <c r="C3" s="571" t="s">
        <v>31</v>
      </c>
      <c r="D3" s="572"/>
      <c r="E3" s="573"/>
      <c r="F3" s="244" t="s">
        <v>98</v>
      </c>
      <c r="G3" s="244"/>
    </row>
    <row r="4" spans="1:14" s="17" customFormat="1" ht="14.25">
      <c r="A4" s="23"/>
      <c r="B4" s="238"/>
      <c r="C4" s="574"/>
      <c r="D4" s="575"/>
      <c r="E4" s="576"/>
      <c r="F4" s="245" t="s">
        <v>210</v>
      </c>
      <c r="G4" s="245" t="s">
        <v>211</v>
      </c>
    </row>
    <row r="5" spans="1:14" s="17" customFormat="1" ht="15.75" customHeight="1" thickBot="1">
      <c r="A5" s="395" t="s">
        <v>302</v>
      </c>
      <c r="B5" s="418" t="s">
        <v>30</v>
      </c>
      <c r="C5" s="577"/>
      <c r="D5" s="578"/>
      <c r="E5" s="579"/>
      <c r="F5" s="242" t="s">
        <v>113</v>
      </c>
      <c r="G5" s="242" t="s">
        <v>114</v>
      </c>
    </row>
    <row r="6" spans="1:14" s="17" customFormat="1" ht="12.75" thickTop="1">
      <c r="A6" s="23"/>
      <c r="B6" s="82" t="s">
        <v>77</v>
      </c>
      <c r="C6" s="420"/>
      <c r="D6" s="420"/>
      <c r="E6" s="93"/>
      <c r="F6" s="421"/>
      <c r="G6" s="421"/>
    </row>
    <row r="7" spans="1:14" s="17" customFormat="1" ht="14.25">
      <c r="A7" s="395" t="s">
        <v>300</v>
      </c>
      <c r="B7" s="83" t="s">
        <v>185</v>
      </c>
      <c r="C7" s="122">
        <f>INDEX('4 Flare1'!C:C,MATCH($A7,'4 Flare1'!$A:$A,0))</f>
        <v>7.4509803921568628E-3</v>
      </c>
      <c r="D7" s="122" t="str">
        <f>'4 Flare1'!D7</f>
        <v>lb/MMBtu</v>
      </c>
      <c r="E7" s="243">
        <f>'3 Vapor'!D7</f>
        <v>1</v>
      </c>
      <c r="F7" s="85">
        <f>C7*$D$67</f>
        <v>1.8559150326797384E-2</v>
      </c>
      <c r="G7" s="85">
        <f>C7*$D$67*$D$68/2000</f>
        <v>8.128907843137255E-2</v>
      </c>
    </row>
    <row r="8" spans="1:14" s="17" customFormat="1" ht="14.25">
      <c r="A8" s="395">
        <v>2025884</v>
      </c>
      <c r="B8" s="83" t="s">
        <v>184</v>
      </c>
      <c r="C8" s="96">
        <f>$D$72*$D$73/10^6*2*10^6*$D$74</f>
        <v>164.59019014824921</v>
      </c>
      <c r="D8" s="97" t="s">
        <v>169</v>
      </c>
      <c r="E8" s="243" t="s">
        <v>212</v>
      </c>
      <c r="F8" s="85">
        <f>C8*$D$69/1000000</f>
        <v>0.96010944253145381</v>
      </c>
      <c r="G8" s="84">
        <f>C8*$D$69/1000000*$D$68/2000</f>
        <v>4.2052793582877674</v>
      </c>
    </row>
    <row r="9" spans="1:14" s="17" customFormat="1" ht="14.25">
      <c r="A9" s="398" t="s">
        <v>311</v>
      </c>
      <c r="B9" s="83" t="s">
        <v>186</v>
      </c>
      <c r="C9" s="311">
        <v>6.5841418534626966E-2</v>
      </c>
      <c r="D9" s="95" t="s">
        <v>102</v>
      </c>
      <c r="E9" s="246" t="s">
        <v>234</v>
      </c>
      <c r="F9" s="84">
        <f>C9*$D$67</f>
        <v>0.16400000000000001</v>
      </c>
      <c r="G9" s="84">
        <f>C9*$D$67*$D$68/2000</f>
        <v>0.71832000000000007</v>
      </c>
      <c r="I9" s="138"/>
      <c r="J9" s="138"/>
      <c r="M9" s="310"/>
      <c r="N9" s="310"/>
    </row>
    <row r="10" spans="1:14" s="17" customFormat="1" ht="14.25">
      <c r="A10" s="395" t="s">
        <v>73</v>
      </c>
      <c r="B10" s="83" t="s">
        <v>0</v>
      </c>
      <c r="C10" s="311">
        <v>0.19631983941117431</v>
      </c>
      <c r="D10" s="95" t="s">
        <v>102</v>
      </c>
      <c r="E10" s="246" t="s">
        <v>234</v>
      </c>
      <c r="F10" s="84">
        <f>C10*$D$67</f>
        <v>0.48899999999999999</v>
      </c>
      <c r="G10" s="86">
        <f>C10*$D$67*$D$68/2000</f>
        <v>2.1418200000000001</v>
      </c>
      <c r="I10" s="138"/>
      <c r="J10" s="138"/>
      <c r="M10" s="310"/>
      <c r="N10" s="310"/>
    </row>
    <row r="11" spans="1:14" s="17" customFormat="1" ht="14.25">
      <c r="A11" s="395" t="s">
        <v>1</v>
      </c>
      <c r="B11" s="83" t="s">
        <v>101</v>
      </c>
      <c r="C11" s="96">
        <f>$D$72*$D$77*(1-$D$74)*10^6</f>
        <v>131.05471555458095</v>
      </c>
      <c r="D11" s="97" t="s">
        <v>169</v>
      </c>
      <c r="E11" s="243" t="s">
        <v>218</v>
      </c>
      <c r="F11" s="84">
        <f>$C$11*$D$69/1000000</f>
        <v>0.76448584073505566</v>
      </c>
      <c r="G11" s="86">
        <f>C11*$D$69/1000000*$D$68/2000</f>
        <v>3.3484479824195437</v>
      </c>
    </row>
    <row r="12" spans="1:14" s="17" customFormat="1" ht="14.25">
      <c r="A12" s="395" t="s">
        <v>306</v>
      </c>
      <c r="B12" s="98" t="s">
        <v>78</v>
      </c>
      <c r="C12" s="410">
        <f>INDEX('4 Flare1'!C:C,MATCH($A12,'4 Flare1'!$A:$A,0))</f>
        <v>4.9019607843137254E-7</v>
      </c>
      <c r="D12" s="125" t="str">
        <f>'4 Flare1'!D12</f>
        <v>lb/MMBtu</v>
      </c>
      <c r="E12" s="297">
        <f>'3 Vapor'!D12</f>
        <v>1</v>
      </c>
      <c r="F12" s="90">
        <f>$C$12*$D$67</f>
        <v>1.2209967320261437E-6</v>
      </c>
      <c r="G12" s="90">
        <f>C12*$D$67*$D$68/2000</f>
        <v>5.3479656862745095E-6</v>
      </c>
    </row>
    <row r="13" spans="1:14" s="17" customFormat="1">
      <c r="A13" s="395"/>
      <c r="B13" s="101" t="s">
        <v>158</v>
      </c>
      <c r="C13" s="127"/>
      <c r="D13" s="102"/>
      <c r="E13" s="383"/>
      <c r="F13" s="103"/>
      <c r="G13" s="103"/>
    </row>
    <row r="14" spans="1:14" s="17" customFormat="1" ht="14.25">
      <c r="A14" s="395" t="s">
        <v>56</v>
      </c>
      <c r="B14" s="83" t="s">
        <v>9</v>
      </c>
      <c r="C14" s="129">
        <f>INDEX('4 Flare1'!C:C,MATCH($A14,'4 Flare1'!$A:$A,0))</f>
        <v>8.3039215686274504E-6</v>
      </c>
      <c r="D14" s="122" t="str">
        <f>'4 Flare1'!D14</f>
        <v>lb/MMBtu</v>
      </c>
      <c r="E14" s="243" t="s">
        <v>235</v>
      </c>
      <c r="F14" s="90">
        <f t="shared" ref="F14:F26" si="0">C14*$D$67</f>
        <v>2.0683684640522872E-5</v>
      </c>
      <c r="G14" s="90">
        <f t="shared" ref="G14:G15" si="1">C14*$D$67*$D$68/2000</f>
        <v>9.0594538725490183E-5</v>
      </c>
    </row>
    <row r="15" spans="1:14" s="17" customFormat="1" ht="14.25">
      <c r="A15" s="395" t="s">
        <v>57</v>
      </c>
      <c r="B15" s="83" t="s">
        <v>10</v>
      </c>
      <c r="C15" s="129">
        <f>INDEX('4 Flare1'!C:C,MATCH($A15,'4 Flare1'!$A:$A,0))</f>
        <v>2.647058823529412E-6</v>
      </c>
      <c r="D15" s="122" t="str">
        <f>'4 Flare1'!D15</f>
        <v>lb/MMBtu</v>
      </c>
      <c r="E15" s="243" t="s">
        <v>235</v>
      </c>
      <c r="F15" s="90">
        <f t="shared" si="0"/>
        <v>6.593382352941177E-6</v>
      </c>
      <c r="G15" s="90">
        <f t="shared" si="1"/>
        <v>2.8879014705882354E-5</v>
      </c>
    </row>
    <row r="16" spans="1:14" s="17" customFormat="1" ht="14.25">
      <c r="A16" s="395" t="s">
        <v>153</v>
      </c>
      <c r="B16" s="83" t="s">
        <v>152</v>
      </c>
      <c r="C16" s="129">
        <f>INDEX('4 Flare1'!C:C,MATCH($A16,'4 Flare1'!$A:$A,0))</f>
        <v>3.1372549019607846E-3</v>
      </c>
      <c r="D16" s="122" t="str">
        <f>'4 Flare1'!D16</f>
        <v>lb/MMBtu</v>
      </c>
      <c r="E16" s="243" t="s">
        <v>235</v>
      </c>
      <c r="F16" s="90">
        <f t="shared" si="0"/>
        <v>7.8143790849673211E-3</v>
      </c>
      <c r="G16" s="90">
        <f t="shared" ref="G16:G26" si="2">C16*$D$67*$D$68/2000</f>
        <v>3.4226980392156867E-2</v>
      </c>
    </row>
    <row r="17" spans="1:10" s="17" customFormat="1" ht="14.25">
      <c r="A17" s="395" t="s">
        <v>308</v>
      </c>
      <c r="B17" s="83" t="s">
        <v>33</v>
      </c>
      <c r="C17" s="129">
        <f>INDEX('4 Flare1'!C:C,MATCH($A17,'4 Flare1'!$A:$A,0))</f>
        <v>1.9607843137254904E-7</v>
      </c>
      <c r="D17" s="122" t="str">
        <f>'4 Flare1'!D17</f>
        <v>lb/MMBtu</v>
      </c>
      <c r="E17" s="243">
        <v>4</v>
      </c>
      <c r="F17" s="90">
        <f t="shared" si="0"/>
        <v>4.8839869281045751E-7</v>
      </c>
      <c r="G17" s="90">
        <f t="shared" si="2"/>
        <v>2.1391862745098039E-6</v>
      </c>
    </row>
    <row r="18" spans="1:10" s="17" customFormat="1" ht="14.25">
      <c r="A18" s="395" t="s">
        <v>59</v>
      </c>
      <c r="B18" s="83" t="s">
        <v>12</v>
      </c>
      <c r="C18" s="129">
        <f>$D$80/(453.6*10^6)/35.31*10^6/$D$85*(1-$D$74)</f>
        <v>1.702331003508745E-6</v>
      </c>
      <c r="D18" s="122" t="str">
        <f>'4 Flare1'!D18</f>
        <v>lb/MMBtu</v>
      </c>
      <c r="E18" s="243">
        <v>5</v>
      </c>
      <c r="F18" s="90">
        <f t="shared" si="0"/>
        <v>4.2402228079063658E-6</v>
      </c>
      <c r="G18" s="90">
        <f t="shared" si="2"/>
        <v>1.8572175898629881E-5</v>
      </c>
    </row>
    <row r="19" spans="1:10" s="17" customFormat="1" ht="14.25">
      <c r="A19" s="395" t="s">
        <v>307</v>
      </c>
      <c r="B19" s="83" t="s">
        <v>34</v>
      </c>
      <c r="C19" s="129">
        <f>INDEX('4 Flare1'!C:C,MATCH($A19,'4 Flare1'!$A:$A,0))</f>
        <v>1.1764705882352941E-8</v>
      </c>
      <c r="D19" s="122" t="str">
        <f>'4 Flare1'!D19</f>
        <v>lb/MMBtu</v>
      </c>
      <c r="E19" s="246" t="s">
        <v>239</v>
      </c>
      <c r="F19" s="90">
        <f t="shared" si="0"/>
        <v>2.9303921568627448E-8</v>
      </c>
      <c r="G19" s="90">
        <f t="shared" si="2"/>
        <v>1.2835117647058822E-7</v>
      </c>
    </row>
    <row r="20" spans="1:10" s="17" customFormat="1" ht="14.25">
      <c r="A20" s="395" t="s">
        <v>69</v>
      </c>
      <c r="B20" s="83" t="s">
        <v>35</v>
      </c>
      <c r="C20" s="129">
        <f>INDEX('4 Flare1'!C:C,MATCH($A20,'4 Flare1'!$A:$A,0))</f>
        <v>1.0784313725490197E-6</v>
      </c>
      <c r="D20" s="122" t="str">
        <f>'4 Flare1'!D20</f>
        <v>lb/MMBtu</v>
      </c>
      <c r="E20" s="246" t="s">
        <v>239</v>
      </c>
      <c r="F20" s="90">
        <f t="shared" si="0"/>
        <v>2.6861928104575166E-6</v>
      </c>
      <c r="G20" s="90">
        <f t="shared" si="2"/>
        <v>1.1765524509803922E-5</v>
      </c>
    </row>
    <row r="21" spans="1:10" s="17" customFormat="1" ht="14.25">
      <c r="A21" s="395" t="s">
        <v>290</v>
      </c>
      <c r="B21" s="83" t="s">
        <v>80</v>
      </c>
      <c r="C21" s="129">
        <f>INDEX('4 Flare1'!C:C,MATCH($A21,'4 Flare1'!$A:$A,0))</f>
        <v>1.3725490196078432E-6</v>
      </c>
      <c r="D21" s="122" t="str">
        <f>'4 Flare1'!D21</f>
        <v>lb/MMBtu</v>
      </c>
      <c r="E21" s="246" t="s">
        <v>239</v>
      </c>
      <c r="F21" s="90">
        <f t="shared" si="0"/>
        <v>3.4187908496732027E-6</v>
      </c>
      <c r="G21" s="90">
        <f t="shared" si="2"/>
        <v>1.4974303921568628E-5</v>
      </c>
    </row>
    <row r="22" spans="1:10" s="17" customFormat="1" ht="14.25">
      <c r="A22" s="395" t="s">
        <v>70</v>
      </c>
      <c r="B22" s="83" t="s">
        <v>36</v>
      </c>
      <c r="C22" s="129">
        <f>INDEX('4 Flare1'!C:C,MATCH($A22,'4 Flare1'!$A:$A,0))</f>
        <v>8.2352941176470587E-8</v>
      </c>
      <c r="D22" s="122" t="str">
        <f>'4 Flare1'!D22</f>
        <v>lb/MMBtu</v>
      </c>
      <c r="E22" s="246" t="s">
        <v>239</v>
      </c>
      <c r="F22" s="90">
        <f t="shared" si="0"/>
        <v>2.0512745098039214E-7</v>
      </c>
      <c r="G22" s="90">
        <f t="shared" si="2"/>
        <v>8.9845823529411765E-7</v>
      </c>
    </row>
    <row r="23" spans="1:10" s="17" customFormat="1" ht="14.25">
      <c r="A23" s="395" t="s">
        <v>299</v>
      </c>
      <c r="B23" s="83" t="s">
        <v>37</v>
      </c>
      <c r="C23" s="129">
        <f>INDEX('4 Flare1'!C:C,MATCH($A23,'4 Flare1'!$A:$A,0))</f>
        <v>8.3333333333333333E-7</v>
      </c>
      <c r="D23" s="122" t="str">
        <f>'4 Flare1'!D23</f>
        <v>lb/MMBtu</v>
      </c>
      <c r="E23" s="246" t="s">
        <v>239</v>
      </c>
      <c r="F23" s="90">
        <f t="shared" si="0"/>
        <v>2.0756944444444442E-6</v>
      </c>
      <c r="G23" s="90">
        <f t="shared" si="2"/>
        <v>9.091541666666666E-6</v>
      </c>
    </row>
    <row r="24" spans="1:10" s="17" customFormat="1" ht="14.25">
      <c r="A24" s="395" t="s">
        <v>150</v>
      </c>
      <c r="B24" s="83" t="s">
        <v>19</v>
      </c>
      <c r="C24" s="129">
        <f>$D$81/(453.6*10^6)/35.31*10^6/$D$85*(1-$D$74)</f>
        <v>8.2260290102436012E-8</v>
      </c>
      <c r="D24" s="122" t="str">
        <f>'4 Flare1'!D24</f>
        <v>lb/MMBtu</v>
      </c>
      <c r="E24" s="246" t="s">
        <v>240</v>
      </c>
      <c r="F24" s="90">
        <f t="shared" si="0"/>
        <v>2.0489667259681768E-7</v>
      </c>
      <c r="G24" s="90">
        <f t="shared" si="2"/>
        <v>8.9744742597406148E-7</v>
      </c>
    </row>
    <row r="25" spans="1:10" s="17" customFormat="1" ht="14.25">
      <c r="A25" s="395" t="s">
        <v>65</v>
      </c>
      <c r="B25" s="83" t="s">
        <v>22</v>
      </c>
      <c r="C25" s="129">
        <f>INDEX('4 Flare1'!C:C,MATCH($A25,'4 Flare1'!$A:$A,0))</f>
        <v>7.3529411764705876E-5</v>
      </c>
      <c r="D25" s="122" t="str">
        <f>'4 Flare1'!D25</f>
        <v>lb/MMBtu</v>
      </c>
      <c r="E25" s="243">
        <v>5</v>
      </c>
      <c r="F25" s="90">
        <f t="shared" si="0"/>
        <v>1.8314950980392154E-4</v>
      </c>
      <c r="G25" s="90">
        <f t="shared" si="2"/>
        <v>8.0219485294117634E-4</v>
      </c>
    </row>
    <row r="26" spans="1:10" s="17" customFormat="1" ht="14.25">
      <c r="A26" s="395" t="s">
        <v>154</v>
      </c>
      <c r="B26" s="83" t="s">
        <v>23</v>
      </c>
      <c r="C26" s="129">
        <f>INDEX('4 Flare1'!C:C,MATCH($A26,'4 Flare1'!$A:$A,0))</f>
        <v>1.7647058823529412E-3</v>
      </c>
      <c r="D26" s="122" t="str">
        <f>'4 Flare1'!D26</f>
        <v>lb/MMBtu</v>
      </c>
      <c r="E26" s="246" t="s">
        <v>240</v>
      </c>
      <c r="F26" s="90">
        <f t="shared" si="0"/>
        <v>4.3955882352941173E-3</v>
      </c>
      <c r="G26" s="90">
        <f t="shared" si="2"/>
        <v>1.9252676470588235E-2</v>
      </c>
    </row>
    <row r="27" spans="1:10" s="17" customFormat="1" ht="14.25">
      <c r="A27" s="395">
        <v>2148878</v>
      </c>
      <c r="B27" s="83" t="s">
        <v>155</v>
      </c>
      <c r="C27" s="129">
        <f>$D$72*$D$73/10^6*34/32*10^6*(1-$D$74)</f>
        <v>0.88321756077027747</v>
      </c>
      <c r="D27" s="122" t="str">
        <f>'4 Flare1'!D27</f>
        <v>lb/MMBtu</v>
      </c>
      <c r="E27" s="246" t="s">
        <v>220</v>
      </c>
      <c r="F27" s="90">
        <f>C27*$D$69/1000000</f>
        <v>5.1521024378266191E-3</v>
      </c>
      <c r="G27" s="90">
        <f>C27*$D$69/1000000*$D$68/2000</f>
        <v>2.2566208677680593E-2</v>
      </c>
      <c r="H27" s="130"/>
    </row>
    <row r="28" spans="1:10" s="17" customFormat="1" ht="14.25">
      <c r="A28" s="395" t="s">
        <v>306</v>
      </c>
      <c r="B28" s="83" t="s">
        <v>81</v>
      </c>
      <c r="C28" s="129">
        <f>INDEX('4 Flare1'!C:C,MATCH($A28,'4 Flare1'!$A:$A,0))</f>
        <v>4.9019607843137254E-7</v>
      </c>
      <c r="D28" s="122" t="str">
        <f>'4 Flare1'!D28</f>
        <v>lb/MMBtu</v>
      </c>
      <c r="E28" s="243">
        <v>1</v>
      </c>
      <c r="F28" s="90">
        <f>C28*$D$67</f>
        <v>1.2209967320261437E-6</v>
      </c>
      <c r="G28" s="90">
        <f>C28*$D$67*$D$68/2000</f>
        <v>5.3479656862745095E-6</v>
      </c>
    </row>
    <row r="29" spans="1:10" s="17" customFormat="1" ht="14.25">
      <c r="A29" s="395" t="s">
        <v>305</v>
      </c>
      <c r="B29" s="83" t="s">
        <v>38</v>
      </c>
      <c r="C29" s="129">
        <f>INDEX('4 Flare1'!C:C,MATCH($A29,'4 Flare1'!$A:$A,0))</f>
        <v>3.7254901960784315E-7</v>
      </c>
      <c r="D29" s="122" t="str">
        <f>'4 Flare1'!D29</f>
        <v>lb/MMBtu</v>
      </c>
      <c r="E29" s="246" t="s">
        <v>239</v>
      </c>
      <c r="F29" s="90">
        <f>C29*$D$67</f>
        <v>9.2795751633986932E-7</v>
      </c>
      <c r="G29" s="90">
        <f>C29*$D$67*$D$68/2000</f>
        <v>4.0644539215686274E-6</v>
      </c>
    </row>
    <row r="30" spans="1:10" s="17" customFormat="1" ht="14.25">
      <c r="A30" s="395" t="s">
        <v>71</v>
      </c>
      <c r="B30" s="83" t="s">
        <v>39</v>
      </c>
      <c r="C30" s="129">
        <f>INDEX('4 Flare1'!C:C,MATCH($A30,'4 Flare1'!$A:$A,0))</f>
        <v>2.5490196078431371E-7</v>
      </c>
      <c r="D30" s="122" t="str">
        <f>'4 Flare1'!D30</f>
        <v>lb/MMBtu</v>
      </c>
      <c r="E30" s="246" t="s">
        <v>239</v>
      </c>
      <c r="F30" s="90">
        <f>C30*$D$67</f>
        <v>6.3491830065359471E-7</v>
      </c>
      <c r="G30" s="90">
        <f>C30*$D$67*$D$68/2000</f>
        <v>2.7809421568627449E-6</v>
      </c>
    </row>
    <row r="31" spans="1:10" s="17" customFormat="1" ht="14.25">
      <c r="A31" s="395" t="s">
        <v>67</v>
      </c>
      <c r="B31" s="83" t="s">
        <v>24</v>
      </c>
      <c r="C31" s="129">
        <f>C51</f>
        <v>5.9803921568627444E-7</v>
      </c>
      <c r="D31" s="122" t="str">
        <f t="shared" ref="D31:G31" si="3">D51</f>
        <v>lb/MMBtu</v>
      </c>
      <c r="E31" s="246" t="str">
        <f t="shared" si="3"/>
        <v>5</v>
      </c>
      <c r="F31" s="90">
        <f t="shared" si="3"/>
        <v>1.4896160130718952E-6</v>
      </c>
      <c r="G31" s="90">
        <f t="shared" si="3"/>
        <v>6.524518137254901E-6</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47" si="4">C32*$D$67</f>
        <v>5.1281862745098031E-6</v>
      </c>
      <c r="G32" s="90">
        <f t="shared" ref="G32:G47" si="5">C32*$D$67*$D$68/2000</f>
        <v>2.2461455882352939E-5</v>
      </c>
      <c r="H32" s="210"/>
    </row>
    <row r="33" spans="1:7" s="17" customFormat="1" ht="14.25">
      <c r="A33" s="395" t="s">
        <v>296</v>
      </c>
      <c r="B33" s="83" t="s">
        <v>82</v>
      </c>
      <c r="C33" s="104">
        <f>SUM(C34:C53)</f>
        <v>1.8609803921568625E-6</v>
      </c>
      <c r="D33" s="122" t="str">
        <f>'4 Flare1'!D33</f>
        <v>lb/MMBtu</v>
      </c>
      <c r="E33" s="246" t="s">
        <v>240</v>
      </c>
      <c r="F33" s="90">
        <f t="shared" si="4"/>
        <v>4.6353919934640519E-6</v>
      </c>
      <c r="G33" s="90">
        <f t="shared" si="5"/>
        <v>2.0303016931372549E-5</v>
      </c>
    </row>
    <row r="34" spans="1:7" s="17" customFormat="1" ht="14.25">
      <c r="A34" s="395" t="s">
        <v>285</v>
      </c>
      <c r="B34" s="105" t="s">
        <v>4</v>
      </c>
      <c r="C34" s="411">
        <f>INDEX('4 Flare1'!C:C,MATCH($A34,'4 Flare1'!$A:$A,0))</f>
        <v>2.3529411764705881E-8</v>
      </c>
      <c r="D34" s="131" t="str">
        <f>'4 Flare1'!D34</f>
        <v>lb/MMBtu</v>
      </c>
      <c r="E34" s="246" t="s">
        <v>240</v>
      </c>
      <c r="F34" s="107">
        <f t="shared" si="4"/>
        <v>5.8607843137254897E-8</v>
      </c>
      <c r="G34" s="107">
        <f t="shared" si="5"/>
        <v>2.5670235294117645E-7</v>
      </c>
    </row>
    <row r="35" spans="1:7" s="17" customFormat="1" ht="14.25">
      <c r="A35" s="395" t="s">
        <v>54</v>
      </c>
      <c r="B35" s="105" t="s">
        <v>5</v>
      </c>
      <c r="C35" s="411">
        <f>INDEX('4 Flare1'!C:C,MATCH($A35,'4 Flare1'!$A:$A,0))</f>
        <v>1.7647058823529412E-9</v>
      </c>
      <c r="D35" s="131" t="str">
        <f>'4 Flare1'!D35</f>
        <v>lb/MMBtu</v>
      </c>
      <c r="E35" s="246" t="s">
        <v>240</v>
      </c>
      <c r="F35" s="107">
        <f t="shared" si="4"/>
        <v>4.3955882352941171E-9</v>
      </c>
      <c r="G35" s="107">
        <f t="shared" si="5"/>
        <v>1.9252676470588232E-8</v>
      </c>
    </row>
    <row r="36" spans="1:7" s="17" customFormat="1" ht="14.25">
      <c r="A36" s="395" t="s">
        <v>55</v>
      </c>
      <c r="B36" s="105" t="s">
        <v>6</v>
      </c>
      <c r="C36" s="411">
        <f>INDEX('4 Flare1'!C:C,MATCH($A36,'4 Flare1'!$A:$A,0))</f>
        <v>1.5686274509803922E-8</v>
      </c>
      <c r="D36" s="131" t="str">
        <f>'4 Flare1'!D36</f>
        <v>lb/MMBtu</v>
      </c>
      <c r="E36" s="246" t="s">
        <v>240</v>
      </c>
      <c r="F36" s="107">
        <f t="shared" si="4"/>
        <v>3.9071895424836598E-8</v>
      </c>
      <c r="G36" s="107">
        <f t="shared" si="5"/>
        <v>1.711349019607843E-7</v>
      </c>
    </row>
    <row r="37" spans="1:7" s="17" customFormat="1" ht="14.25">
      <c r="A37" s="395" t="s">
        <v>287</v>
      </c>
      <c r="B37" s="105" t="s">
        <v>7</v>
      </c>
      <c r="C37" s="411">
        <f>INDEX('4 Flare1'!C:C,MATCH($A37,'4 Flare1'!$A:$A,0))</f>
        <v>1.7647058823529412E-9</v>
      </c>
      <c r="D37" s="131" t="str">
        <f>'4 Flare1'!D37</f>
        <v>lb/MMBtu</v>
      </c>
      <c r="E37" s="246" t="s">
        <v>240</v>
      </c>
      <c r="F37" s="107">
        <f t="shared" si="4"/>
        <v>4.3955882352941171E-9</v>
      </c>
      <c r="G37" s="107">
        <f t="shared" si="5"/>
        <v>1.9252676470588232E-8</v>
      </c>
    </row>
    <row r="38" spans="1:7" s="17" customFormat="1" ht="14.25">
      <c r="A38" s="395" t="s">
        <v>286</v>
      </c>
      <c r="B38" s="105" t="s">
        <v>8</v>
      </c>
      <c r="C38" s="411">
        <f>INDEX('4 Flare1'!C:C,MATCH($A38,'4 Flare1'!$A:$A,0))</f>
        <v>1.7647058823529412E-9</v>
      </c>
      <c r="D38" s="131" t="str">
        <f>'4 Flare1'!D38</f>
        <v>lb/MMBtu</v>
      </c>
      <c r="E38" s="246" t="s">
        <v>240</v>
      </c>
      <c r="F38" s="107">
        <f t="shared" si="4"/>
        <v>4.3955882352941171E-9</v>
      </c>
      <c r="G38" s="107">
        <f t="shared" si="5"/>
        <v>1.9252676470588232E-8</v>
      </c>
    </row>
    <row r="39" spans="1:7" s="17" customFormat="1" ht="14.25">
      <c r="A39" s="395" t="s">
        <v>288</v>
      </c>
      <c r="B39" s="105" t="s">
        <v>11</v>
      </c>
      <c r="C39" s="411">
        <f>INDEX('4 Flare1'!C:C,MATCH($A39,'4 Flare1'!$A:$A,0))</f>
        <v>2.3529411764705881E-9</v>
      </c>
      <c r="D39" s="131" t="str">
        <f>'4 Flare1'!D39</f>
        <v>lb/MMBtu</v>
      </c>
      <c r="E39" s="246" t="s">
        <v>240</v>
      </c>
      <c r="F39" s="107">
        <f t="shared" si="4"/>
        <v>5.8607843137254892E-9</v>
      </c>
      <c r="G39" s="107">
        <f t="shared" si="5"/>
        <v>2.5670235294117642E-8</v>
      </c>
    </row>
    <row r="40" spans="1:7" s="17" customFormat="1" ht="14.25">
      <c r="A40" s="395" t="s">
        <v>58</v>
      </c>
      <c r="B40" s="105" t="s">
        <v>83</v>
      </c>
      <c r="C40" s="411">
        <f>INDEX('4 Flare1'!C:C,MATCH($A40,'4 Flare1'!$A:$A,0))</f>
        <v>1.7647058823529412E-9</v>
      </c>
      <c r="D40" s="131" t="str">
        <f>'4 Flare1'!D40</f>
        <v>lb/MMBtu</v>
      </c>
      <c r="E40" s="246" t="s">
        <v>240</v>
      </c>
      <c r="F40" s="107">
        <f t="shared" si="4"/>
        <v>4.3955882352941171E-9</v>
      </c>
      <c r="G40" s="107">
        <f t="shared" si="5"/>
        <v>1.9252676470588232E-8</v>
      </c>
    </row>
    <row r="41" spans="1:7" s="17" customFormat="1" ht="14.25">
      <c r="A41" s="395" t="s">
        <v>60</v>
      </c>
      <c r="B41" s="105" t="s">
        <v>13</v>
      </c>
      <c r="C41" s="411">
        <f>INDEX('4 Flare1'!C:C,MATCH($A41,'4 Flare1'!$A:$A,0))</f>
        <v>1.176470588235294E-9</v>
      </c>
      <c r="D41" s="131" t="str">
        <f>'4 Flare1'!D41</f>
        <v>lb/MMBtu</v>
      </c>
      <c r="E41" s="246" t="s">
        <v>240</v>
      </c>
      <c r="F41" s="107">
        <f t="shared" si="4"/>
        <v>2.9303921568627446E-9</v>
      </c>
      <c r="G41" s="107">
        <f t="shared" si="5"/>
        <v>1.2835117647058821E-8</v>
      </c>
    </row>
    <row r="42" spans="1:7" s="17" customFormat="1" ht="14.25">
      <c r="A42" s="395" t="s">
        <v>61</v>
      </c>
      <c r="B42" s="105" t="s">
        <v>14</v>
      </c>
      <c r="C42" s="411">
        <f>INDEX('4 Flare1'!C:C,MATCH($A42,'4 Flare1'!$A:$A,0))</f>
        <v>1.7647058823529412E-9</v>
      </c>
      <c r="D42" s="131" t="str">
        <f>'4 Flare1'!D42</f>
        <v>lb/MMBtu</v>
      </c>
      <c r="E42" s="246" t="s">
        <v>240</v>
      </c>
      <c r="F42" s="107">
        <f t="shared" si="4"/>
        <v>4.3955882352941171E-9</v>
      </c>
      <c r="G42" s="107">
        <f t="shared" si="5"/>
        <v>1.9252676470588232E-8</v>
      </c>
    </row>
    <row r="43" spans="1:7" s="17" customFormat="1" ht="14.25">
      <c r="A43" s="395" t="s">
        <v>289</v>
      </c>
      <c r="B43" s="105" t="s">
        <v>15</v>
      </c>
      <c r="C43" s="411">
        <f>INDEX('4 Flare1'!C:C,MATCH($A43,'4 Flare1'!$A:$A,0))</f>
        <v>1.176470588235294E-9</v>
      </c>
      <c r="D43" s="131" t="str">
        <f>'4 Flare1'!D43</f>
        <v>lb/MMBtu</v>
      </c>
      <c r="E43" s="246" t="s">
        <v>240</v>
      </c>
      <c r="F43" s="107">
        <f t="shared" si="4"/>
        <v>2.9303921568627446E-9</v>
      </c>
      <c r="G43" s="107">
        <f t="shared" si="5"/>
        <v>1.2835117647058821E-8</v>
      </c>
    </row>
    <row r="44" spans="1:7" s="17" customFormat="1" ht="14.25">
      <c r="A44" s="395" t="s">
        <v>62</v>
      </c>
      <c r="B44" s="105" t="s">
        <v>16</v>
      </c>
      <c r="C44" s="411">
        <f>INDEX('4 Flare1'!C:C,MATCH($A44,'4 Flare1'!$A:$A,0))</f>
        <v>1.7647058823529412E-9</v>
      </c>
      <c r="D44" s="131" t="str">
        <f>'4 Flare1'!D44</f>
        <v>lb/MMBtu</v>
      </c>
      <c r="E44" s="246" t="s">
        <v>240</v>
      </c>
      <c r="F44" s="107">
        <f t="shared" si="4"/>
        <v>4.3955882352941171E-9</v>
      </c>
      <c r="G44" s="107">
        <f t="shared" si="5"/>
        <v>1.9252676470588232E-8</v>
      </c>
    </row>
    <row r="45" spans="1:7" s="17" customFormat="1" ht="14.25">
      <c r="A45" s="395" t="s">
        <v>63</v>
      </c>
      <c r="B45" s="109" t="s">
        <v>17</v>
      </c>
      <c r="C45" s="411">
        <f>INDEX('4 Flare1'!C:C,MATCH($A45,'4 Flare1'!$A:$A,0))</f>
        <v>1.7647058823529412E-9</v>
      </c>
      <c r="D45" s="131" t="str">
        <f>'4 Flare1'!D45</f>
        <v>lb/MMBtu</v>
      </c>
      <c r="E45" s="246" t="s">
        <v>240</v>
      </c>
      <c r="F45" s="107">
        <f t="shared" si="4"/>
        <v>4.3955882352941171E-9</v>
      </c>
      <c r="G45" s="107">
        <f t="shared" si="5"/>
        <v>1.9252676470588232E-8</v>
      </c>
    </row>
    <row r="46" spans="1:7" s="17" customFormat="1" ht="14.25">
      <c r="A46" s="395" t="s">
        <v>64</v>
      </c>
      <c r="B46" s="109" t="s">
        <v>84</v>
      </c>
      <c r="C46" s="411">
        <f>INDEX('4 Flare1'!C:C,MATCH($A46,'4 Flare1'!$A:$A,0))</f>
        <v>1.176470588235294E-9</v>
      </c>
      <c r="D46" s="131" t="str">
        <f>'4 Flare1'!D46</f>
        <v>lb/MMBtu</v>
      </c>
      <c r="E46" s="246" t="s">
        <v>240</v>
      </c>
      <c r="F46" s="107">
        <f t="shared" si="4"/>
        <v>2.9303921568627446E-9</v>
      </c>
      <c r="G46" s="107">
        <f t="shared" si="5"/>
        <v>1.2835117647058821E-8</v>
      </c>
    </row>
    <row r="47" spans="1:7" s="17" customFormat="1" ht="14.25">
      <c r="A47" s="395" t="s">
        <v>151</v>
      </c>
      <c r="B47" s="109" t="s">
        <v>283</v>
      </c>
      <c r="C47" s="411">
        <f>'4 Flare1'!C47</f>
        <v>1.176470588235294E-6</v>
      </c>
      <c r="D47" s="131" t="str">
        <f>'4 Flare1'!D47</f>
        <v>lb/MMBtu</v>
      </c>
      <c r="E47" s="246" t="s">
        <v>240</v>
      </c>
      <c r="F47" s="107">
        <f t="shared" si="4"/>
        <v>2.9303921568627448E-6</v>
      </c>
      <c r="G47" s="107">
        <f t="shared" si="5"/>
        <v>1.2835117647058823E-5</v>
      </c>
    </row>
    <row r="48" spans="1:7" ht="14.25">
      <c r="A48" s="396" t="s">
        <v>291</v>
      </c>
      <c r="B48" s="109" t="s">
        <v>20</v>
      </c>
      <c r="C48" s="411">
        <f>INDEX('4 Flare1'!C:C,MATCH($A48,'4 Flare1'!$A:$A,0))</f>
        <v>2.9411764705882352E-9</v>
      </c>
      <c r="D48" s="131" t="str">
        <f>'4 Flare1'!D48</f>
        <v>lb/MMBtu</v>
      </c>
      <c r="E48" s="246" t="s">
        <v>240</v>
      </c>
      <c r="F48" s="107">
        <f t="shared" ref="F48:F59" si="6">C48*$D$67</f>
        <v>7.3259803921568621E-9</v>
      </c>
      <c r="G48" s="107">
        <f t="shared" ref="G48:G59" si="7">C48*$D$67*$D$68/2000</f>
        <v>3.2087794117647056E-8</v>
      </c>
    </row>
    <row r="49" spans="1:11" ht="14.25">
      <c r="A49" s="396" t="s">
        <v>292</v>
      </c>
      <c r="B49" s="109" t="s">
        <v>21</v>
      </c>
      <c r="C49" s="411">
        <f>INDEX('4 Flare1'!C:C,MATCH($A49,'4 Flare1'!$A:$A,0))</f>
        <v>2.7450980392156863E-9</v>
      </c>
      <c r="D49" s="131" t="str">
        <f>'4 Flare1'!D49</f>
        <v>lb/MMBtu</v>
      </c>
      <c r="E49" s="246" t="s">
        <v>240</v>
      </c>
      <c r="F49" s="107">
        <f t="shared" si="6"/>
        <v>6.8375816993464053E-9</v>
      </c>
      <c r="G49" s="107">
        <f t="shared" si="7"/>
        <v>2.9948607843137254E-8</v>
      </c>
    </row>
    <row r="50" spans="1:11" ht="14.25">
      <c r="A50" s="396" t="s">
        <v>66</v>
      </c>
      <c r="B50" s="109" t="s">
        <v>52</v>
      </c>
      <c r="C50" s="411">
        <f>INDEX('4 Flare1'!C:C,MATCH($A50,'4 Flare1'!$A:$A,0))</f>
        <v>1.7647058823529412E-9</v>
      </c>
      <c r="D50" s="131" t="str">
        <f>'4 Flare1'!D50</f>
        <v>lb/MMBtu</v>
      </c>
      <c r="E50" s="246" t="s">
        <v>240</v>
      </c>
      <c r="F50" s="107">
        <f t="shared" si="6"/>
        <v>4.3955882352941171E-9</v>
      </c>
      <c r="G50" s="107">
        <f t="shared" si="7"/>
        <v>1.9252676470588232E-8</v>
      </c>
    </row>
    <row r="51" spans="1:11" ht="14.25">
      <c r="A51" s="396" t="s">
        <v>67</v>
      </c>
      <c r="B51" s="109" t="s">
        <v>24</v>
      </c>
      <c r="C51" s="411">
        <f>INDEX('4 Flare1'!C:C,MATCH($A51,'4 Flare1'!$A:$A,0))</f>
        <v>5.9803921568627444E-7</v>
      </c>
      <c r="D51" s="131" t="str">
        <f>'4 Flare1'!D51</f>
        <v>lb/MMBtu</v>
      </c>
      <c r="E51" s="246" t="s">
        <v>240</v>
      </c>
      <c r="F51" s="107">
        <f t="shared" si="6"/>
        <v>1.4896160130718952E-6</v>
      </c>
      <c r="G51" s="107">
        <f t="shared" si="7"/>
        <v>6.524518137254901E-6</v>
      </c>
    </row>
    <row r="52" spans="1:11" ht="14.25">
      <c r="A52" s="396" t="s">
        <v>294</v>
      </c>
      <c r="B52" s="109" t="s">
        <v>85</v>
      </c>
      <c r="C52" s="411">
        <f>INDEX('4 Flare1'!C:C,MATCH($A52,'4 Flare1'!$A:$A,0))</f>
        <v>1.6666666666666667E-8</v>
      </c>
      <c r="D52" s="131" t="str">
        <f>'4 Flare1'!D52</f>
        <v>lb/MMBtu</v>
      </c>
      <c r="E52" s="246" t="s">
        <v>240</v>
      </c>
      <c r="F52" s="107">
        <f t="shared" si="6"/>
        <v>4.1513888888888889E-8</v>
      </c>
      <c r="G52" s="107">
        <f t="shared" si="7"/>
        <v>1.8183083333333334E-7</v>
      </c>
    </row>
    <row r="53" spans="1:11" ht="14.25">
      <c r="A53" s="396" t="s">
        <v>295</v>
      </c>
      <c r="B53" s="109" t="s">
        <v>26</v>
      </c>
      <c r="C53" s="411">
        <f>INDEX('4 Flare1'!C:C,MATCH($A53,'4 Flare1'!$A:$A,0))</f>
        <v>4.9019607843137263E-9</v>
      </c>
      <c r="D53" s="131" t="str">
        <f>'4 Flare1'!D53</f>
        <v>lb/MMBtu</v>
      </c>
      <c r="E53" s="246" t="s">
        <v>240</v>
      </c>
      <c r="F53" s="107">
        <f t="shared" si="6"/>
        <v>1.2209967320261439E-8</v>
      </c>
      <c r="G53" s="107">
        <f t="shared" si="7"/>
        <v>5.3479656862745107E-8</v>
      </c>
      <c r="H53" s="136"/>
    </row>
    <row r="54" spans="1:11" s="17" customFormat="1" ht="14.25">
      <c r="A54" s="395" t="s">
        <v>68</v>
      </c>
      <c r="B54" s="83" t="s">
        <v>51</v>
      </c>
      <c r="C54" s="129">
        <f>INDEX('4 Flare1'!C:C,MATCH($A54,'4 Flare1'!$A:$A,0))</f>
        <v>5.1960784313725495E-4</v>
      </c>
      <c r="D54" s="122" t="str">
        <f>'4 Flare1'!D54</f>
        <v>lb/MMBtu</v>
      </c>
      <c r="E54" s="246" t="s">
        <v>235</v>
      </c>
      <c r="F54" s="90">
        <f>C54*$D$67</f>
        <v>1.2942565359477126E-3</v>
      </c>
      <c r="G54" s="90">
        <f>C54*$D$67*$D$68/2000</f>
        <v>5.6688436274509807E-3</v>
      </c>
    </row>
    <row r="55" spans="1:11" ht="14.25">
      <c r="A55" s="396" t="s">
        <v>304</v>
      </c>
      <c r="B55" s="83" t="s">
        <v>41</v>
      </c>
      <c r="C55" s="411">
        <f>INDEX('4 Flare1'!C:C,MATCH($A55,'4 Flare1'!$A:$A,0))</f>
        <v>2.3529411764705881E-8</v>
      </c>
      <c r="D55" s="122" t="str">
        <f>'4 Flare1'!D55</f>
        <v>lb/MMBtu</v>
      </c>
      <c r="E55" s="246" t="s">
        <v>239</v>
      </c>
      <c r="F55" s="90">
        <f t="shared" si="6"/>
        <v>5.8607843137254897E-8</v>
      </c>
      <c r="G55" s="90">
        <f t="shared" si="7"/>
        <v>2.5670235294117645E-7</v>
      </c>
    </row>
    <row r="56" spans="1:11" ht="14.25">
      <c r="A56" s="396" t="s">
        <v>303</v>
      </c>
      <c r="B56" s="83" t="s">
        <v>27</v>
      </c>
      <c r="C56" s="129">
        <f>$D$84/(453.6*10^6)/35.31*10^6/$D$85*(1-$D$74)</f>
        <v>1.468117677522642E-6</v>
      </c>
      <c r="D56" s="122" t="str">
        <f>'4 Flare1'!D56</f>
        <v>lb/MMBtu</v>
      </c>
      <c r="E56" s="246" t="s">
        <v>240</v>
      </c>
      <c r="F56" s="90">
        <f t="shared" si="6"/>
        <v>3.6568364484293139E-6</v>
      </c>
      <c r="G56" s="90">
        <f t="shared" si="7"/>
        <v>1.6016943644120394E-5</v>
      </c>
    </row>
    <row r="57" spans="1:11" ht="14.25">
      <c r="A57" s="396" t="s">
        <v>72</v>
      </c>
      <c r="B57" s="83" t="s">
        <v>42</v>
      </c>
      <c r="C57" s="411">
        <f>INDEX('4 Flare1'!C:C,MATCH($A57,'4 Flare1'!$A:$A,0))</f>
        <v>2.2549019607843137E-6</v>
      </c>
      <c r="D57" s="122" t="str">
        <f>'4 Flare1'!D57</f>
        <v>lb/MMBtu</v>
      </c>
      <c r="E57" s="246" t="s">
        <v>239</v>
      </c>
      <c r="F57" s="90">
        <f t="shared" si="6"/>
        <v>5.6165849673202614E-6</v>
      </c>
      <c r="G57" s="90">
        <f t="shared" si="7"/>
        <v>2.4600642156862744E-5</v>
      </c>
    </row>
    <row r="58" spans="1:11" ht="14.25">
      <c r="A58" s="396" t="s">
        <v>147</v>
      </c>
      <c r="B58" s="83" t="s">
        <v>140</v>
      </c>
      <c r="C58" s="129">
        <f>D82/(453.6*10^6)/35.31*10^6/$D$85*(1-$D$74)</f>
        <v>5.6325448639584649E-7</v>
      </c>
      <c r="D58" s="122" t="str">
        <f>'4 Flare1'!D58</f>
        <v>lb/MMBtu</v>
      </c>
      <c r="E58" s="243" t="s">
        <v>219</v>
      </c>
      <c r="F58" s="90">
        <f t="shared" si="6"/>
        <v>1.4029730498643208E-6</v>
      </c>
      <c r="G58" s="90">
        <f t="shared" si="7"/>
        <v>6.1450219584057252E-6</v>
      </c>
    </row>
    <row r="59" spans="1:11" ht="14.25">
      <c r="A59" s="396" t="s">
        <v>146</v>
      </c>
      <c r="B59" s="83" t="s">
        <v>141</v>
      </c>
      <c r="C59" s="129">
        <f>D83/(453.6*10^6)/35.31*10^6/$D$85*(1-$D$74)</f>
        <v>9.4256582409041224E-8</v>
      </c>
      <c r="D59" s="122" t="str">
        <f>'4 Flare1'!D59</f>
        <v>lb/MMBtu</v>
      </c>
      <c r="E59" s="243" t="s">
        <v>219</v>
      </c>
      <c r="F59" s="90">
        <f t="shared" si="6"/>
        <v>2.3477743735052016E-7</v>
      </c>
      <c r="G59" s="90">
        <f t="shared" si="7"/>
        <v>1.0283251755952784E-6</v>
      </c>
    </row>
    <row r="60" spans="1:11" ht="14.25">
      <c r="A60" s="396" t="s">
        <v>301</v>
      </c>
      <c r="B60" s="111" t="s">
        <v>49</v>
      </c>
      <c r="C60" s="133"/>
      <c r="D60" s="112"/>
      <c r="E60" s="303"/>
      <c r="F60" s="114">
        <f>SUM(F14:F33,F54:F59)-SUM(F23,F57,F27,F31,F54,F16)</f>
        <v>4.6351883908932693E-3</v>
      </c>
      <c r="G60" s="119">
        <f>SUM(G14:G33,G54:G59)-SUM(G23,G57,G27,G31,G54,G16)</f>
        <v>2.0302125152112507E-2</v>
      </c>
    </row>
    <row r="61" spans="1:11" s="166" customFormat="1" ht="6">
      <c r="A61" s="397"/>
      <c r="B61" s="422"/>
      <c r="C61" s="422"/>
      <c r="D61" s="422"/>
      <c r="E61" s="423"/>
      <c r="F61" s="423"/>
      <c r="G61" s="422"/>
      <c r="H61" s="165"/>
      <c r="I61" s="165"/>
      <c r="J61" s="165"/>
      <c r="K61" s="165"/>
    </row>
    <row r="62" spans="1:11">
      <c r="B62" s="7" t="s">
        <v>86</v>
      </c>
      <c r="C62" s="7"/>
      <c r="D62" s="7"/>
      <c r="G62" s="7"/>
    </row>
    <row r="63" spans="1:11" ht="14.25">
      <c r="B63" s="581" t="s">
        <v>221</v>
      </c>
      <c r="C63" s="581"/>
      <c r="D63" s="581"/>
      <c r="E63" s="581"/>
      <c r="F63" s="581"/>
      <c r="G63" s="581"/>
      <c r="H63" s="55" t="s">
        <v>110</v>
      </c>
    </row>
    <row r="64" spans="1:11">
      <c r="B64" s="581"/>
      <c r="C64" s="581"/>
      <c r="D64" s="581"/>
      <c r="E64" s="581"/>
      <c r="F64" s="581"/>
      <c r="G64" s="581"/>
    </row>
    <row r="65" spans="1:8" s="17" customFormat="1" ht="14.1" customHeight="1">
      <c r="A65" s="23"/>
      <c r="B65" s="580" t="s">
        <v>215</v>
      </c>
      <c r="C65" s="580"/>
      <c r="D65" s="580"/>
      <c r="E65" s="580"/>
      <c r="F65" s="580"/>
      <c r="G65" s="580"/>
      <c r="H65" s="55" t="s">
        <v>110</v>
      </c>
    </row>
    <row r="66" spans="1:8" s="17" customFormat="1" ht="14.1" customHeight="1">
      <c r="A66" s="23"/>
      <c r="B66" s="580"/>
      <c r="C66" s="580"/>
      <c r="D66" s="580"/>
      <c r="E66" s="580"/>
      <c r="F66" s="580"/>
      <c r="G66" s="580"/>
    </row>
    <row r="67" spans="1:8" s="17" customFormat="1" ht="14.25">
      <c r="A67" s="23"/>
      <c r="B67" s="318"/>
      <c r="C67" s="42" t="s">
        <v>170</v>
      </c>
      <c r="D67" s="57">
        <f>'1 Rates'!B15</f>
        <v>2.4908333333333332</v>
      </c>
      <c r="E67" s="299" t="s">
        <v>241</v>
      </c>
      <c r="F67" s="4"/>
      <c r="G67" s="42"/>
    </row>
    <row r="68" spans="1:8" s="17" customFormat="1" ht="14.25">
      <c r="A68" s="23"/>
      <c r="B68" s="318"/>
      <c r="C68" s="44" t="s">
        <v>87</v>
      </c>
      <c r="D68" s="45">
        <f>'1 Rates'!$D$14</f>
        <v>8760</v>
      </c>
      <c r="E68" s="299" t="s">
        <v>241</v>
      </c>
      <c r="F68" s="4"/>
      <c r="G68" s="44"/>
    </row>
    <row r="69" spans="1:8" s="17" customFormat="1" ht="14.25">
      <c r="A69" s="23"/>
      <c r="B69" s="318"/>
      <c r="C69" s="42" t="s">
        <v>171</v>
      </c>
      <c r="D69" s="43">
        <f>'1 Rates'!$B$14</f>
        <v>5833.3333333333339</v>
      </c>
      <c r="E69" s="299" t="s">
        <v>241</v>
      </c>
      <c r="F69" s="4"/>
      <c r="G69" s="44"/>
    </row>
    <row r="70" spans="1:8" s="17" customFormat="1" ht="14.25">
      <c r="A70" s="23"/>
      <c r="B70" s="580" t="s">
        <v>222</v>
      </c>
      <c r="C70" s="580"/>
      <c r="D70" s="580"/>
      <c r="E70" s="580"/>
      <c r="F70" s="580"/>
      <c r="G70" s="580"/>
      <c r="H70" s="55" t="s">
        <v>110</v>
      </c>
    </row>
    <row r="71" spans="1:8" s="17" customFormat="1" ht="14.25">
      <c r="A71" s="23"/>
      <c r="B71" s="580"/>
      <c r="C71" s="580"/>
      <c r="D71" s="580"/>
      <c r="E71" s="580"/>
      <c r="F71" s="580"/>
      <c r="G71" s="580"/>
      <c r="H71" s="55" t="s">
        <v>110</v>
      </c>
    </row>
    <row r="72" spans="1:8" s="17" customFormat="1" ht="14.25">
      <c r="A72" s="23"/>
      <c r="B72" s="318"/>
      <c r="C72" s="59" t="s">
        <v>121</v>
      </c>
      <c r="D72" s="50">
        <f>'2 Gas Data'!$D$8</f>
        <v>9.117505691797996E-2</v>
      </c>
      <c r="E72" s="299" t="s">
        <v>284</v>
      </c>
      <c r="F72" s="413"/>
      <c r="G72" s="413"/>
      <c r="H72" s="62"/>
    </row>
    <row r="73" spans="1:8" s="17" customFormat="1" ht="14.25">
      <c r="A73" s="23"/>
      <c r="B73" s="318"/>
      <c r="C73" s="152" t="s">
        <v>174</v>
      </c>
      <c r="D73" s="54">
        <f>'2 Gas Data'!$D$9</f>
        <v>911.72258587687475</v>
      </c>
      <c r="E73" s="299" t="s">
        <v>284</v>
      </c>
      <c r="F73" s="416"/>
      <c r="G73" s="49"/>
      <c r="H73" s="49"/>
    </row>
    <row r="74" spans="1:8" s="17" customFormat="1" ht="14.25">
      <c r="A74" s="23"/>
      <c r="B74" s="318"/>
      <c r="C74" s="152" t="s">
        <v>156</v>
      </c>
      <c r="D74" s="53">
        <f>'4 Flare1'!$D$74</f>
        <v>0.99</v>
      </c>
      <c r="E74" s="299" t="s">
        <v>234</v>
      </c>
      <c r="F74" s="416"/>
      <c r="G74" s="49"/>
      <c r="H74" s="49"/>
    </row>
    <row r="75" spans="1:8" s="17" customFormat="1" ht="14.25">
      <c r="A75" s="23"/>
      <c r="B75" s="565" t="s">
        <v>223</v>
      </c>
      <c r="C75" s="565"/>
      <c r="D75" s="565"/>
      <c r="E75" s="565"/>
      <c r="F75" s="565"/>
      <c r="G75" s="565"/>
      <c r="H75" s="55" t="s">
        <v>110</v>
      </c>
    </row>
    <row r="76" spans="1:8" s="17" customFormat="1" ht="14.25">
      <c r="A76" s="23"/>
      <c r="B76" s="565"/>
      <c r="C76" s="565"/>
      <c r="D76" s="565"/>
      <c r="E76" s="565"/>
      <c r="F76" s="565"/>
      <c r="G76" s="565"/>
      <c r="H76" s="55" t="s">
        <v>110</v>
      </c>
    </row>
    <row r="77" spans="1:8" ht="14.25">
      <c r="B77" s="318"/>
      <c r="C77" s="9" t="s">
        <v>173</v>
      </c>
      <c r="D77" s="58">
        <f>'2 Gas Data'!D10</f>
        <v>0.14373965861351329</v>
      </c>
      <c r="E77" s="299" t="s">
        <v>284</v>
      </c>
      <c r="F77" s="48"/>
      <c r="G77" s="413"/>
    </row>
    <row r="78" spans="1:8" ht="14.25">
      <c r="B78" s="565" t="s">
        <v>250</v>
      </c>
      <c r="C78" s="565"/>
      <c r="D78" s="565"/>
      <c r="E78" s="565"/>
      <c r="F78" s="565"/>
      <c r="G78" s="565"/>
      <c r="H78" s="55" t="s">
        <v>110</v>
      </c>
    </row>
    <row r="79" spans="1:8" ht="14.25" customHeight="1">
      <c r="B79" s="565"/>
      <c r="C79" s="565"/>
      <c r="D79" s="565"/>
      <c r="E79" s="565"/>
      <c r="F79" s="565"/>
      <c r="G79" s="565"/>
      <c r="H79" s="55" t="s">
        <v>110</v>
      </c>
    </row>
    <row r="80" spans="1:8" ht="14.25">
      <c r="B80" s="318"/>
      <c r="C80" s="150" t="s">
        <v>177</v>
      </c>
      <c r="D80" s="151">
        <f>'2 Gas Data'!$F$11</f>
        <v>2980</v>
      </c>
      <c r="E80" s="299" t="s">
        <v>284</v>
      </c>
      <c r="F80" s="48"/>
      <c r="G80" s="413"/>
    </row>
    <row r="81" spans="1:11" ht="14.25">
      <c r="B81" s="318"/>
      <c r="C81" s="150" t="s">
        <v>178</v>
      </c>
      <c r="D81" s="151">
        <f>'2 Gas Data'!$F$12</f>
        <v>144</v>
      </c>
      <c r="E81" s="299" t="s">
        <v>284</v>
      </c>
      <c r="F81" s="48"/>
      <c r="G81" s="413"/>
    </row>
    <row r="82" spans="1:11" ht="14.25">
      <c r="B82" s="318"/>
      <c r="C82" s="150" t="s">
        <v>179</v>
      </c>
      <c r="D82" s="151">
        <f>'2 Gas Data'!$F$13</f>
        <v>986</v>
      </c>
      <c r="E82" s="299" t="s">
        <v>284</v>
      </c>
      <c r="F82" s="48"/>
      <c r="G82" s="413"/>
    </row>
    <row r="83" spans="1:11" ht="14.25">
      <c r="B83" s="318"/>
      <c r="C83" s="150" t="s">
        <v>180</v>
      </c>
      <c r="D83" s="151">
        <f>'2 Gas Data'!$F$14</f>
        <v>165</v>
      </c>
      <c r="E83" s="299" t="s">
        <v>284</v>
      </c>
      <c r="F83" s="48"/>
      <c r="G83" s="413"/>
    </row>
    <row r="84" spans="1:11" ht="14.25">
      <c r="B84" s="318"/>
      <c r="C84" s="150" t="s">
        <v>181</v>
      </c>
      <c r="D84" s="151">
        <f>'2 Gas Data'!$F$15</f>
        <v>2570</v>
      </c>
      <c r="E84" s="299" t="s">
        <v>284</v>
      </c>
      <c r="F84" s="48"/>
      <c r="G84" s="413"/>
    </row>
    <row r="85" spans="1:11" ht="14.25">
      <c r="B85" s="4"/>
      <c r="C85" s="152" t="s">
        <v>182</v>
      </c>
      <c r="D85" s="10">
        <f>'2 Gas Data'!$B$7</f>
        <v>1092.953013546987</v>
      </c>
      <c r="E85" s="299" t="s">
        <v>284</v>
      </c>
      <c r="F85" s="431"/>
      <c r="G85" s="79"/>
    </row>
    <row r="86" spans="1:11" ht="14.25">
      <c r="B86" s="580" t="s">
        <v>224</v>
      </c>
      <c r="C86" s="580"/>
      <c r="D86" s="580"/>
      <c r="E86" s="580"/>
      <c r="F86" s="580"/>
      <c r="G86" s="580"/>
      <c r="H86" s="55" t="s">
        <v>110</v>
      </c>
      <c r="I86" s="61"/>
      <c r="J86" s="61"/>
      <c r="K86" s="61"/>
    </row>
    <row r="87" spans="1:11" ht="14.25">
      <c r="B87" s="580"/>
      <c r="C87" s="580"/>
      <c r="D87" s="580"/>
      <c r="E87" s="580"/>
      <c r="F87" s="580"/>
      <c r="G87" s="580"/>
      <c r="H87" s="55" t="s">
        <v>110</v>
      </c>
      <c r="I87" s="61"/>
      <c r="J87" s="61"/>
      <c r="K87" s="61"/>
    </row>
    <row r="88" spans="1:11" s="166" customFormat="1" ht="6">
      <c r="A88" s="397"/>
      <c r="B88" s="167"/>
      <c r="C88" s="167"/>
      <c r="D88" s="167"/>
      <c r="E88" s="167"/>
      <c r="F88" s="167"/>
      <c r="G88" s="167"/>
      <c r="H88" s="168"/>
      <c r="I88" s="169"/>
      <c r="J88" s="169"/>
      <c r="K88" s="169"/>
    </row>
    <row r="89" spans="1:11">
      <c r="B89" s="46" t="s">
        <v>32</v>
      </c>
      <c r="C89" s="46"/>
      <c r="D89" s="46"/>
      <c r="E89" s="47"/>
      <c r="F89" s="47"/>
      <c r="G89" s="46"/>
    </row>
    <row r="90" spans="1:11" ht="12" customHeight="1">
      <c r="B90" s="565" t="s">
        <v>236</v>
      </c>
      <c r="C90" s="565"/>
      <c r="D90" s="565"/>
      <c r="E90" s="565"/>
      <c r="F90" s="565"/>
      <c r="G90" s="565"/>
      <c r="H90" s="55" t="s">
        <v>110</v>
      </c>
    </row>
    <row r="91" spans="1:11">
      <c r="B91" s="565"/>
      <c r="C91" s="565"/>
      <c r="D91" s="565"/>
      <c r="E91" s="565"/>
      <c r="F91" s="565"/>
      <c r="G91" s="565"/>
    </row>
    <row r="92" spans="1:11">
      <c r="B92" s="565"/>
      <c r="C92" s="565"/>
      <c r="D92" s="565"/>
      <c r="E92" s="565"/>
      <c r="F92" s="565"/>
      <c r="G92" s="565"/>
    </row>
    <row r="93" spans="1:11">
      <c r="B93" s="565"/>
      <c r="C93" s="565"/>
      <c r="D93" s="565"/>
      <c r="E93" s="565"/>
      <c r="F93" s="565"/>
      <c r="G93" s="565"/>
    </row>
    <row r="94" spans="1:11" ht="12" customHeight="1">
      <c r="B94" s="565" t="s">
        <v>237</v>
      </c>
      <c r="C94" s="565"/>
      <c r="D94" s="565"/>
      <c r="E94" s="565"/>
      <c r="F94" s="565"/>
      <c r="G94" s="565"/>
      <c r="H94" s="55" t="s">
        <v>110</v>
      </c>
    </row>
    <row r="95" spans="1:11" s="324" customFormat="1" ht="14.25">
      <c r="A95" s="81"/>
      <c r="B95" s="566" t="s">
        <v>366</v>
      </c>
      <c r="C95" s="566"/>
      <c r="D95" s="566"/>
      <c r="E95" s="566"/>
      <c r="F95" s="566"/>
      <c r="G95" s="566"/>
      <c r="H95" s="55" t="s">
        <v>110</v>
      </c>
    </row>
    <row r="96" spans="1:11" s="324" customFormat="1">
      <c r="A96" s="81"/>
      <c r="B96" s="566"/>
      <c r="C96" s="566"/>
      <c r="D96" s="566"/>
      <c r="E96" s="566"/>
      <c r="F96" s="566"/>
      <c r="G96" s="566"/>
    </row>
    <row r="97" spans="1:8" s="324" customFormat="1">
      <c r="A97" s="81"/>
      <c r="B97" s="566"/>
      <c r="C97" s="566"/>
      <c r="D97" s="566"/>
      <c r="E97" s="566"/>
      <c r="F97" s="566"/>
      <c r="G97" s="566"/>
    </row>
    <row r="98" spans="1:8" ht="12" customHeight="1">
      <c r="B98" s="566" t="s">
        <v>355</v>
      </c>
      <c r="C98" s="565"/>
      <c r="D98" s="565"/>
      <c r="E98" s="565"/>
      <c r="F98" s="565"/>
      <c r="G98" s="565"/>
      <c r="H98" s="55" t="s">
        <v>110</v>
      </c>
    </row>
    <row r="99" spans="1:8">
      <c r="B99" s="565"/>
      <c r="C99" s="565"/>
      <c r="D99" s="565"/>
      <c r="E99" s="565"/>
      <c r="F99" s="565"/>
      <c r="G99" s="565"/>
    </row>
    <row r="100" spans="1:8">
      <c r="B100" s="565"/>
      <c r="C100" s="565"/>
      <c r="D100" s="565"/>
      <c r="E100" s="565"/>
      <c r="F100" s="565"/>
      <c r="G100" s="565"/>
    </row>
    <row r="101" spans="1:8">
      <c r="B101" s="565"/>
      <c r="C101" s="565"/>
      <c r="D101" s="565"/>
      <c r="E101" s="565"/>
      <c r="F101" s="565"/>
      <c r="G101" s="565"/>
    </row>
    <row r="102" spans="1:8" ht="14.25">
      <c r="B102" s="566" t="s">
        <v>357</v>
      </c>
      <c r="C102" s="565"/>
      <c r="D102" s="565"/>
      <c r="E102" s="565"/>
      <c r="F102" s="565"/>
      <c r="G102" s="565"/>
      <c r="H102" s="55" t="s">
        <v>110</v>
      </c>
    </row>
    <row r="103" spans="1:8">
      <c r="B103" s="565"/>
      <c r="C103" s="565"/>
      <c r="D103" s="565"/>
      <c r="E103" s="565"/>
      <c r="F103" s="565"/>
      <c r="G103" s="565"/>
    </row>
    <row r="104" spans="1:8">
      <c r="B104" s="565"/>
      <c r="C104" s="565"/>
      <c r="D104" s="565"/>
      <c r="E104" s="565"/>
      <c r="F104" s="565"/>
      <c r="G104" s="565"/>
    </row>
    <row r="105" spans="1:8">
      <c r="B105" s="565"/>
      <c r="C105" s="565"/>
      <c r="D105" s="565"/>
      <c r="E105" s="565"/>
      <c r="F105" s="565"/>
      <c r="G105" s="565"/>
    </row>
    <row r="106" spans="1:8" ht="14.25">
      <c r="B106" s="582" t="s">
        <v>359</v>
      </c>
      <c r="C106" s="564"/>
      <c r="D106" s="564"/>
      <c r="E106" s="564"/>
      <c r="F106" s="564"/>
      <c r="G106" s="564"/>
      <c r="H106" s="55" t="s">
        <v>110</v>
      </c>
    </row>
    <row r="107" spans="1:8" ht="14.25">
      <c r="B107" s="582" t="s">
        <v>361</v>
      </c>
      <c r="C107" s="564"/>
      <c r="D107" s="564"/>
      <c r="E107" s="564"/>
      <c r="F107" s="564"/>
      <c r="G107" s="564"/>
      <c r="H107" s="55" t="s">
        <v>110</v>
      </c>
    </row>
    <row r="108" spans="1:8">
      <c r="B108" s="2"/>
      <c r="C108" s="5"/>
      <c r="D108" s="5"/>
      <c r="F108" s="5"/>
    </row>
    <row r="109" spans="1:8">
      <c r="B109" s="2"/>
      <c r="C109" s="2"/>
      <c r="D109" s="2"/>
      <c r="F109" s="2"/>
    </row>
    <row r="110" spans="1:8">
      <c r="B110" s="2"/>
      <c r="C110" s="2"/>
      <c r="D110" s="2"/>
      <c r="F110" s="2"/>
    </row>
    <row r="111" spans="1:8">
      <c r="B111" s="2"/>
      <c r="C111" s="3"/>
      <c r="D111" s="3"/>
      <c r="F111" s="3"/>
    </row>
  </sheetData>
  <mergeCells count="14">
    <mergeCell ref="C3:E5"/>
    <mergeCell ref="B78:G79"/>
    <mergeCell ref="B90:G93"/>
    <mergeCell ref="B86:G87"/>
    <mergeCell ref="B94:G94"/>
    <mergeCell ref="B106:G106"/>
    <mergeCell ref="B107:G107"/>
    <mergeCell ref="B63:G64"/>
    <mergeCell ref="B65:G66"/>
    <mergeCell ref="B70:G71"/>
    <mergeCell ref="B75:G76"/>
    <mergeCell ref="B98:G101"/>
    <mergeCell ref="B102:G105"/>
    <mergeCell ref="B95:G97"/>
  </mergeCells>
  <conditionalFormatting sqref="G8 G11:G12 G17:G30 G32:G59">
    <cfRule type="cellIs" dxfId="161" priority="19" operator="greaterThan">
      <formula>#REF!</formula>
    </cfRule>
    <cfRule type="cellIs" dxfId="160" priority="20" operator="greaterThan">
      <formula>#REF!</formula>
    </cfRule>
  </conditionalFormatting>
  <conditionalFormatting sqref="G14:G16">
    <cfRule type="cellIs" dxfId="159" priority="1" operator="greaterThan">
      <formula>#REF!</formula>
    </cfRule>
    <cfRule type="cellIs" dxfId="158" priority="2" operator="greaterThan">
      <formula>#REF!</formula>
    </cfRule>
  </conditionalFormatting>
  <printOptions horizontalCentered="1"/>
  <pageMargins left="0.75" right="0.75" top="1.6" bottom="1" header="0.75" footer="0.5"/>
  <pageSetup paperSize="119" orientation="portrait" r:id="rId1"/>
  <headerFooter>
    <oddHeader>&amp;C&amp;"-,Bold"Table B-5
Vaporizing: Potential Emissions from Enclosed Ground Flare Burners
Puget Sound Energy – Liquefied Natural Gas Project
Tacoma, Washington&amp;R&amp;8Page &amp;P of &amp;N</oddHeader>
    <oddFooter>&amp;L&amp;6 May 2017  &amp;Z&amp;F  &amp;A&amp;R&amp;9Landau Associates</oddFooter>
  </headerFooter>
  <rowBreaks count="1" manualBreakCount="1">
    <brk id="77" min="1" max="6" man="1"/>
  </rowBreaks>
  <extLst>
    <ext xmlns:x14="http://schemas.microsoft.com/office/spreadsheetml/2009/9/main" uri="{78C0D931-6437-407d-A8EE-F0AAD7539E65}">
      <x14:conditionalFormattings>
        <x14:conditionalFormatting xmlns:xm="http://schemas.microsoft.com/office/excel/2006/main">
          <x14:cfRule type="cellIs" priority="3" operator="greaterThan" id="{B90EB432-7104-4193-8E9D-91436EDB3201}">
            <xm:f>'7 Flare4'!#REF!</xm:f>
            <x14:dxf>
              <font>
                <condense val="0"/>
                <extend val="0"/>
                <color rgb="FF9C6500"/>
              </font>
              <fill>
                <patternFill>
                  <bgColor rgb="FFFFEB9C"/>
                </patternFill>
              </fill>
            </x14:dxf>
          </x14:cfRule>
          <x14:cfRule type="cellIs" priority="4" operator="greaterThan" id="{93FCAC00-FB6B-4B34-A84F-0CEB6BB84E8B}">
            <xm:f>'7 Flare4'!#REF!</xm:f>
            <x14:dxf>
              <font>
                <condense val="0"/>
                <extend val="0"/>
                <color rgb="FF9C0006"/>
              </font>
              <fill>
                <patternFill>
                  <bgColor rgb="FFFFC7CE"/>
                </patternFill>
              </fill>
            </x14:dxf>
          </x14:cfRule>
          <xm:sqref>G31:H31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M111"/>
  <sheetViews>
    <sheetView topLeftCell="B46" zoomScaleNormal="100" zoomScaleSheetLayoutView="100" zoomScalePageLayoutView="85" workbookViewId="0">
      <selection activeCell="F60" sqref="F60"/>
    </sheetView>
  </sheetViews>
  <sheetFormatPr defaultColWidth="9.140625" defaultRowHeight="12"/>
  <cols>
    <col min="1" max="1" width="0" style="81" hidden="1" customWidth="1"/>
    <col min="2" max="2" width="27.28515625" style="38" customWidth="1"/>
    <col min="3" max="3" width="12.140625" style="38" customWidth="1"/>
    <col min="4" max="4" width="10" style="38" bestFit="1" customWidth="1"/>
    <col min="5" max="5" width="1.85546875" style="8" bestFit="1" customWidth="1"/>
    <col min="6" max="6" width="13.85546875" style="8" customWidth="1"/>
    <col min="7" max="7" width="15.5703125" style="38" customWidth="1"/>
    <col min="8" max="8" width="1.28515625" style="17" bestFit="1" customWidth="1"/>
    <col min="9" max="13" width="9.140625" style="17"/>
    <col min="14" max="16384" width="9.140625" style="63"/>
  </cols>
  <sheetData>
    <row r="1" spans="1:7">
      <c r="B1" s="161" t="s">
        <v>194</v>
      </c>
      <c r="C1" s="161"/>
      <c r="D1" s="161"/>
      <c r="E1" s="161"/>
      <c r="F1" s="161"/>
      <c r="G1" s="161"/>
    </row>
    <row r="3" spans="1:7" s="17" customFormat="1">
      <c r="A3" s="23"/>
      <c r="B3" s="236"/>
      <c r="C3" s="571" t="s">
        <v>31</v>
      </c>
      <c r="D3" s="572"/>
      <c r="E3" s="573"/>
      <c r="F3" s="244" t="s">
        <v>98</v>
      </c>
      <c r="G3" s="244"/>
    </row>
    <row r="4" spans="1:7" s="17" customFormat="1" ht="14.25">
      <c r="A4" s="23"/>
      <c r="B4" s="238"/>
      <c r="C4" s="574"/>
      <c r="D4" s="575"/>
      <c r="E4" s="576"/>
      <c r="F4" s="245" t="s">
        <v>210</v>
      </c>
      <c r="G4" s="245" t="s">
        <v>211</v>
      </c>
    </row>
    <row r="5" spans="1:7" s="17" customFormat="1" ht="15.75" customHeight="1" thickBot="1">
      <c r="A5" s="395" t="s">
        <v>302</v>
      </c>
      <c r="B5" s="418" t="s">
        <v>30</v>
      </c>
      <c r="C5" s="577"/>
      <c r="D5" s="578"/>
      <c r="E5" s="579"/>
      <c r="F5" s="242" t="s">
        <v>113</v>
      </c>
      <c r="G5" s="242" t="s">
        <v>114</v>
      </c>
    </row>
    <row r="6" spans="1:7" s="17" customFormat="1" ht="12.75" thickTop="1">
      <c r="A6" s="23"/>
      <c r="B6" s="82" t="s">
        <v>77</v>
      </c>
      <c r="C6" s="420"/>
      <c r="D6" s="420"/>
      <c r="E6" s="93"/>
      <c r="F6" s="421"/>
      <c r="G6" s="421"/>
    </row>
    <row r="7" spans="1:7" s="17" customFormat="1" ht="14.25">
      <c r="A7" s="395" t="s">
        <v>300</v>
      </c>
      <c r="B7" s="83" t="s">
        <v>185</v>
      </c>
      <c r="C7" s="122">
        <f>INDEX('4 Flare1'!C:C,MATCH($A7,'4 Flare1'!$A:$A,0))</f>
        <v>7.4509803921568628E-3</v>
      </c>
      <c r="D7" s="122" t="str">
        <f>'4 Flare1'!D7</f>
        <v>lb/MMBtu</v>
      </c>
      <c r="E7" s="243">
        <f>'3 Vapor'!D7</f>
        <v>1</v>
      </c>
      <c r="F7" s="84">
        <f>C7*$D$67</f>
        <v>0.25674836601307188</v>
      </c>
      <c r="G7" s="86">
        <f>C7*$D$67*$D$68/2000</f>
        <v>1.1245578431372549</v>
      </c>
    </row>
    <row r="8" spans="1:7" s="17" customFormat="1" ht="14.25">
      <c r="A8" s="395">
        <v>2025884</v>
      </c>
      <c r="B8" s="83" t="s">
        <v>184</v>
      </c>
      <c r="C8" s="96">
        <f>D72*D73/10^6*2*10^6*D74</f>
        <v>91.157135913455804</v>
      </c>
      <c r="D8" s="97" t="s">
        <v>169</v>
      </c>
      <c r="E8" s="243" t="s">
        <v>212</v>
      </c>
      <c r="F8" s="86">
        <f>C8*$D$69/1000000</f>
        <v>1.8991069981969959</v>
      </c>
      <c r="G8" s="86">
        <f>C8*$D$69/1000000*$D$68/2000</f>
        <v>8.3180886521028423</v>
      </c>
    </row>
    <row r="9" spans="1:7" s="17" customFormat="1" ht="14.25">
      <c r="A9" s="398" t="s">
        <v>311</v>
      </c>
      <c r="B9" s="83" t="s">
        <v>213</v>
      </c>
      <c r="C9" s="311">
        <v>2.2984280532043534E-2</v>
      </c>
      <c r="D9" s="95" t="s">
        <v>102</v>
      </c>
      <c r="E9" s="246" t="s">
        <v>234</v>
      </c>
      <c r="F9" s="84">
        <f>C9*$D$67</f>
        <v>0.79200000000000004</v>
      </c>
      <c r="G9" s="86">
        <f>C9*$D$67*$D$68/2000</f>
        <v>3.46896</v>
      </c>
    </row>
    <row r="10" spans="1:7" s="17" customFormat="1" ht="14.25">
      <c r="A10" s="395" t="s">
        <v>73</v>
      </c>
      <c r="B10" s="83" t="s">
        <v>0</v>
      </c>
      <c r="C10" s="311">
        <v>7.356711003627571E-2</v>
      </c>
      <c r="D10" s="95" t="s">
        <v>102</v>
      </c>
      <c r="E10" s="246" t="s">
        <v>234</v>
      </c>
      <c r="F10" s="86">
        <f>C10*$D$67</f>
        <v>2.5350000000000001</v>
      </c>
      <c r="G10" s="88">
        <f>C10*$D$67*$D$68/2000</f>
        <v>11.103300000000001</v>
      </c>
    </row>
    <row r="11" spans="1:7" s="17" customFormat="1" ht="14.25">
      <c r="A11" s="395" t="s">
        <v>1</v>
      </c>
      <c r="B11" s="83" t="s">
        <v>101</v>
      </c>
      <c r="C11" s="96">
        <f>$D$72*$D$77*(1-$D$74)*10^6</f>
        <v>444.53267334121369</v>
      </c>
      <c r="D11" s="97" t="s">
        <v>169</v>
      </c>
      <c r="E11" s="243" t="s">
        <v>218</v>
      </c>
      <c r="F11" s="86">
        <f>$C$11*$D$69/1000000</f>
        <v>9.2610973612752847</v>
      </c>
      <c r="G11" s="88">
        <f>C11*$D$69/1000000*$D$68/2000</f>
        <v>40.563606442385748</v>
      </c>
    </row>
    <row r="12" spans="1:7" s="17" customFormat="1" ht="14.25">
      <c r="A12" s="395" t="s">
        <v>306</v>
      </c>
      <c r="B12" s="98" t="s">
        <v>78</v>
      </c>
      <c r="C12" s="410">
        <f>INDEX('4 Flare1'!C:C,MATCH($A12,'4 Flare1'!$A:$A,0))</f>
        <v>4.9019607843137254E-7</v>
      </c>
      <c r="D12" s="125" t="str">
        <f>'4 Flare1'!D12</f>
        <v>lb/MMBtu</v>
      </c>
      <c r="E12" s="297">
        <f>'3 Vapor'!D12</f>
        <v>1</v>
      </c>
      <c r="F12" s="90">
        <f>$C$12*$D$67</f>
        <v>1.6891339869281042E-5</v>
      </c>
      <c r="G12" s="90">
        <f>C12*$D$67*$D$68/2000</f>
        <v>7.398406862745096E-5</v>
      </c>
    </row>
    <row r="13" spans="1:7" s="17" customFormat="1">
      <c r="A13" s="395"/>
      <c r="B13" s="101" t="s">
        <v>158</v>
      </c>
      <c r="C13" s="127"/>
      <c r="D13" s="102"/>
      <c r="E13" s="383"/>
      <c r="F13" s="103"/>
      <c r="G13" s="103"/>
    </row>
    <row r="14" spans="1:7" s="17" customFormat="1" ht="14.25">
      <c r="A14" s="395" t="s">
        <v>56</v>
      </c>
      <c r="B14" s="83" t="s">
        <v>9</v>
      </c>
      <c r="C14" s="129">
        <f>INDEX('4 Flare1'!C:C,MATCH($A14,'4 Flare1'!$A:$A,0))</f>
        <v>8.3039215686274504E-6</v>
      </c>
      <c r="D14" s="122" t="str">
        <f>'4 Flare1'!D14</f>
        <v>lb/MMBtu</v>
      </c>
      <c r="E14" s="243" t="s">
        <v>235</v>
      </c>
      <c r="F14" s="90">
        <f t="shared" ref="F14:F26" si="0">C14*$D$67</f>
        <v>2.8613929738562083E-4</v>
      </c>
      <c r="G14" s="90">
        <f t="shared" ref="G14:G15" si="1">C14*$D$67*$D$68/2000</f>
        <v>1.2532901225490191E-3</v>
      </c>
    </row>
    <row r="15" spans="1:7" s="17" customFormat="1" ht="14.25">
      <c r="A15" s="395" t="s">
        <v>57</v>
      </c>
      <c r="B15" s="83" t="s">
        <v>10</v>
      </c>
      <c r="C15" s="129">
        <f>INDEX('4 Flare1'!C:C,MATCH($A15,'4 Flare1'!$A:$A,0))</f>
        <v>2.647058823529412E-6</v>
      </c>
      <c r="D15" s="122" t="str">
        <f>'4 Flare1'!D15</f>
        <v>lb/MMBtu</v>
      </c>
      <c r="E15" s="243" t="s">
        <v>235</v>
      </c>
      <c r="F15" s="90">
        <f t="shared" si="0"/>
        <v>9.1213235294117641E-5</v>
      </c>
      <c r="G15" s="90">
        <f t="shared" si="1"/>
        <v>3.9951397058823527E-4</v>
      </c>
    </row>
    <row r="16" spans="1:7" s="17" customFormat="1" ht="14.25">
      <c r="A16" s="395" t="s">
        <v>153</v>
      </c>
      <c r="B16" s="83" t="s">
        <v>152</v>
      </c>
      <c r="C16" s="129">
        <f>INDEX('4 Flare1'!C:C,MATCH($A16,'4 Flare1'!$A:$A,0))</f>
        <v>3.1372549019607846E-3</v>
      </c>
      <c r="D16" s="122" t="str">
        <f>'4 Flare1'!D16</f>
        <v>lb/MMBtu</v>
      </c>
      <c r="E16" s="243" t="s">
        <v>235</v>
      </c>
      <c r="F16" s="90">
        <f t="shared" si="0"/>
        <v>0.10810457516339869</v>
      </c>
      <c r="G16" s="90">
        <f t="shared" ref="G16:G26" si="2">C16*$D$67*$D$68/2000</f>
        <v>0.47349803921568628</v>
      </c>
    </row>
    <row r="17" spans="1:10" s="17" customFormat="1" ht="14.25">
      <c r="A17" s="395" t="s">
        <v>308</v>
      </c>
      <c r="B17" s="83" t="s">
        <v>33</v>
      </c>
      <c r="C17" s="129">
        <f>INDEX('4 Flare1'!C:C,MATCH($A17,'4 Flare1'!$A:$A,0))</f>
        <v>1.9607843137254904E-7</v>
      </c>
      <c r="D17" s="122" t="str">
        <f>'4 Flare1'!D17</f>
        <v>lb/MMBtu</v>
      </c>
      <c r="E17" s="243">
        <v>4</v>
      </c>
      <c r="F17" s="90">
        <f t="shared" si="0"/>
        <v>6.7565359477124179E-6</v>
      </c>
      <c r="G17" s="90">
        <f t="shared" si="2"/>
        <v>2.959362745098039E-5</v>
      </c>
    </row>
    <row r="18" spans="1:10" s="17" customFormat="1" ht="14.25">
      <c r="A18" s="395" t="s">
        <v>59</v>
      </c>
      <c r="B18" s="83" t="s">
        <v>12</v>
      </c>
      <c r="C18" s="129">
        <f>$D$80/(453.6*10^6)/35.31*10^6/$D$85*(1-$D$74)</f>
        <v>1.702331003508745E-6</v>
      </c>
      <c r="D18" s="122" t="str">
        <f>'4 Flare1'!D18</f>
        <v>lb/MMBtu</v>
      </c>
      <c r="E18" s="243">
        <v>5</v>
      </c>
      <c r="F18" s="90">
        <f t="shared" si="0"/>
        <v>5.8659489162572165E-5</v>
      </c>
      <c r="G18" s="90">
        <f t="shared" si="2"/>
        <v>2.5692856253206608E-4</v>
      </c>
    </row>
    <row r="19" spans="1:10" s="17" customFormat="1" ht="14.25">
      <c r="A19" s="395" t="s">
        <v>307</v>
      </c>
      <c r="B19" s="83" t="s">
        <v>34</v>
      </c>
      <c r="C19" s="129">
        <f>INDEX('4 Flare1'!C:C,MATCH($A19,'4 Flare1'!$A:$A,0))</f>
        <v>1.1764705882352941E-8</v>
      </c>
      <c r="D19" s="122" t="str">
        <f>'4 Flare1'!D19</f>
        <v>lb/MMBtu</v>
      </c>
      <c r="E19" s="246" t="s">
        <v>239</v>
      </c>
      <c r="F19" s="90">
        <f t="shared" si="0"/>
        <v>4.0539215686274503E-7</v>
      </c>
      <c r="G19" s="90">
        <f t="shared" si="2"/>
        <v>1.7756176470588232E-6</v>
      </c>
    </row>
    <row r="20" spans="1:10" s="17" customFormat="1" ht="14.25">
      <c r="A20" s="395" t="s">
        <v>69</v>
      </c>
      <c r="B20" s="83" t="s">
        <v>35</v>
      </c>
      <c r="C20" s="129">
        <f>INDEX('4 Flare1'!C:C,MATCH($A20,'4 Flare1'!$A:$A,0))</f>
        <v>1.0784313725490197E-6</v>
      </c>
      <c r="D20" s="122" t="str">
        <f>'4 Flare1'!D20</f>
        <v>lb/MMBtu</v>
      </c>
      <c r="E20" s="246" t="s">
        <v>239</v>
      </c>
      <c r="F20" s="90">
        <f t="shared" si="0"/>
        <v>3.7160947712418298E-5</v>
      </c>
      <c r="G20" s="90">
        <f t="shared" si="2"/>
        <v>1.6276495098039215E-4</v>
      </c>
    </row>
    <row r="21" spans="1:10" s="17" customFormat="1" ht="14.25">
      <c r="A21" s="395" t="s">
        <v>290</v>
      </c>
      <c r="B21" s="83" t="s">
        <v>80</v>
      </c>
      <c r="C21" s="129">
        <f>INDEX('4 Flare1'!C:C,MATCH($A21,'4 Flare1'!$A:$A,0))</f>
        <v>1.3725490196078432E-6</v>
      </c>
      <c r="D21" s="122" t="str">
        <f>'4 Flare1'!D21</f>
        <v>lb/MMBtu</v>
      </c>
      <c r="E21" s="246" t="s">
        <v>239</v>
      </c>
      <c r="F21" s="90">
        <f t="shared" si="0"/>
        <v>4.7295751633986924E-5</v>
      </c>
      <c r="G21" s="90">
        <f t="shared" si="2"/>
        <v>2.0715539215686275E-4</v>
      </c>
    </row>
    <row r="22" spans="1:10" s="17" customFormat="1" ht="14.25">
      <c r="A22" s="395" t="s">
        <v>70</v>
      </c>
      <c r="B22" s="83" t="s">
        <v>36</v>
      </c>
      <c r="C22" s="129">
        <f>INDEX('4 Flare1'!C:C,MATCH($A22,'4 Flare1'!$A:$A,0))</f>
        <v>8.2352941176470587E-8</v>
      </c>
      <c r="D22" s="122" t="str">
        <f>'4 Flare1'!D22</f>
        <v>lb/MMBtu</v>
      </c>
      <c r="E22" s="246" t="s">
        <v>239</v>
      </c>
      <c r="F22" s="90">
        <f t="shared" si="0"/>
        <v>2.8377450980392154E-6</v>
      </c>
      <c r="G22" s="90">
        <f t="shared" si="2"/>
        <v>1.2429323529411763E-5</v>
      </c>
    </row>
    <row r="23" spans="1:10" s="17" customFormat="1" ht="14.25">
      <c r="A23" s="395" t="s">
        <v>299</v>
      </c>
      <c r="B23" s="83" t="s">
        <v>37</v>
      </c>
      <c r="C23" s="129">
        <f>INDEX('4 Flare1'!C:C,MATCH($A23,'4 Flare1'!$A:$A,0))</f>
        <v>8.3333333333333333E-7</v>
      </c>
      <c r="D23" s="122" t="str">
        <f>'4 Flare1'!D23</f>
        <v>lb/MMBtu</v>
      </c>
      <c r="E23" s="246" t="s">
        <v>239</v>
      </c>
      <c r="F23" s="90">
        <f t="shared" si="0"/>
        <v>2.8715277777777775E-5</v>
      </c>
      <c r="G23" s="90">
        <f t="shared" si="2"/>
        <v>1.2577291666666666E-4</v>
      </c>
    </row>
    <row r="24" spans="1:10" s="17" customFormat="1" ht="14.25">
      <c r="A24" s="395" t="s">
        <v>150</v>
      </c>
      <c r="B24" s="83" t="s">
        <v>19</v>
      </c>
      <c r="C24" s="129">
        <f>$D$81/(453.6*10^6)/35.31*10^6/$D$85*(1-$D$74)</f>
        <v>8.2260290102436012E-8</v>
      </c>
      <c r="D24" s="122" t="str">
        <f>'4 Flare1'!D24</f>
        <v>lb/MMBtu</v>
      </c>
      <c r="E24" s="246" t="s">
        <v>240</v>
      </c>
      <c r="F24" s="90">
        <f t="shared" si="0"/>
        <v>2.8345524964464406E-6</v>
      </c>
      <c r="G24" s="90">
        <f t="shared" si="2"/>
        <v>1.241533993443541E-5</v>
      </c>
    </row>
    <row r="25" spans="1:10" s="17" customFormat="1" ht="14.25">
      <c r="A25" s="395" t="s">
        <v>65</v>
      </c>
      <c r="B25" s="83" t="s">
        <v>22</v>
      </c>
      <c r="C25" s="129">
        <f>INDEX('4 Flare1'!C:C,MATCH($A25,'4 Flare1'!$A:$A,0))</f>
        <v>7.3529411764705876E-5</v>
      </c>
      <c r="D25" s="122" t="str">
        <f>'4 Flare1'!D25</f>
        <v>lb/MMBtu</v>
      </c>
      <c r="E25" s="243">
        <v>5</v>
      </c>
      <c r="F25" s="90">
        <f t="shared" si="0"/>
        <v>2.5337009803921562E-3</v>
      </c>
      <c r="G25" s="90">
        <f t="shared" si="2"/>
        <v>1.1097610294117644E-2</v>
      </c>
    </row>
    <row r="26" spans="1:10" s="17" customFormat="1" ht="14.25">
      <c r="A26" s="395" t="s">
        <v>154</v>
      </c>
      <c r="B26" s="83" t="s">
        <v>23</v>
      </c>
      <c r="C26" s="129">
        <f>INDEX('4 Flare1'!C:C,MATCH($A26,'4 Flare1'!$A:$A,0))</f>
        <v>1.7647058823529412E-3</v>
      </c>
      <c r="D26" s="122" t="str">
        <f>'4 Flare1'!D26</f>
        <v>lb/MMBtu</v>
      </c>
      <c r="E26" s="246" t="s">
        <v>240</v>
      </c>
      <c r="F26" s="90">
        <f t="shared" si="0"/>
        <v>6.0808823529411755E-2</v>
      </c>
      <c r="G26" s="90">
        <f t="shared" si="2"/>
        <v>0.26634264705882349</v>
      </c>
    </row>
    <row r="27" spans="1:10" s="17" customFormat="1" ht="14.25">
      <c r="A27" s="395">
        <v>2148878</v>
      </c>
      <c r="B27" s="83" t="s">
        <v>155</v>
      </c>
      <c r="C27" s="129">
        <f>$D$72*$D$73/10^6*34/32*10^6*(1-$D$74)</f>
        <v>0.48916392377801454</v>
      </c>
      <c r="D27" s="122" t="str">
        <f>'4 Flare1'!D27</f>
        <v>lb/MMBtu</v>
      </c>
      <c r="E27" s="246" t="s">
        <v>220</v>
      </c>
      <c r="F27" s="90">
        <f>C27*$D$69/1000000</f>
        <v>1.0190915078708637E-2</v>
      </c>
      <c r="G27" s="90">
        <f>C27*$D$69/1000000*$D$68/2000</f>
        <v>4.463620804474383E-2</v>
      </c>
      <c r="H27" s="130"/>
    </row>
    <row r="28" spans="1:10" s="17" customFormat="1" ht="14.25">
      <c r="A28" s="395" t="s">
        <v>306</v>
      </c>
      <c r="B28" s="83" t="s">
        <v>81</v>
      </c>
      <c r="C28" s="129">
        <f>INDEX('4 Flare1'!C:C,MATCH($A28,'4 Flare1'!$A:$A,0))</f>
        <v>4.9019607843137254E-7</v>
      </c>
      <c r="D28" s="122" t="str">
        <f>'4 Flare1'!D28</f>
        <v>lb/MMBtu</v>
      </c>
      <c r="E28" s="243">
        <v>1</v>
      </c>
      <c r="F28" s="90">
        <f>C28*$D$67</f>
        <v>1.6891339869281042E-5</v>
      </c>
      <c r="G28" s="90">
        <f>C28*$D$67*$D$68/2000</f>
        <v>7.398406862745096E-5</v>
      </c>
    </row>
    <row r="29" spans="1:10" s="17" customFormat="1" ht="14.25">
      <c r="A29" s="395" t="s">
        <v>305</v>
      </c>
      <c r="B29" s="83" t="s">
        <v>38</v>
      </c>
      <c r="C29" s="129">
        <f>INDEX('4 Flare1'!C:C,MATCH($A29,'4 Flare1'!$A:$A,0))</f>
        <v>3.7254901960784315E-7</v>
      </c>
      <c r="D29" s="122" t="str">
        <f>'4 Flare1'!D29</f>
        <v>lb/MMBtu</v>
      </c>
      <c r="E29" s="246" t="s">
        <v>239</v>
      </c>
      <c r="F29" s="90">
        <f>C29*$D$67</f>
        <v>1.2837418300653593E-5</v>
      </c>
      <c r="G29" s="90">
        <f>C29*$D$67*$D$68/2000</f>
        <v>5.6227892156862739E-5</v>
      </c>
    </row>
    <row r="30" spans="1:10" s="17" customFormat="1" ht="14.25">
      <c r="A30" s="395" t="s">
        <v>71</v>
      </c>
      <c r="B30" s="83" t="s">
        <v>39</v>
      </c>
      <c r="C30" s="129">
        <f>INDEX('4 Flare1'!C:C,MATCH($A30,'4 Flare1'!$A:$A,0))</f>
        <v>2.5490196078431371E-7</v>
      </c>
      <c r="D30" s="122" t="str">
        <f>'4 Flare1'!D30</f>
        <v>lb/MMBtu</v>
      </c>
      <c r="E30" s="246" t="s">
        <v>239</v>
      </c>
      <c r="F30" s="90">
        <f>C30*$D$67</f>
        <v>8.7834967320261414E-6</v>
      </c>
      <c r="G30" s="90">
        <f>C30*$D$67*$D$68/2000</f>
        <v>3.8471715686274497E-5</v>
      </c>
    </row>
    <row r="31" spans="1:10" s="17" customFormat="1" ht="14.25">
      <c r="A31" s="395" t="s">
        <v>67</v>
      </c>
      <c r="B31" s="83" t="s">
        <v>24</v>
      </c>
      <c r="C31" s="129">
        <f>C51</f>
        <v>5.9803921568627444E-7</v>
      </c>
      <c r="D31" s="122" t="str">
        <f t="shared" ref="D31:G31" si="3">D51</f>
        <v>lb/MMBtu</v>
      </c>
      <c r="E31" s="246" t="str">
        <f t="shared" si="3"/>
        <v>5</v>
      </c>
      <c r="F31" s="90">
        <f t="shared" si="3"/>
        <v>2.0607434640522871E-5</v>
      </c>
      <c r="G31" s="90">
        <f t="shared" si="3"/>
        <v>9.0260563725490163E-5</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47" si="4">C32*$D$67</f>
        <v>7.0943627450980375E-5</v>
      </c>
      <c r="G32" s="90">
        <f t="shared" ref="G32:G47" si="5">C32*$D$67*$D$68/2000</f>
        <v>3.1073308823529407E-4</v>
      </c>
      <c r="H32" s="210"/>
    </row>
    <row r="33" spans="1:7" s="17" customFormat="1" ht="14.25">
      <c r="A33" s="395" t="s">
        <v>296</v>
      </c>
      <c r="B33" s="83" t="s">
        <v>82</v>
      </c>
      <c r="C33" s="104">
        <f>SUM(C34:C53)</f>
        <v>1.8609803921568625E-6</v>
      </c>
      <c r="D33" s="122" t="str">
        <f>'4 Flare1'!D33</f>
        <v>lb/MMBtu</v>
      </c>
      <c r="E33" s="246" t="s">
        <v>240</v>
      </c>
      <c r="F33" s="90">
        <f t="shared" si="4"/>
        <v>6.4126282679738547E-5</v>
      </c>
      <c r="G33" s="90">
        <f t="shared" si="5"/>
        <v>2.8087311813725487E-4</v>
      </c>
    </row>
    <row r="34" spans="1:7" s="17" customFormat="1" ht="14.25">
      <c r="A34" s="395" t="s">
        <v>285</v>
      </c>
      <c r="B34" s="105" t="s">
        <v>4</v>
      </c>
      <c r="C34" s="411">
        <f>INDEX('4 Flare1'!C:C,MATCH($A34,'4 Flare1'!$A:$A,0))</f>
        <v>2.3529411764705881E-8</v>
      </c>
      <c r="D34" s="131" t="str">
        <f>'4 Flare1'!D34</f>
        <v>lb/MMBtu</v>
      </c>
      <c r="E34" s="246" t="s">
        <v>240</v>
      </c>
      <c r="F34" s="107">
        <f t="shared" si="4"/>
        <v>8.1078431372549006E-7</v>
      </c>
      <c r="G34" s="107">
        <f t="shared" si="5"/>
        <v>3.5512352941176464E-6</v>
      </c>
    </row>
    <row r="35" spans="1:7" s="17" customFormat="1" ht="14.25">
      <c r="A35" s="395" t="s">
        <v>54</v>
      </c>
      <c r="B35" s="105" t="s">
        <v>5</v>
      </c>
      <c r="C35" s="411">
        <f>INDEX('4 Flare1'!C:C,MATCH($A35,'4 Flare1'!$A:$A,0))</f>
        <v>1.7647058823529412E-9</v>
      </c>
      <c r="D35" s="131" t="str">
        <f>'4 Flare1'!D35</f>
        <v>lb/MMBtu</v>
      </c>
      <c r="E35" s="246" t="s">
        <v>240</v>
      </c>
      <c r="F35" s="107">
        <f t="shared" si="4"/>
        <v>6.0808823529411757E-8</v>
      </c>
      <c r="G35" s="107">
        <f t="shared" si="5"/>
        <v>2.6634264705882348E-7</v>
      </c>
    </row>
    <row r="36" spans="1:7" s="17" customFormat="1" ht="14.25">
      <c r="A36" s="395" t="s">
        <v>55</v>
      </c>
      <c r="B36" s="105" t="s">
        <v>6</v>
      </c>
      <c r="C36" s="411">
        <f>INDEX('4 Flare1'!C:C,MATCH($A36,'4 Flare1'!$A:$A,0))</f>
        <v>1.5686274509803922E-8</v>
      </c>
      <c r="D36" s="131" t="str">
        <f>'4 Flare1'!D36</f>
        <v>lb/MMBtu</v>
      </c>
      <c r="E36" s="246" t="s">
        <v>240</v>
      </c>
      <c r="F36" s="107">
        <f t="shared" si="4"/>
        <v>5.4052287581699337E-7</v>
      </c>
      <c r="G36" s="107">
        <f t="shared" si="5"/>
        <v>2.3674901960784312E-6</v>
      </c>
    </row>
    <row r="37" spans="1:7" s="17" customFormat="1" ht="14.25">
      <c r="A37" s="395" t="s">
        <v>287</v>
      </c>
      <c r="B37" s="105" t="s">
        <v>7</v>
      </c>
      <c r="C37" s="411">
        <f>INDEX('4 Flare1'!C:C,MATCH($A37,'4 Flare1'!$A:$A,0))</f>
        <v>1.7647058823529412E-9</v>
      </c>
      <c r="D37" s="131" t="str">
        <f>'4 Flare1'!D37</f>
        <v>lb/MMBtu</v>
      </c>
      <c r="E37" s="246" t="s">
        <v>240</v>
      </c>
      <c r="F37" s="107">
        <f t="shared" si="4"/>
        <v>6.0808823529411757E-8</v>
      </c>
      <c r="G37" s="107">
        <f t="shared" si="5"/>
        <v>2.6634264705882348E-7</v>
      </c>
    </row>
    <row r="38" spans="1:7" s="17" customFormat="1" ht="14.25">
      <c r="A38" s="395" t="s">
        <v>286</v>
      </c>
      <c r="B38" s="105" t="s">
        <v>8</v>
      </c>
      <c r="C38" s="411">
        <f>INDEX('4 Flare1'!C:C,MATCH($A38,'4 Flare1'!$A:$A,0))</f>
        <v>1.7647058823529412E-9</v>
      </c>
      <c r="D38" s="131" t="str">
        <f>'4 Flare1'!D38</f>
        <v>lb/MMBtu</v>
      </c>
      <c r="E38" s="246" t="s">
        <v>240</v>
      </c>
      <c r="F38" s="107">
        <f t="shared" si="4"/>
        <v>6.0808823529411757E-8</v>
      </c>
      <c r="G38" s="107">
        <f t="shared" si="5"/>
        <v>2.6634264705882348E-7</v>
      </c>
    </row>
    <row r="39" spans="1:7" s="17" customFormat="1" ht="14.25">
      <c r="A39" s="395" t="s">
        <v>288</v>
      </c>
      <c r="B39" s="105" t="s">
        <v>11</v>
      </c>
      <c r="C39" s="411">
        <f>INDEX('4 Flare1'!C:C,MATCH($A39,'4 Flare1'!$A:$A,0))</f>
        <v>2.3529411764705881E-9</v>
      </c>
      <c r="D39" s="131" t="str">
        <f>'4 Flare1'!D39</f>
        <v>lb/MMBtu</v>
      </c>
      <c r="E39" s="246" t="s">
        <v>240</v>
      </c>
      <c r="F39" s="107">
        <f t="shared" si="4"/>
        <v>8.1078431372549001E-8</v>
      </c>
      <c r="G39" s="107">
        <f t="shared" si="5"/>
        <v>3.5512352941176464E-7</v>
      </c>
    </row>
    <row r="40" spans="1:7" s="17" customFormat="1" ht="14.25">
      <c r="A40" s="395" t="s">
        <v>58</v>
      </c>
      <c r="B40" s="105" t="s">
        <v>83</v>
      </c>
      <c r="C40" s="411">
        <f>INDEX('4 Flare1'!C:C,MATCH($A40,'4 Flare1'!$A:$A,0))</f>
        <v>1.7647058823529412E-9</v>
      </c>
      <c r="D40" s="131" t="str">
        <f>'4 Flare1'!D40</f>
        <v>lb/MMBtu</v>
      </c>
      <c r="E40" s="246" t="s">
        <v>240</v>
      </c>
      <c r="F40" s="107">
        <f t="shared" si="4"/>
        <v>6.0808823529411757E-8</v>
      </c>
      <c r="G40" s="107">
        <f t="shared" si="5"/>
        <v>2.6634264705882348E-7</v>
      </c>
    </row>
    <row r="41" spans="1:7" s="17" customFormat="1" ht="14.25">
      <c r="A41" s="395" t="s">
        <v>60</v>
      </c>
      <c r="B41" s="105" t="s">
        <v>13</v>
      </c>
      <c r="C41" s="411">
        <f>INDEX('4 Flare1'!C:C,MATCH($A41,'4 Flare1'!$A:$A,0))</f>
        <v>1.176470588235294E-9</v>
      </c>
      <c r="D41" s="131" t="str">
        <f>'4 Flare1'!D41</f>
        <v>lb/MMBtu</v>
      </c>
      <c r="E41" s="246" t="s">
        <v>240</v>
      </c>
      <c r="F41" s="107">
        <f t="shared" si="4"/>
        <v>4.05392156862745E-8</v>
      </c>
      <c r="G41" s="107">
        <f t="shared" si="5"/>
        <v>1.7756176470588232E-7</v>
      </c>
    </row>
    <row r="42" spans="1:7" s="17" customFormat="1" ht="14.25">
      <c r="A42" s="395" t="s">
        <v>61</v>
      </c>
      <c r="B42" s="105" t="s">
        <v>14</v>
      </c>
      <c r="C42" s="411">
        <f>INDEX('4 Flare1'!C:C,MATCH($A42,'4 Flare1'!$A:$A,0))</f>
        <v>1.7647058823529412E-9</v>
      </c>
      <c r="D42" s="131" t="str">
        <f>'4 Flare1'!D42</f>
        <v>lb/MMBtu</v>
      </c>
      <c r="E42" s="246" t="s">
        <v>240</v>
      </c>
      <c r="F42" s="107">
        <f t="shared" si="4"/>
        <v>6.0808823529411757E-8</v>
      </c>
      <c r="G42" s="107">
        <f t="shared" si="5"/>
        <v>2.6634264705882348E-7</v>
      </c>
    </row>
    <row r="43" spans="1:7" s="17" customFormat="1" ht="14.25">
      <c r="A43" s="395" t="s">
        <v>289</v>
      </c>
      <c r="B43" s="105" t="s">
        <v>15</v>
      </c>
      <c r="C43" s="411">
        <f>INDEX('4 Flare1'!C:C,MATCH($A43,'4 Flare1'!$A:$A,0))</f>
        <v>1.176470588235294E-9</v>
      </c>
      <c r="D43" s="131" t="str">
        <f>'4 Flare1'!D43</f>
        <v>lb/MMBtu</v>
      </c>
      <c r="E43" s="246" t="s">
        <v>240</v>
      </c>
      <c r="F43" s="107">
        <f t="shared" si="4"/>
        <v>4.05392156862745E-8</v>
      </c>
      <c r="G43" s="107">
        <f t="shared" si="5"/>
        <v>1.7756176470588232E-7</v>
      </c>
    </row>
    <row r="44" spans="1:7" s="17" customFormat="1" ht="14.25">
      <c r="A44" s="395" t="s">
        <v>62</v>
      </c>
      <c r="B44" s="105" t="s">
        <v>16</v>
      </c>
      <c r="C44" s="411">
        <f>INDEX('4 Flare1'!C:C,MATCH($A44,'4 Flare1'!$A:$A,0))</f>
        <v>1.7647058823529412E-9</v>
      </c>
      <c r="D44" s="131" t="str">
        <f>'4 Flare1'!D44</f>
        <v>lb/MMBtu</v>
      </c>
      <c r="E44" s="246" t="s">
        <v>240</v>
      </c>
      <c r="F44" s="107">
        <f t="shared" si="4"/>
        <v>6.0808823529411757E-8</v>
      </c>
      <c r="G44" s="107">
        <f t="shared" si="5"/>
        <v>2.6634264705882348E-7</v>
      </c>
    </row>
    <row r="45" spans="1:7" s="17" customFormat="1" ht="14.25">
      <c r="A45" s="395" t="s">
        <v>63</v>
      </c>
      <c r="B45" s="109" t="s">
        <v>17</v>
      </c>
      <c r="C45" s="411">
        <f>INDEX('4 Flare1'!C:C,MATCH($A45,'4 Flare1'!$A:$A,0))</f>
        <v>1.7647058823529412E-9</v>
      </c>
      <c r="D45" s="131" t="str">
        <f>'4 Flare1'!D45</f>
        <v>lb/MMBtu</v>
      </c>
      <c r="E45" s="246" t="s">
        <v>240</v>
      </c>
      <c r="F45" s="107">
        <f t="shared" si="4"/>
        <v>6.0808823529411757E-8</v>
      </c>
      <c r="G45" s="107">
        <f t="shared" si="5"/>
        <v>2.6634264705882348E-7</v>
      </c>
    </row>
    <row r="46" spans="1:7" s="17" customFormat="1" ht="14.25">
      <c r="A46" s="395" t="s">
        <v>64</v>
      </c>
      <c r="B46" s="109" t="s">
        <v>84</v>
      </c>
      <c r="C46" s="411">
        <f>INDEX('4 Flare1'!C:C,MATCH($A46,'4 Flare1'!$A:$A,0))</f>
        <v>1.176470588235294E-9</v>
      </c>
      <c r="D46" s="131" t="str">
        <f>'4 Flare1'!D46</f>
        <v>lb/MMBtu</v>
      </c>
      <c r="E46" s="246" t="s">
        <v>240</v>
      </c>
      <c r="F46" s="107">
        <f t="shared" si="4"/>
        <v>4.05392156862745E-8</v>
      </c>
      <c r="G46" s="107">
        <f t="shared" si="5"/>
        <v>1.7756176470588232E-7</v>
      </c>
    </row>
    <row r="47" spans="1:7" s="17" customFormat="1" ht="14.25">
      <c r="A47" s="395" t="s">
        <v>151</v>
      </c>
      <c r="B47" s="109" t="s">
        <v>283</v>
      </c>
      <c r="C47" s="411">
        <f>INDEX('4 Flare1'!C:C,MATCH($A47,'4 Flare1'!$A:$A,0))</f>
        <v>1.176470588235294E-6</v>
      </c>
      <c r="D47" s="131" t="str">
        <f>'4 Flare1'!D47</f>
        <v>lb/MMBtu</v>
      </c>
      <c r="E47" s="246" t="s">
        <v>240</v>
      </c>
      <c r="F47" s="107">
        <f t="shared" si="4"/>
        <v>4.0539215686274504E-5</v>
      </c>
      <c r="G47" s="107">
        <f t="shared" si="5"/>
        <v>1.7756176470588235E-4</v>
      </c>
    </row>
    <row r="48" spans="1:7" ht="14.25">
      <c r="A48" s="396" t="s">
        <v>291</v>
      </c>
      <c r="B48" s="109" t="s">
        <v>20</v>
      </c>
      <c r="C48" s="411">
        <f>INDEX('4 Flare1'!C:C,MATCH($A48,'4 Flare1'!$A:$A,0))</f>
        <v>2.9411764705882352E-9</v>
      </c>
      <c r="D48" s="131" t="str">
        <f>'4 Flare1'!D48</f>
        <v>lb/MMBtu</v>
      </c>
      <c r="E48" s="246" t="s">
        <v>240</v>
      </c>
      <c r="F48" s="107">
        <f t="shared" ref="F48:F59" si="6">C48*$D$67</f>
        <v>1.0134803921568626E-7</v>
      </c>
      <c r="G48" s="107">
        <f t="shared" ref="G48:G59" si="7">C48*$D$67*$D$68/2000</f>
        <v>4.439044117647058E-7</v>
      </c>
    </row>
    <row r="49" spans="1:13" ht="14.25">
      <c r="A49" s="396" t="s">
        <v>292</v>
      </c>
      <c r="B49" s="109" t="s">
        <v>21</v>
      </c>
      <c r="C49" s="411">
        <f>INDEX('4 Flare1'!C:C,MATCH($A49,'4 Flare1'!$A:$A,0))</f>
        <v>2.7450980392156863E-9</v>
      </c>
      <c r="D49" s="131" t="str">
        <f>'4 Flare1'!D49</f>
        <v>lb/MMBtu</v>
      </c>
      <c r="E49" s="246" t="s">
        <v>240</v>
      </c>
      <c r="F49" s="107">
        <f t="shared" si="6"/>
        <v>9.4591503267973843E-8</v>
      </c>
      <c r="G49" s="107">
        <f t="shared" si="7"/>
        <v>4.1431078431372543E-7</v>
      </c>
    </row>
    <row r="50" spans="1:13" ht="14.25">
      <c r="A50" s="396" t="s">
        <v>66</v>
      </c>
      <c r="B50" s="109" t="s">
        <v>52</v>
      </c>
      <c r="C50" s="411">
        <f>INDEX('4 Flare1'!C:C,MATCH($A50,'4 Flare1'!$A:$A,0))</f>
        <v>1.7647058823529412E-9</v>
      </c>
      <c r="D50" s="131" t="str">
        <f>'4 Flare1'!D50</f>
        <v>lb/MMBtu</v>
      </c>
      <c r="E50" s="246" t="s">
        <v>240</v>
      </c>
      <c r="F50" s="107">
        <f t="shared" si="6"/>
        <v>6.0808823529411757E-8</v>
      </c>
      <c r="G50" s="107">
        <f t="shared" si="7"/>
        <v>2.6634264705882348E-7</v>
      </c>
    </row>
    <row r="51" spans="1:13" ht="14.25">
      <c r="A51" s="396" t="s">
        <v>67</v>
      </c>
      <c r="B51" s="109" t="s">
        <v>24</v>
      </c>
      <c r="C51" s="411">
        <f>INDEX('4 Flare1'!C:C,MATCH($A51,'4 Flare1'!$A:$A,0))</f>
        <v>5.9803921568627444E-7</v>
      </c>
      <c r="D51" s="131" t="str">
        <f>'4 Flare1'!D51</f>
        <v>lb/MMBtu</v>
      </c>
      <c r="E51" s="246" t="s">
        <v>240</v>
      </c>
      <c r="F51" s="107">
        <f t="shared" si="6"/>
        <v>2.0607434640522871E-5</v>
      </c>
      <c r="G51" s="107">
        <f t="shared" si="7"/>
        <v>9.0260563725490163E-5</v>
      </c>
    </row>
    <row r="52" spans="1:13" ht="14.25">
      <c r="A52" s="396" t="s">
        <v>294</v>
      </c>
      <c r="B52" s="109" t="s">
        <v>85</v>
      </c>
      <c r="C52" s="411">
        <f>INDEX('4 Flare1'!C:C,MATCH($A52,'4 Flare1'!$A:$A,0))</f>
        <v>1.6666666666666667E-8</v>
      </c>
      <c r="D52" s="131" t="str">
        <f>'4 Flare1'!D52</f>
        <v>lb/MMBtu</v>
      </c>
      <c r="E52" s="246" t="s">
        <v>240</v>
      </c>
      <c r="F52" s="107">
        <f t="shared" si="6"/>
        <v>5.7430555555555545E-7</v>
      </c>
      <c r="G52" s="107">
        <f t="shared" si="7"/>
        <v>2.5154583333333327E-6</v>
      </c>
    </row>
    <row r="53" spans="1:13" ht="14.25">
      <c r="A53" s="396" t="s">
        <v>295</v>
      </c>
      <c r="B53" s="109" t="s">
        <v>26</v>
      </c>
      <c r="C53" s="411">
        <f>INDEX('4 Flare1'!C:C,MATCH($A53,'4 Flare1'!$A:$A,0))</f>
        <v>4.9019607843137263E-9</v>
      </c>
      <c r="D53" s="131" t="str">
        <f>'4 Flare1'!D53</f>
        <v>lb/MMBtu</v>
      </c>
      <c r="E53" s="246" t="s">
        <v>240</v>
      </c>
      <c r="F53" s="107">
        <f t="shared" si="6"/>
        <v>1.6891339869281047E-7</v>
      </c>
      <c r="G53" s="107">
        <f t="shared" si="7"/>
        <v>7.3984068627450981E-7</v>
      </c>
      <c r="H53" s="136"/>
    </row>
    <row r="54" spans="1:13" s="17" customFormat="1" ht="14.25">
      <c r="A54" s="395" t="s">
        <v>68</v>
      </c>
      <c r="B54" s="83" t="s">
        <v>51</v>
      </c>
      <c r="C54" s="129">
        <f>INDEX('4 Flare1'!C:C,MATCH($A54,'4 Flare1'!$A:$A,0))</f>
        <v>5.1960784313725495E-4</v>
      </c>
      <c r="D54" s="122" t="str">
        <f>'4 Flare1'!D54</f>
        <v>lb/MMBtu</v>
      </c>
      <c r="E54" s="246" t="s">
        <v>235</v>
      </c>
      <c r="F54" s="90">
        <f>C54*$D$67</f>
        <v>1.7904820261437908E-2</v>
      </c>
      <c r="G54" s="90">
        <f>C54*$D$67*$D$68/2000</f>
        <v>7.8423112745098042E-2</v>
      </c>
    </row>
    <row r="55" spans="1:13" ht="14.25">
      <c r="A55" s="396" t="s">
        <v>304</v>
      </c>
      <c r="B55" s="83" t="s">
        <v>41</v>
      </c>
      <c r="C55" s="411">
        <f>INDEX('4 Flare1'!C:C,MATCH($A55,'4 Flare1'!$A:$A,0))</f>
        <v>2.3529411764705881E-8</v>
      </c>
      <c r="D55" s="122" t="str">
        <f>'4 Flare1'!D55</f>
        <v>lb/MMBtu</v>
      </c>
      <c r="E55" s="246" t="s">
        <v>239</v>
      </c>
      <c r="F55" s="90">
        <f t="shared" si="6"/>
        <v>8.1078431372549006E-7</v>
      </c>
      <c r="G55" s="90">
        <f t="shared" si="7"/>
        <v>3.5512352941176464E-6</v>
      </c>
    </row>
    <row r="56" spans="1:13" ht="14.25">
      <c r="A56" s="396" t="s">
        <v>303</v>
      </c>
      <c r="B56" s="83" t="s">
        <v>27</v>
      </c>
      <c r="C56" s="129">
        <f>$D$84/(453.6*10^6)/35.31*10^6/$D$85*(1-$D$74)</f>
        <v>1.468117677522642E-6</v>
      </c>
      <c r="D56" s="122" t="str">
        <f>'4 Flare1'!D56</f>
        <v>lb/MMBtu</v>
      </c>
      <c r="E56" s="246" t="s">
        <v>240</v>
      </c>
      <c r="F56" s="90">
        <f t="shared" si="6"/>
        <v>5.0588888304634369E-5</v>
      </c>
      <c r="G56" s="90">
        <f t="shared" si="7"/>
        <v>2.2157933077429854E-4</v>
      </c>
    </row>
    <row r="57" spans="1:13" ht="14.25">
      <c r="A57" s="396" t="s">
        <v>72</v>
      </c>
      <c r="B57" s="83" t="s">
        <v>42</v>
      </c>
      <c r="C57" s="411">
        <f>INDEX('4 Flare1'!C:C,MATCH($A57,'4 Flare1'!$A:$A,0))</f>
        <v>2.2549019607843137E-6</v>
      </c>
      <c r="D57" s="122" t="str">
        <f>'4 Flare1'!D57</f>
        <v>lb/MMBtu</v>
      </c>
      <c r="E57" s="246" t="s">
        <v>239</v>
      </c>
      <c r="F57" s="90">
        <f t="shared" si="6"/>
        <v>7.7700163398692802E-5</v>
      </c>
      <c r="G57" s="90">
        <f t="shared" si="7"/>
        <v>3.4032671568627447E-4</v>
      </c>
    </row>
    <row r="58" spans="1:13" ht="14.25">
      <c r="A58" s="396" t="s">
        <v>147</v>
      </c>
      <c r="B58" s="83" t="s">
        <v>140</v>
      </c>
      <c r="C58" s="129">
        <f>D82/(453.6*10^6)/35.31*10^6/$D$85*(1-$D$74)</f>
        <v>5.6325448639584649E-7</v>
      </c>
      <c r="D58" s="122" t="str">
        <f>'4 Flare1'!D58</f>
        <v>lb/MMBtu</v>
      </c>
      <c r="E58" s="243" t="s">
        <v>219</v>
      </c>
      <c r="F58" s="90">
        <f t="shared" si="6"/>
        <v>1.9408810843723542E-5</v>
      </c>
      <c r="G58" s="90">
        <f t="shared" si="7"/>
        <v>8.5010591495509122E-5</v>
      </c>
    </row>
    <row r="59" spans="1:13" ht="14.25">
      <c r="A59" s="396" t="s">
        <v>146</v>
      </c>
      <c r="B59" s="83" t="s">
        <v>141</v>
      </c>
      <c r="C59" s="129">
        <f>D83/(453.6*10^6)/35.31*10^6/$D$85*(1-$D$74)</f>
        <v>9.4256582409041224E-8</v>
      </c>
      <c r="D59" s="122" t="str">
        <f>'4 Flare1'!D59</f>
        <v>lb/MMBtu</v>
      </c>
      <c r="E59" s="243" t="s">
        <v>219</v>
      </c>
      <c r="F59" s="90">
        <f t="shared" si="6"/>
        <v>3.2479247355115451E-6</v>
      </c>
      <c r="G59" s="90">
        <f t="shared" si="7"/>
        <v>1.4225910341540569E-5</v>
      </c>
    </row>
    <row r="60" spans="1:13" ht="14.25">
      <c r="A60" s="396" t="s">
        <v>301</v>
      </c>
      <c r="B60" s="111" t="s">
        <v>49</v>
      </c>
      <c r="C60" s="133"/>
      <c r="D60" s="112"/>
      <c r="E60" s="303"/>
      <c r="F60" s="119">
        <f>SUM(F14:F33,F54:F59)-SUM(F23,F57,F27,F31,F54,F16)</f>
        <v>6.4123466029921999E-2</v>
      </c>
      <c r="G60" s="134">
        <f>SUM(G14:G33,G54:G59)-SUM(G23,G57,G27,G31,G54,G16)</f>
        <v>0.28086078121105829</v>
      </c>
      <c r="J60" s="210" t="str">
        <f>IF(I60=C60,"","HERE")</f>
        <v/>
      </c>
    </row>
    <row r="61" spans="1:13" s="166" customFormat="1" ht="6">
      <c r="A61" s="397"/>
      <c r="B61" s="422"/>
      <c r="C61" s="422"/>
      <c r="D61" s="422"/>
      <c r="E61" s="423"/>
      <c r="F61" s="423"/>
      <c r="G61" s="422"/>
      <c r="H61" s="165"/>
      <c r="I61" s="165"/>
      <c r="J61" s="165"/>
      <c r="K61" s="165"/>
      <c r="L61" s="165"/>
      <c r="M61" s="165"/>
    </row>
    <row r="62" spans="1:13">
      <c r="B62" s="7" t="s">
        <v>86</v>
      </c>
      <c r="C62" s="7"/>
      <c r="D62" s="7"/>
      <c r="G62" s="7"/>
    </row>
    <row r="63" spans="1:13" ht="14.25">
      <c r="B63" s="581" t="s">
        <v>221</v>
      </c>
      <c r="C63" s="581"/>
      <c r="D63" s="581"/>
      <c r="E63" s="581"/>
      <c r="F63" s="581"/>
      <c r="G63" s="581"/>
      <c r="H63" s="55" t="s">
        <v>110</v>
      </c>
    </row>
    <row r="64" spans="1:13">
      <c r="B64" s="581"/>
      <c r="C64" s="581"/>
      <c r="D64" s="581"/>
      <c r="E64" s="581"/>
      <c r="F64" s="581"/>
      <c r="G64" s="581"/>
    </row>
    <row r="65" spans="1:8" s="17" customFormat="1" ht="14.1" customHeight="1">
      <c r="A65" s="23"/>
      <c r="B65" s="580" t="s">
        <v>215</v>
      </c>
      <c r="C65" s="580"/>
      <c r="D65" s="580"/>
      <c r="E65" s="580"/>
      <c r="F65" s="580"/>
      <c r="G65" s="580"/>
      <c r="H65" s="55" t="s">
        <v>110</v>
      </c>
    </row>
    <row r="66" spans="1:8" s="17" customFormat="1" ht="14.1" customHeight="1">
      <c r="A66" s="23"/>
      <c r="B66" s="580"/>
      <c r="C66" s="580"/>
      <c r="D66" s="580"/>
      <c r="E66" s="580"/>
      <c r="F66" s="580"/>
      <c r="G66" s="580"/>
    </row>
    <row r="67" spans="1:8" s="17" customFormat="1" ht="14.25">
      <c r="A67" s="23"/>
      <c r="B67" s="318"/>
      <c r="C67" s="42" t="s">
        <v>170</v>
      </c>
      <c r="D67" s="43">
        <f>'1 Rates'!B18</f>
        <v>34.458333333333329</v>
      </c>
      <c r="E67" s="299" t="s">
        <v>241</v>
      </c>
      <c r="F67" s="4"/>
      <c r="G67" s="42"/>
    </row>
    <row r="68" spans="1:8" s="17" customFormat="1" ht="14.25">
      <c r="A68" s="23"/>
      <c r="B68" s="318"/>
      <c r="C68" s="44" t="s">
        <v>87</v>
      </c>
      <c r="D68" s="45">
        <f>'1 Rates'!D17</f>
        <v>8760</v>
      </c>
      <c r="E68" s="299" t="s">
        <v>241</v>
      </c>
      <c r="F68" s="4"/>
      <c r="G68" s="44"/>
    </row>
    <row r="69" spans="1:8" s="17" customFormat="1" ht="14.25">
      <c r="A69" s="23"/>
      <c r="B69" s="318"/>
      <c r="C69" s="42" t="s">
        <v>171</v>
      </c>
      <c r="D69" s="43">
        <f>'1 Rates'!$B$17</f>
        <v>20833.333333333332</v>
      </c>
      <c r="E69" s="299" t="s">
        <v>241</v>
      </c>
      <c r="F69" s="4"/>
      <c r="G69" s="44"/>
    </row>
    <row r="70" spans="1:8" s="17" customFormat="1" ht="14.25">
      <c r="A70" s="23"/>
      <c r="B70" s="580" t="s">
        <v>222</v>
      </c>
      <c r="C70" s="580"/>
      <c r="D70" s="580"/>
      <c r="E70" s="580"/>
      <c r="F70" s="580"/>
      <c r="G70" s="580"/>
      <c r="H70" s="55" t="s">
        <v>110</v>
      </c>
    </row>
    <row r="71" spans="1:8" s="17" customFormat="1" ht="14.25">
      <c r="A71" s="23"/>
      <c r="B71" s="580"/>
      <c r="C71" s="580"/>
      <c r="D71" s="580"/>
      <c r="E71" s="580"/>
      <c r="F71" s="580"/>
      <c r="G71" s="580"/>
      <c r="H71" s="55" t="s">
        <v>110</v>
      </c>
    </row>
    <row r="72" spans="1:8" s="17" customFormat="1" ht="14.25">
      <c r="A72" s="23"/>
      <c r="B72" s="318"/>
      <c r="C72" s="59" t="s">
        <v>121</v>
      </c>
      <c r="D72" s="50">
        <f>'2 Gas Data'!E8</f>
        <v>8.787460055544935E-2</v>
      </c>
      <c r="E72" s="299" t="s">
        <v>284</v>
      </c>
      <c r="F72" s="413"/>
      <c r="G72" s="413"/>
      <c r="H72" s="62"/>
    </row>
    <row r="73" spans="1:8" s="17" customFormat="1" ht="14.25">
      <c r="A73" s="23"/>
      <c r="B73" s="318"/>
      <c r="C73" s="152" t="s">
        <v>174</v>
      </c>
      <c r="D73" s="54">
        <f>'2 Gas Data'!E9</f>
        <v>523.91654973154107</v>
      </c>
      <c r="E73" s="299" t="s">
        <v>284</v>
      </c>
      <c r="F73" s="416"/>
      <c r="G73" s="49"/>
      <c r="H73" s="49"/>
    </row>
    <row r="74" spans="1:8" s="17" customFormat="1" ht="14.25">
      <c r="A74" s="23"/>
      <c r="B74" s="318"/>
      <c r="C74" s="152" t="s">
        <v>156</v>
      </c>
      <c r="D74" s="53">
        <f>'4 Flare1'!$D$74</f>
        <v>0.99</v>
      </c>
      <c r="E74" s="299" t="s">
        <v>234</v>
      </c>
      <c r="F74" s="416"/>
      <c r="G74" s="49"/>
      <c r="H74" s="49"/>
    </row>
    <row r="75" spans="1:8" s="17" customFormat="1" ht="14.25">
      <c r="A75" s="23"/>
      <c r="B75" s="565" t="s">
        <v>223</v>
      </c>
      <c r="C75" s="565"/>
      <c r="D75" s="565"/>
      <c r="E75" s="565"/>
      <c r="F75" s="565"/>
      <c r="G75" s="565"/>
      <c r="H75" s="55" t="s">
        <v>110</v>
      </c>
    </row>
    <row r="76" spans="1:8" s="17" customFormat="1" ht="14.25">
      <c r="A76" s="23"/>
      <c r="B76" s="565"/>
      <c r="C76" s="565"/>
      <c r="D76" s="565"/>
      <c r="E76" s="565"/>
      <c r="F76" s="565"/>
      <c r="G76" s="565"/>
      <c r="H76" s="55" t="s">
        <v>110</v>
      </c>
    </row>
    <row r="77" spans="1:8" ht="14.25">
      <c r="B77" s="318"/>
      <c r="C77" s="9" t="s">
        <v>173</v>
      </c>
      <c r="D77" s="58">
        <f>'2 Gas Data'!E10</f>
        <v>0.50587162903882654</v>
      </c>
      <c r="E77" s="299" t="s">
        <v>284</v>
      </c>
      <c r="F77" s="48"/>
      <c r="G77" s="413"/>
    </row>
    <row r="78" spans="1:8" ht="14.25">
      <c r="B78" s="565" t="s">
        <v>249</v>
      </c>
      <c r="C78" s="565"/>
      <c r="D78" s="565"/>
      <c r="E78" s="565"/>
      <c r="F78" s="565"/>
      <c r="G78" s="565"/>
      <c r="H78" s="55" t="s">
        <v>110</v>
      </c>
    </row>
    <row r="79" spans="1:8" ht="14.25" customHeight="1">
      <c r="B79" s="565"/>
      <c r="C79" s="565"/>
      <c r="D79" s="565"/>
      <c r="E79" s="565"/>
      <c r="F79" s="565"/>
      <c r="G79" s="565"/>
      <c r="H79" s="55" t="s">
        <v>110</v>
      </c>
    </row>
    <row r="80" spans="1:8" ht="14.25">
      <c r="B80" s="318"/>
      <c r="C80" s="150" t="s">
        <v>177</v>
      </c>
      <c r="D80" s="151">
        <f>'2 Gas Data'!$F$11</f>
        <v>2980</v>
      </c>
      <c r="E80" s="299" t="s">
        <v>284</v>
      </c>
      <c r="F80" s="48"/>
      <c r="G80" s="413"/>
    </row>
    <row r="81" spans="1:13" ht="14.25">
      <c r="B81" s="318"/>
      <c r="C81" s="150" t="s">
        <v>178</v>
      </c>
      <c r="D81" s="151">
        <f>'2 Gas Data'!$F$12</f>
        <v>144</v>
      </c>
      <c r="E81" s="299" t="s">
        <v>284</v>
      </c>
      <c r="F81" s="48"/>
      <c r="G81" s="413"/>
    </row>
    <row r="82" spans="1:13" ht="14.25">
      <c r="B82" s="318"/>
      <c r="C82" s="150" t="s">
        <v>179</v>
      </c>
      <c r="D82" s="151">
        <f>'2 Gas Data'!$F$13</f>
        <v>986</v>
      </c>
      <c r="E82" s="299" t="s">
        <v>284</v>
      </c>
      <c r="F82" s="48"/>
      <c r="G82" s="413"/>
    </row>
    <row r="83" spans="1:13" ht="14.25">
      <c r="B83" s="318"/>
      <c r="C83" s="150" t="s">
        <v>180</v>
      </c>
      <c r="D83" s="151">
        <f>'2 Gas Data'!$F$14</f>
        <v>165</v>
      </c>
      <c r="E83" s="299" t="s">
        <v>284</v>
      </c>
      <c r="F83" s="48"/>
      <c r="G83" s="413"/>
    </row>
    <row r="84" spans="1:13" ht="14.25">
      <c r="B84" s="318"/>
      <c r="C84" s="150" t="s">
        <v>181</v>
      </c>
      <c r="D84" s="151">
        <f>'2 Gas Data'!$F$15</f>
        <v>2570</v>
      </c>
      <c r="E84" s="299" t="s">
        <v>284</v>
      </c>
      <c r="F84" s="48"/>
      <c r="G84" s="413"/>
    </row>
    <row r="85" spans="1:13" ht="14.25">
      <c r="B85" s="4"/>
      <c r="C85" s="152" t="s">
        <v>182</v>
      </c>
      <c r="D85" s="10">
        <f>'2 Gas Data'!$B$7</f>
        <v>1092.953013546987</v>
      </c>
      <c r="E85" s="299" t="s">
        <v>284</v>
      </c>
      <c r="F85" s="431"/>
      <c r="G85" s="79"/>
    </row>
    <row r="86" spans="1:13" ht="14.25">
      <c r="B86" s="580" t="s">
        <v>224</v>
      </c>
      <c r="C86" s="580"/>
      <c r="D86" s="580"/>
      <c r="E86" s="580"/>
      <c r="F86" s="580"/>
      <c r="G86" s="580"/>
      <c r="H86" s="55" t="s">
        <v>110</v>
      </c>
      <c r="I86" s="61"/>
      <c r="J86" s="61"/>
      <c r="K86" s="61"/>
      <c r="L86" s="61"/>
      <c r="M86" s="61"/>
    </row>
    <row r="87" spans="1:13" ht="14.25">
      <c r="B87" s="580"/>
      <c r="C87" s="580"/>
      <c r="D87" s="580"/>
      <c r="E87" s="580"/>
      <c r="F87" s="580"/>
      <c r="G87" s="580"/>
      <c r="H87" s="55" t="s">
        <v>110</v>
      </c>
      <c r="I87" s="61"/>
      <c r="J87" s="61"/>
      <c r="K87" s="61"/>
      <c r="L87" s="61"/>
      <c r="M87" s="61"/>
    </row>
    <row r="88" spans="1:13" s="166" customFormat="1" ht="6">
      <c r="A88" s="397"/>
      <c r="B88" s="167"/>
      <c r="C88" s="167"/>
      <c r="D88" s="167"/>
      <c r="E88" s="167"/>
      <c r="F88" s="167"/>
      <c r="G88" s="167"/>
      <c r="H88" s="168"/>
      <c r="I88" s="169"/>
      <c r="J88" s="169"/>
      <c r="K88" s="169"/>
      <c r="L88" s="169"/>
      <c r="M88" s="169"/>
    </row>
    <row r="89" spans="1:13">
      <c r="B89" s="46" t="s">
        <v>32</v>
      </c>
      <c r="C89" s="46"/>
      <c r="D89" s="46"/>
      <c r="E89" s="47"/>
      <c r="F89" s="47"/>
      <c r="G89" s="46"/>
    </row>
    <row r="90" spans="1:13" ht="12" customHeight="1">
      <c r="B90" s="565" t="s">
        <v>236</v>
      </c>
      <c r="C90" s="565"/>
      <c r="D90" s="565"/>
      <c r="E90" s="565"/>
      <c r="F90" s="565"/>
      <c r="G90" s="565"/>
      <c r="H90" s="55" t="s">
        <v>110</v>
      </c>
    </row>
    <row r="91" spans="1:13">
      <c r="B91" s="565"/>
      <c r="C91" s="565"/>
      <c r="D91" s="565"/>
      <c r="E91" s="565"/>
      <c r="F91" s="565"/>
      <c r="G91" s="565"/>
    </row>
    <row r="92" spans="1:13">
      <c r="B92" s="565"/>
      <c r="C92" s="565"/>
      <c r="D92" s="565"/>
      <c r="E92" s="565"/>
      <c r="F92" s="565"/>
      <c r="G92" s="565"/>
    </row>
    <row r="93" spans="1:13">
      <c r="B93" s="565"/>
      <c r="C93" s="565"/>
      <c r="D93" s="565"/>
      <c r="E93" s="565"/>
      <c r="F93" s="565"/>
      <c r="G93" s="565"/>
    </row>
    <row r="94" spans="1:13" ht="12" customHeight="1">
      <c r="B94" s="565" t="s">
        <v>237</v>
      </c>
      <c r="C94" s="565"/>
      <c r="D94" s="565"/>
      <c r="E94" s="565"/>
      <c r="F94" s="565"/>
      <c r="G94" s="565"/>
      <c r="H94" s="55" t="s">
        <v>110</v>
      </c>
    </row>
    <row r="95" spans="1:13" s="324" customFormat="1" ht="14.25">
      <c r="A95" s="81"/>
      <c r="B95" s="566" t="s">
        <v>366</v>
      </c>
      <c r="C95" s="566"/>
      <c r="D95" s="566"/>
      <c r="E95" s="566"/>
      <c r="F95" s="566"/>
      <c r="G95" s="566"/>
      <c r="H95" s="55" t="s">
        <v>110</v>
      </c>
    </row>
    <row r="96" spans="1:13" s="324" customFormat="1">
      <c r="A96" s="81"/>
      <c r="B96" s="566"/>
      <c r="C96" s="566"/>
      <c r="D96" s="566"/>
      <c r="E96" s="566"/>
      <c r="F96" s="566"/>
      <c r="G96" s="566"/>
    </row>
    <row r="97" spans="1:8" s="324" customFormat="1">
      <c r="A97" s="81"/>
      <c r="B97" s="566"/>
      <c r="C97" s="566"/>
      <c r="D97" s="566"/>
      <c r="E97" s="566"/>
      <c r="F97" s="566"/>
      <c r="G97" s="566"/>
    </row>
    <row r="98" spans="1:8" ht="12" customHeight="1">
      <c r="B98" s="566" t="s">
        <v>355</v>
      </c>
      <c r="C98" s="565"/>
      <c r="D98" s="565"/>
      <c r="E98" s="565"/>
      <c r="F98" s="565"/>
      <c r="G98" s="565"/>
      <c r="H98" s="55" t="s">
        <v>110</v>
      </c>
    </row>
    <row r="99" spans="1:8">
      <c r="B99" s="565"/>
      <c r="C99" s="565"/>
      <c r="D99" s="565"/>
      <c r="E99" s="565"/>
      <c r="F99" s="565"/>
      <c r="G99" s="565"/>
    </row>
    <row r="100" spans="1:8">
      <c r="B100" s="565"/>
      <c r="C100" s="565"/>
      <c r="D100" s="565"/>
      <c r="E100" s="565"/>
      <c r="F100" s="565"/>
      <c r="G100" s="565"/>
    </row>
    <row r="101" spans="1:8">
      <c r="B101" s="565"/>
      <c r="C101" s="565"/>
      <c r="D101" s="565"/>
      <c r="E101" s="565"/>
      <c r="F101" s="565"/>
      <c r="G101" s="565"/>
    </row>
    <row r="102" spans="1:8" ht="14.25">
      <c r="B102" s="566" t="s">
        <v>357</v>
      </c>
      <c r="C102" s="565"/>
      <c r="D102" s="565"/>
      <c r="E102" s="565"/>
      <c r="F102" s="565"/>
      <c r="G102" s="565"/>
      <c r="H102" s="55" t="s">
        <v>110</v>
      </c>
    </row>
    <row r="103" spans="1:8">
      <c r="B103" s="565"/>
      <c r="C103" s="565"/>
      <c r="D103" s="565"/>
      <c r="E103" s="565"/>
      <c r="F103" s="565"/>
      <c r="G103" s="565"/>
    </row>
    <row r="104" spans="1:8">
      <c r="B104" s="565"/>
      <c r="C104" s="565"/>
      <c r="D104" s="565"/>
      <c r="E104" s="565"/>
      <c r="F104" s="565"/>
      <c r="G104" s="565"/>
    </row>
    <row r="105" spans="1:8">
      <c r="B105" s="565"/>
      <c r="C105" s="565"/>
      <c r="D105" s="565"/>
      <c r="E105" s="565"/>
      <c r="F105" s="565"/>
      <c r="G105" s="565"/>
    </row>
    <row r="106" spans="1:8" ht="14.25">
      <c r="B106" s="582" t="s">
        <v>359</v>
      </c>
      <c r="C106" s="564"/>
      <c r="D106" s="564"/>
      <c r="E106" s="564"/>
      <c r="F106" s="564"/>
      <c r="G106" s="564"/>
      <c r="H106" s="55" t="s">
        <v>110</v>
      </c>
    </row>
    <row r="107" spans="1:8" ht="14.25">
      <c r="B107" s="582" t="s">
        <v>361</v>
      </c>
      <c r="C107" s="564"/>
      <c r="D107" s="564"/>
      <c r="E107" s="564"/>
      <c r="F107" s="564"/>
      <c r="G107" s="564"/>
      <c r="H107" s="55" t="s">
        <v>110</v>
      </c>
    </row>
    <row r="108" spans="1:8">
      <c r="B108" s="2"/>
      <c r="C108" s="5"/>
      <c r="D108" s="5"/>
      <c r="F108" s="5"/>
    </row>
    <row r="109" spans="1:8">
      <c r="B109" s="2"/>
      <c r="C109" s="2"/>
      <c r="D109" s="2"/>
      <c r="F109" s="2"/>
    </row>
    <row r="110" spans="1:8">
      <c r="B110" s="2"/>
      <c r="C110" s="2"/>
      <c r="D110" s="2"/>
      <c r="F110" s="2"/>
    </row>
    <row r="111" spans="1:8">
      <c r="B111" s="2"/>
      <c r="C111" s="3"/>
      <c r="D111" s="3"/>
      <c r="F111" s="3"/>
    </row>
  </sheetData>
  <mergeCells count="14">
    <mergeCell ref="B106:G106"/>
    <mergeCell ref="B107:G107"/>
    <mergeCell ref="C3:E5"/>
    <mergeCell ref="B98:G101"/>
    <mergeCell ref="B78:G79"/>
    <mergeCell ref="B90:G93"/>
    <mergeCell ref="B94:G94"/>
    <mergeCell ref="B86:G87"/>
    <mergeCell ref="B63:G64"/>
    <mergeCell ref="B65:G66"/>
    <mergeCell ref="B70:G71"/>
    <mergeCell ref="B75:G76"/>
    <mergeCell ref="B102:G105"/>
    <mergeCell ref="B95:G97"/>
  </mergeCells>
  <conditionalFormatting sqref="G8 G11:G12 G17:G30 G32:G59">
    <cfRule type="cellIs" dxfId="155" priority="23" operator="greaterThan">
      <formula>#REF!</formula>
    </cfRule>
    <cfRule type="cellIs" dxfId="154" priority="24" operator="greaterThan">
      <formula>#REF!</formula>
    </cfRule>
  </conditionalFormatting>
  <conditionalFormatting sqref="G14:G16">
    <cfRule type="cellIs" dxfId="153" priority="1" operator="greaterThan">
      <formula>#REF!</formula>
    </cfRule>
    <cfRule type="cellIs" dxfId="152" priority="2" operator="greaterThan">
      <formula>#REF!</formula>
    </cfRule>
  </conditionalFormatting>
  <printOptions horizontalCentered="1"/>
  <pageMargins left="0.75" right="0.75" top="1.6" bottom="1" header="0.75" footer="0.5"/>
  <pageSetup paperSize="119" orientation="portrait" r:id="rId1"/>
  <headerFooter>
    <oddHeader>&amp;C&amp;"-,Bold"Table B-6
Liquefying Case 3: Potential Emissions from Enclosed Ground Flare Burners
Puget Sound Energy – Liquefied Natural Gas Project
Tacoma, Washington&amp;R&amp;8Page &amp;P of &amp;N</oddHeader>
    <oddFooter>&amp;L&amp;6 May 2017  &amp;Z&amp;F  &amp;A&amp;R&amp;9Landau Associates</oddFooter>
  </headerFooter>
  <rowBreaks count="1" manualBreakCount="1">
    <brk id="77" min="1" max="6" man="1"/>
  </rowBreaks>
  <extLst>
    <ext xmlns:x14="http://schemas.microsoft.com/office/spreadsheetml/2009/9/main" uri="{78C0D931-6437-407d-A8EE-F0AAD7539E65}">
      <x14:conditionalFormattings>
        <x14:conditionalFormatting xmlns:xm="http://schemas.microsoft.com/office/excel/2006/main">
          <x14:cfRule type="cellIs" priority="3" operator="greaterThan" id="{F3253B05-1B8F-4901-8E9B-C5F3D1E384A2}">
            <xm:f>'7 Flare4'!#REF!</xm:f>
            <x14:dxf>
              <font>
                <condense val="0"/>
                <extend val="0"/>
                <color rgb="FF9C6500"/>
              </font>
              <fill>
                <patternFill>
                  <bgColor rgb="FFFFEB9C"/>
                </patternFill>
              </fill>
            </x14:dxf>
          </x14:cfRule>
          <x14:cfRule type="cellIs" priority="4" operator="greaterThan" id="{DD4FFEEC-DF7C-432A-A97D-C13EAC48ABB0}">
            <xm:f>'7 Flare4'!#REF!</xm:f>
            <x14:dxf>
              <font>
                <condense val="0"/>
                <extend val="0"/>
                <color rgb="FF9C0006"/>
              </font>
              <fill>
                <patternFill>
                  <bgColor rgb="FFFFC7CE"/>
                </patternFill>
              </fill>
            </x14:dxf>
          </x14:cfRule>
          <xm:sqref>G31:H31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J111"/>
  <sheetViews>
    <sheetView topLeftCell="B46" zoomScaleNormal="100" zoomScaleSheetLayoutView="85" zoomScalePageLayoutView="85" workbookViewId="0">
      <selection activeCell="F60" sqref="F60"/>
    </sheetView>
  </sheetViews>
  <sheetFormatPr defaultColWidth="9.140625" defaultRowHeight="12"/>
  <cols>
    <col min="1" max="1" width="0" style="81" hidden="1" customWidth="1"/>
    <col min="2" max="2" width="27.28515625" style="38" customWidth="1"/>
    <col min="3" max="3" width="12.140625" style="38" customWidth="1"/>
    <col min="4" max="4" width="10" style="38" bestFit="1" customWidth="1"/>
    <col min="5" max="5" width="1.85546875" style="8" bestFit="1" customWidth="1"/>
    <col min="6" max="6" width="13.85546875" style="8" customWidth="1"/>
    <col min="7" max="7" width="15.5703125" style="38" customWidth="1"/>
    <col min="8" max="8" width="1.28515625" style="38" bestFit="1" customWidth="1"/>
    <col min="9" max="10" width="9.140625" style="318"/>
    <col min="11" max="16384" width="9.140625" style="63"/>
  </cols>
  <sheetData>
    <row r="1" spans="1:10">
      <c r="B1" s="161" t="s">
        <v>196</v>
      </c>
      <c r="C1" s="161"/>
      <c r="D1" s="161"/>
      <c r="E1" s="161"/>
      <c r="F1" s="161"/>
      <c r="G1" s="161"/>
    </row>
    <row r="3" spans="1:10" s="17" customFormat="1">
      <c r="A3" s="23"/>
      <c r="B3" s="236"/>
      <c r="C3" s="571" t="s">
        <v>31</v>
      </c>
      <c r="D3" s="572"/>
      <c r="E3" s="573"/>
      <c r="F3" s="244" t="s">
        <v>98</v>
      </c>
      <c r="G3" s="244"/>
      <c r="H3" s="120"/>
      <c r="I3" s="318"/>
      <c r="J3" s="318"/>
    </row>
    <row r="4" spans="1:10" s="17" customFormat="1" ht="14.25">
      <c r="A4" s="23"/>
      <c r="B4" s="238"/>
      <c r="C4" s="574"/>
      <c r="D4" s="575"/>
      <c r="E4" s="576"/>
      <c r="F4" s="245" t="s">
        <v>210</v>
      </c>
      <c r="G4" s="245" t="s">
        <v>211</v>
      </c>
      <c r="H4" s="121"/>
      <c r="I4" s="318"/>
      <c r="J4" s="318"/>
    </row>
    <row r="5" spans="1:10" s="17" customFormat="1" ht="15.75" customHeight="1" thickBot="1">
      <c r="A5" s="395" t="s">
        <v>302</v>
      </c>
      <c r="B5" s="418" t="s">
        <v>30</v>
      </c>
      <c r="C5" s="577"/>
      <c r="D5" s="578"/>
      <c r="E5" s="579"/>
      <c r="F5" s="242" t="s">
        <v>113</v>
      </c>
      <c r="G5" s="242" t="s">
        <v>114</v>
      </c>
      <c r="H5" s="121"/>
      <c r="I5" s="318"/>
      <c r="J5" s="318"/>
    </row>
    <row r="6" spans="1:10" s="17" customFormat="1" ht="12.75" thickTop="1">
      <c r="A6" s="23"/>
      <c r="B6" s="82" t="s">
        <v>77</v>
      </c>
      <c r="C6" s="420"/>
      <c r="D6" s="420"/>
      <c r="E6" s="93"/>
      <c r="F6" s="421"/>
      <c r="G6" s="421"/>
      <c r="H6" s="420"/>
      <c r="I6" s="318"/>
      <c r="J6" s="318"/>
    </row>
    <row r="7" spans="1:10" s="17" customFormat="1" ht="14.25">
      <c r="A7" s="395" t="s">
        <v>300</v>
      </c>
      <c r="B7" s="83" t="s">
        <v>185</v>
      </c>
      <c r="C7" s="122">
        <f>INDEX('4 Flare1'!C:C,MATCH($A7,'4 Flare1'!$A:$A,0))</f>
        <v>7.4509803921568628E-3</v>
      </c>
      <c r="D7" s="122" t="str">
        <f>'4 Flare1'!D7</f>
        <v>lb/MMBtu</v>
      </c>
      <c r="E7" s="243">
        <f>'3 Vapor'!D7</f>
        <v>1</v>
      </c>
      <c r="F7" s="84">
        <f>C7*$D$67</f>
        <v>0.26560882352941173</v>
      </c>
      <c r="G7" s="86">
        <f>C7*$D$67*$D$68/2000</f>
        <v>1.1633666470588235</v>
      </c>
      <c r="H7" s="123"/>
      <c r="I7" s="318"/>
      <c r="J7" s="318"/>
    </row>
    <row r="8" spans="1:10" s="17" customFormat="1" ht="14.25">
      <c r="A8" s="395">
        <v>2025884</v>
      </c>
      <c r="B8" s="83" t="s">
        <v>184</v>
      </c>
      <c r="C8" s="96">
        <f>D72*D73/10^6*2*10^6*D74</f>
        <v>48.15535542695428</v>
      </c>
      <c r="D8" s="97" t="s">
        <v>169</v>
      </c>
      <c r="E8" s="243" t="s">
        <v>212</v>
      </c>
      <c r="F8" s="86">
        <f>C8*$D$69/1000000</f>
        <v>1.9462789485060688</v>
      </c>
      <c r="G8" s="86">
        <f>C8*$D$69/1000000*$D$68/2000</f>
        <v>8.5247017944565808</v>
      </c>
      <c r="H8" s="124"/>
      <c r="I8" s="318"/>
      <c r="J8" s="318"/>
    </row>
    <row r="9" spans="1:10" s="17" customFormat="1" ht="14.25">
      <c r="A9" s="398" t="s">
        <v>311</v>
      </c>
      <c r="B9" s="83" t="s">
        <v>213</v>
      </c>
      <c r="C9" s="311">
        <v>2.3003015639245391E-2</v>
      </c>
      <c r="D9" s="95" t="s">
        <v>102</v>
      </c>
      <c r="E9" s="246" t="s">
        <v>234</v>
      </c>
      <c r="F9" s="84">
        <f>C9*$D$67</f>
        <v>0.82</v>
      </c>
      <c r="G9" s="86">
        <f>C9*$D$67*$D$68/2000</f>
        <v>3.5916000000000001</v>
      </c>
      <c r="H9" s="124"/>
      <c r="I9" s="318"/>
      <c r="J9" s="318"/>
    </row>
    <row r="10" spans="1:10" s="17" customFormat="1" ht="14.25">
      <c r="A10" s="395" t="s">
        <v>73</v>
      </c>
      <c r="B10" s="83" t="s">
        <v>0</v>
      </c>
      <c r="C10" s="311">
        <v>7.3609650045585256E-2</v>
      </c>
      <c r="D10" s="95" t="s">
        <v>102</v>
      </c>
      <c r="E10" s="246" t="s">
        <v>234</v>
      </c>
      <c r="F10" s="86">
        <f>C10*$D$67</f>
        <v>2.6240000000000001</v>
      </c>
      <c r="G10" s="88">
        <f>C10*$D$67*$D$68/2000</f>
        <v>11.493120000000001</v>
      </c>
      <c r="H10" s="123"/>
      <c r="I10" s="318"/>
      <c r="J10" s="318"/>
    </row>
    <row r="11" spans="1:10" s="17" customFormat="1" ht="14.25">
      <c r="A11" s="395" t="s">
        <v>1</v>
      </c>
      <c r="B11" s="83" t="s">
        <v>101</v>
      </c>
      <c r="C11" s="96">
        <f>$D$72*$D$77*(1-$D$74)*10^6</f>
        <v>235.38123243976565</v>
      </c>
      <c r="D11" s="97" t="s">
        <v>169</v>
      </c>
      <c r="E11" s="243" t="s">
        <v>218</v>
      </c>
      <c r="F11" s="86">
        <f>$C$11*$D$69/1000000</f>
        <v>9.5133248111071946</v>
      </c>
      <c r="G11" s="88">
        <f>C11*$D$69/1000000*$D$68/2000</f>
        <v>41.668362672649515</v>
      </c>
      <c r="H11" s="124"/>
      <c r="I11" s="318"/>
      <c r="J11" s="318"/>
    </row>
    <row r="12" spans="1:10" s="17" customFormat="1" ht="14.25">
      <c r="A12" s="395" t="s">
        <v>306</v>
      </c>
      <c r="B12" s="98" t="s">
        <v>78</v>
      </c>
      <c r="C12" s="410">
        <f>INDEX('4 Flare1'!C:C,MATCH($A12,'4 Flare1'!$A:$A,0))</f>
        <v>4.9019607843137254E-7</v>
      </c>
      <c r="D12" s="125" t="str">
        <f>'4 Flare1'!D12</f>
        <v>lb/MMBtu</v>
      </c>
      <c r="E12" s="297">
        <f>'3 Vapor'!D12</f>
        <v>1</v>
      </c>
      <c r="F12" s="90">
        <f>$C$12*$D$67</f>
        <v>1.7474264705882348E-5</v>
      </c>
      <c r="G12" s="90">
        <f>C12*$D$67*$D$68/2000</f>
        <v>7.6537279411764697E-5</v>
      </c>
      <c r="H12" s="126"/>
      <c r="I12" s="318"/>
      <c r="J12" s="318"/>
    </row>
    <row r="13" spans="1:10" s="17" customFormat="1">
      <c r="A13" s="395"/>
      <c r="B13" s="101" t="s">
        <v>158</v>
      </c>
      <c r="C13" s="127"/>
      <c r="D13" s="102"/>
      <c r="E13" s="383"/>
      <c r="F13" s="103"/>
      <c r="G13" s="103"/>
      <c r="H13" s="128"/>
      <c r="I13" s="318"/>
      <c r="J13" s="318"/>
    </row>
    <row r="14" spans="1:10" s="17" customFormat="1" ht="14.25">
      <c r="A14" s="395" t="s">
        <v>56</v>
      </c>
      <c r="B14" s="83" t="s">
        <v>9</v>
      </c>
      <c r="C14" s="129">
        <f>INDEX('4 Flare1'!C:C,MATCH($A14,'4 Flare1'!$A:$A,0))</f>
        <v>8.3039215686274504E-6</v>
      </c>
      <c r="D14" s="122" t="str">
        <f>'4 Flare1'!D14</f>
        <v>lb/MMBtu</v>
      </c>
      <c r="E14" s="243" t="s">
        <v>235</v>
      </c>
      <c r="F14" s="90">
        <f t="shared" ref="F14:F26" si="0">C14*$D$67</f>
        <v>2.9601404411764697E-4</v>
      </c>
      <c r="G14" s="90">
        <f t="shared" ref="G14:G15" si="1">C14*$D$67*$D$68/2000</f>
        <v>1.2965415132352937E-3</v>
      </c>
      <c r="H14" s="128"/>
      <c r="I14" s="318"/>
      <c r="J14" s="318"/>
    </row>
    <row r="15" spans="1:10" s="17" customFormat="1" ht="14.25">
      <c r="A15" s="395" t="s">
        <v>57</v>
      </c>
      <c r="B15" s="83" t="s">
        <v>10</v>
      </c>
      <c r="C15" s="129">
        <f>INDEX('4 Flare1'!C:C,MATCH($A15,'4 Flare1'!$A:$A,0))</f>
        <v>2.647058823529412E-6</v>
      </c>
      <c r="D15" s="122" t="str">
        <f>'4 Flare1'!D15</f>
        <v>lb/MMBtu</v>
      </c>
      <c r="E15" s="243" t="s">
        <v>235</v>
      </c>
      <c r="F15" s="90">
        <f t="shared" si="0"/>
        <v>9.436102941176469E-5</v>
      </c>
      <c r="G15" s="90">
        <f t="shared" si="1"/>
        <v>4.1330130882352934E-4</v>
      </c>
      <c r="H15" s="128"/>
      <c r="I15" s="318"/>
      <c r="J15" s="318"/>
    </row>
    <row r="16" spans="1:10" s="17" customFormat="1" ht="14.25">
      <c r="A16" s="395" t="s">
        <v>153</v>
      </c>
      <c r="B16" s="83" t="s">
        <v>152</v>
      </c>
      <c r="C16" s="129">
        <f>INDEX('4 Flare1'!C:C,MATCH($A16,'4 Flare1'!$A:$A,0))</f>
        <v>3.1372549019607846E-3</v>
      </c>
      <c r="D16" s="122" t="str">
        <f>'4 Flare1'!D16</f>
        <v>lb/MMBtu</v>
      </c>
      <c r="E16" s="243" t="s">
        <v>235</v>
      </c>
      <c r="F16" s="90">
        <f t="shared" si="0"/>
        <v>0.11183529411764705</v>
      </c>
      <c r="G16" s="90">
        <f t="shared" ref="G16:G26" si="2">C16*$D$67*$D$68/2000</f>
        <v>0.48983858823529408</v>
      </c>
      <c r="H16" s="128"/>
      <c r="I16" s="318"/>
      <c r="J16" s="318"/>
    </row>
    <row r="17" spans="1:10" s="17" customFormat="1" ht="14.25">
      <c r="A17" s="395" t="s">
        <v>308</v>
      </c>
      <c r="B17" s="83" t="s">
        <v>33</v>
      </c>
      <c r="C17" s="129">
        <f>INDEX('4 Flare1'!C:C,MATCH($A17,'4 Flare1'!$A:$A,0))</f>
        <v>1.9607843137254904E-7</v>
      </c>
      <c r="D17" s="122" t="str">
        <f>'4 Flare1'!D17</f>
        <v>lb/MMBtu</v>
      </c>
      <c r="E17" s="243">
        <v>4</v>
      </c>
      <c r="F17" s="90">
        <f t="shared" si="0"/>
        <v>6.989705882352941E-6</v>
      </c>
      <c r="G17" s="90">
        <f t="shared" si="2"/>
        <v>3.0614911764705879E-5</v>
      </c>
      <c r="H17" s="126"/>
      <c r="I17" s="318"/>
      <c r="J17" s="318"/>
    </row>
    <row r="18" spans="1:10" s="17" customFormat="1" ht="14.25">
      <c r="A18" s="395" t="s">
        <v>59</v>
      </c>
      <c r="B18" s="83" t="s">
        <v>12</v>
      </c>
      <c r="C18" s="129">
        <f>$D$80/(453.6*10^6)/35.31*10^6/$D$85*(1-$D$74)</f>
        <v>1.702331003508745E-6</v>
      </c>
      <c r="D18" s="122" t="str">
        <f>'4 Flare1'!D18</f>
        <v>lb/MMBtu</v>
      </c>
      <c r="E18" s="243">
        <v>5</v>
      </c>
      <c r="F18" s="90">
        <f t="shared" si="0"/>
        <v>6.068384444757798E-5</v>
      </c>
      <c r="G18" s="90">
        <f t="shared" si="2"/>
        <v>2.6579523868039157E-4</v>
      </c>
      <c r="H18" s="126"/>
      <c r="I18" s="318"/>
      <c r="J18" s="318"/>
    </row>
    <row r="19" spans="1:10" s="17" customFormat="1" ht="14.25">
      <c r="A19" s="395" t="s">
        <v>307</v>
      </c>
      <c r="B19" s="83" t="s">
        <v>34</v>
      </c>
      <c r="C19" s="129">
        <f>INDEX('4 Flare1'!C:C,MATCH($A19,'4 Flare1'!$A:$A,0))</f>
        <v>1.1764705882352941E-8</v>
      </c>
      <c r="D19" s="122" t="str">
        <f>'4 Flare1'!D19</f>
        <v>lb/MMBtu</v>
      </c>
      <c r="E19" s="246" t="s">
        <v>239</v>
      </c>
      <c r="F19" s="90">
        <f t="shared" si="0"/>
        <v>4.1938235294117637E-7</v>
      </c>
      <c r="G19" s="90">
        <f t="shared" si="2"/>
        <v>1.8368947058823524E-6</v>
      </c>
      <c r="H19" s="126"/>
      <c r="I19" s="318"/>
      <c r="J19" s="318"/>
    </row>
    <row r="20" spans="1:10" s="17" customFormat="1" ht="14.25">
      <c r="A20" s="395" t="s">
        <v>69</v>
      </c>
      <c r="B20" s="83" t="s">
        <v>35</v>
      </c>
      <c r="C20" s="129">
        <f>INDEX('4 Flare1'!C:C,MATCH($A20,'4 Flare1'!$A:$A,0))</f>
        <v>1.0784313725490197E-6</v>
      </c>
      <c r="D20" s="122" t="str">
        <f>'4 Flare1'!D20</f>
        <v>lb/MMBtu</v>
      </c>
      <c r="E20" s="246" t="s">
        <v>239</v>
      </c>
      <c r="F20" s="90">
        <f t="shared" si="0"/>
        <v>3.8443382352941169E-5</v>
      </c>
      <c r="G20" s="90">
        <f t="shared" si="2"/>
        <v>1.6838201470588233E-4</v>
      </c>
      <c r="H20" s="126"/>
      <c r="I20" s="318"/>
      <c r="J20" s="318"/>
    </row>
    <row r="21" spans="1:10" s="17" customFormat="1" ht="14.25">
      <c r="A21" s="395" t="s">
        <v>290</v>
      </c>
      <c r="B21" s="83" t="s">
        <v>80</v>
      </c>
      <c r="C21" s="129">
        <f>INDEX('4 Flare1'!C:C,MATCH($A21,'4 Flare1'!$A:$A,0))</f>
        <v>1.3725490196078432E-6</v>
      </c>
      <c r="D21" s="122" t="str">
        <f>'4 Flare1'!D21</f>
        <v>lb/MMBtu</v>
      </c>
      <c r="E21" s="246" t="s">
        <v>239</v>
      </c>
      <c r="F21" s="90">
        <f t="shared" si="0"/>
        <v>4.8927941176470582E-5</v>
      </c>
      <c r="G21" s="90">
        <f t="shared" si="2"/>
        <v>2.1430438235294112E-4</v>
      </c>
      <c r="H21" s="126"/>
      <c r="I21" s="318"/>
      <c r="J21" s="318"/>
    </row>
    <row r="22" spans="1:10" s="17" customFormat="1" ht="14.25">
      <c r="A22" s="395" t="s">
        <v>70</v>
      </c>
      <c r="B22" s="83" t="s">
        <v>36</v>
      </c>
      <c r="C22" s="129">
        <f>INDEX('4 Flare1'!C:C,MATCH($A22,'4 Flare1'!$A:$A,0))</f>
        <v>8.2352941176470587E-8</v>
      </c>
      <c r="D22" s="122" t="str">
        <f>'4 Flare1'!D22</f>
        <v>lb/MMBtu</v>
      </c>
      <c r="E22" s="246" t="s">
        <v>239</v>
      </c>
      <c r="F22" s="90">
        <f t="shared" si="0"/>
        <v>2.9356764705882348E-6</v>
      </c>
      <c r="G22" s="90">
        <f t="shared" si="2"/>
        <v>1.2858262941176469E-5</v>
      </c>
      <c r="H22" s="126"/>
      <c r="I22" s="318"/>
      <c r="J22" s="318"/>
    </row>
    <row r="23" spans="1:10" s="17" customFormat="1" ht="14.25">
      <c r="A23" s="395" t="s">
        <v>299</v>
      </c>
      <c r="B23" s="83" t="s">
        <v>37</v>
      </c>
      <c r="C23" s="129">
        <f>INDEX('4 Flare1'!C:C,MATCH($A23,'4 Flare1'!$A:$A,0))</f>
        <v>8.3333333333333333E-7</v>
      </c>
      <c r="D23" s="122" t="str">
        <f>'4 Flare1'!D23</f>
        <v>lb/MMBtu</v>
      </c>
      <c r="E23" s="246" t="s">
        <v>239</v>
      </c>
      <c r="F23" s="90">
        <f t="shared" si="0"/>
        <v>2.9706249999999994E-5</v>
      </c>
      <c r="G23" s="90">
        <f t="shared" si="2"/>
        <v>1.3011337499999997E-4</v>
      </c>
      <c r="H23" s="126"/>
      <c r="I23" s="318"/>
      <c r="J23" s="318"/>
    </row>
    <row r="24" spans="1:10" s="17" customFormat="1" ht="14.25">
      <c r="A24" s="395" t="s">
        <v>150</v>
      </c>
      <c r="B24" s="83" t="s">
        <v>19</v>
      </c>
      <c r="C24" s="129">
        <f>$D$81/(453.6*10^6)/35.31*10^6/$D$85*(1-$D$74)</f>
        <v>8.2260290102436012E-8</v>
      </c>
      <c r="D24" s="122" t="str">
        <f>'4 Flare1'!D24</f>
        <v>lb/MMBtu</v>
      </c>
      <c r="E24" s="246" t="s">
        <v>240</v>
      </c>
      <c r="F24" s="90">
        <f t="shared" si="0"/>
        <v>2.9323736914265874E-6</v>
      </c>
      <c r="G24" s="90">
        <f t="shared" si="2"/>
        <v>1.2843796768448454E-5</v>
      </c>
      <c r="H24" s="126"/>
      <c r="I24" s="318"/>
      <c r="J24" s="318"/>
    </row>
    <row r="25" spans="1:10" s="17" customFormat="1" ht="14.25">
      <c r="A25" s="395" t="s">
        <v>65</v>
      </c>
      <c r="B25" s="83" t="s">
        <v>22</v>
      </c>
      <c r="C25" s="129">
        <f>INDEX('4 Flare1'!C:C,MATCH($A25,'4 Flare1'!$A:$A,0))</f>
        <v>7.3529411764705876E-5</v>
      </c>
      <c r="D25" s="122" t="str">
        <f>'4 Flare1'!D25</f>
        <v>lb/MMBtu</v>
      </c>
      <c r="E25" s="243">
        <v>5</v>
      </c>
      <c r="F25" s="90">
        <f t="shared" si="0"/>
        <v>2.6211397058823523E-3</v>
      </c>
      <c r="G25" s="90">
        <f t="shared" si="2"/>
        <v>1.1480591911764704E-2</v>
      </c>
      <c r="H25" s="126"/>
      <c r="I25" s="318"/>
      <c r="J25" s="318"/>
    </row>
    <row r="26" spans="1:10" s="17" customFormat="1" ht="14.25">
      <c r="A26" s="395" t="s">
        <v>154</v>
      </c>
      <c r="B26" s="83" t="s">
        <v>23</v>
      </c>
      <c r="C26" s="129">
        <f>INDEX('4 Flare1'!C:C,MATCH($A26,'4 Flare1'!$A:$A,0))</f>
        <v>1.7647058823529412E-3</v>
      </c>
      <c r="D26" s="122" t="str">
        <f>'4 Flare1'!D26</f>
        <v>lb/MMBtu</v>
      </c>
      <c r="E26" s="246" t="s">
        <v>240</v>
      </c>
      <c r="F26" s="90">
        <f t="shared" si="0"/>
        <v>6.2907352941176456E-2</v>
      </c>
      <c r="G26" s="90">
        <f t="shared" si="2"/>
        <v>0.27553420588235289</v>
      </c>
      <c r="H26" s="126"/>
      <c r="I26" s="318"/>
      <c r="J26" s="318"/>
    </row>
    <row r="27" spans="1:10" s="17" customFormat="1" ht="14.25">
      <c r="A27" s="395">
        <v>2148878</v>
      </c>
      <c r="B27" s="83" t="s">
        <v>155</v>
      </c>
      <c r="C27" s="129">
        <f>$D$72*$D$73/10^6*34/32*10^6*(1-$D$74)</f>
        <v>0.25840941990474225</v>
      </c>
      <c r="D27" s="122" t="str">
        <f>'4 Flare1'!D27</f>
        <v>lb/MMBtu</v>
      </c>
      <c r="E27" s="246" t="s">
        <v>220</v>
      </c>
      <c r="F27" s="90">
        <f>C27*$D$69/1000000</f>
        <v>1.0444047387816666E-2</v>
      </c>
      <c r="G27" s="90">
        <f>C27*$D$69/1000000*$D$68/2000</f>
        <v>4.5744927558636996E-2</v>
      </c>
      <c r="H27" s="126"/>
      <c r="I27" s="318"/>
      <c r="J27" s="318"/>
    </row>
    <row r="28" spans="1:10" s="17" customFormat="1" ht="14.25">
      <c r="A28" s="395" t="s">
        <v>306</v>
      </c>
      <c r="B28" s="83" t="s">
        <v>81</v>
      </c>
      <c r="C28" s="129">
        <f>INDEX('4 Flare1'!C:C,MATCH($A28,'4 Flare1'!$A:$A,0))</f>
        <v>4.9019607843137254E-7</v>
      </c>
      <c r="D28" s="122" t="str">
        <f>'4 Flare1'!D28</f>
        <v>lb/MMBtu</v>
      </c>
      <c r="E28" s="243">
        <v>1</v>
      </c>
      <c r="F28" s="90">
        <f>C28*$D$67</f>
        <v>1.7474264705882348E-5</v>
      </c>
      <c r="G28" s="90">
        <f>C28*$D$67*$D$68/2000</f>
        <v>7.6537279411764697E-5</v>
      </c>
      <c r="H28" s="126"/>
      <c r="I28" s="318"/>
      <c r="J28" s="318"/>
    </row>
    <row r="29" spans="1:10" s="17" customFormat="1" ht="14.25">
      <c r="A29" s="395" t="s">
        <v>305</v>
      </c>
      <c r="B29" s="83" t="s">
        <v>38</v>
      </c>
      <c r="C29" s="129">
        <f>INDEX('4 Flare1'!C:C,MATCH($A29,'4 Flare1'!$A:$A,0))</f>
        <v>3.7254901960784315E-7</v>
      </c>
      <c r="D29" s="122" t="str">
        <f>'4 Flare1'!D29</f>
        <v>lb/MMBtu</v>
      </c>
      <c r="E29" s="246" t="s">
        <v>239</v>
      </c>
      <c r="F29" s="90">
        <f>C29*$D$67</f>
        <v>1.3280441176470586E-5</v>
      </c>
      <c r="G29" s="90">
        <f>C29*$D$67*$D$68/2000</f>
        <v>5.8168332352941164E-5</v>
      </c>
      <c r="H29" s="126"/>
      <c r="I29" s="318"/>
      <c r="J29" s="318"/>
    </row>
    <row r="30" spans="1:10" s="17" customFormat="1" ht="14.25">
      <c r="A30" s="395" t="s">
        <v>71</v>
      </c>
      <c r="B30" s="83" t="s">
        <v>39</v>
      </c>
      <c r="C30" s="129">
        <f>INDEX('4 Flare1'!C:C,MATCH($A30,'4 Flare1'!$A:$A,0))</f>
        <v>2.5490196078431371E-7</v>
      </c>
      <c r="D30" s="122" t="str">
        <f>'4 Flare1'!D30</f>
        <v>lb/MMBtu</v>
      </c>
      <c r="E30" s="246" t="s">
        <v>239</v>
      </c>
      <c r="F30" s="90">
        <f>C30*$D$67</f>
        <v>9.0866176470588211E-6</v>
      </c>
      <c r="G30" s="90">
        <f>C30*$D$67*$D$68/2000</f>
        <v>3.9799385294117638E-5</v>
      </c>
      <c r="H30" s="126"/>
      <c r="I30" s="318"/>
      <c r="J30" s="318"/>
    </row>
    <row r="31" spans="1:10" s="17" customFormat="1" ht="14.25">
      <c r="A31" s="395" t="s">
        <v>67</v>
      </c>
      <c r="B31" s="83" t="s">
        <v>24</v>
      </c>
      <c r="C31" s="129">
        <f>C51</f>
        <v>5.9803921568627444E-7</v>
      </c>
      <c r="D31" s="122" t="str">
        <f t="shared" ref="D31:G31" si="3">D51</f>
        <v>lb/MMBtu</v>
      </c>
      <c r="E31" s="246" t="str">
        <f t="shared" si="3"/>
        <v>5</v>
      </c>
      <c r="F31" s="90">
        <f t="shared" si="3"/>
        <v>2.1318602941176463E-5</v>
      </c>
      <c r="G31" s="90">
        <f t="shared" si="3"/>
        <v>9.3375480882352906E-5</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47" si="4">C32*$D$67</f>
        <v>7.3391911764705866E-5</v>
      </c>
      <c r="G32" s="90">
        <f t="shared" ref="G32:G47" si="5">C32*$D$67*$D$68/2000</f>
        <v>3.214565735294117E-4</v>
      </c>
      <c r="H32" s="318"/>
      <c r="I32" s="318"/>
      <c r="J32" s="318"/>
    </row>
    <row r="33" spans="1:10" s="17" customFormat="1" ht="14.25">
      <c r="A33" s="395" t="s">
        <v>296</v>
      </c>
      <c r="B33" s="83" t="s">
        <v>82</v>
      </c>
      <c r="C33" s="104">
        <f>SUM(C34:C53)</f>
        <v>1.8609803921568625E-6</v>
      </c>
      <c r="D33" s="122" t="str">
        <f>'4 Flare1'!D33</f>
        <v>lb/MMBtu</v>
      </c>
      <c r="E33" s="246" t="s">
        <v>240</v>
      </c>
      <c r="F33" s="90">
        <f t="shared" si="4"/>
        <v>6.6339298529411752E-5</v>
      </c>
      <c r="G33" s="90">
        <f t="shared" si="5"/>
        <v>2.905661275588235E-4</v>
      </c>
      <c r="H33" s="126"/>
      <c r="I33" s="318"/>
      <c r="J33" s="318"/>
    </row>
    <row r="34" spans="1:10" s="17" customFormat="1" ht="14.25">
      <c r="A34" s="395" t="s">
        <v>285</v>
      </c>
      <c r="B34" s="105" t="s">
        <v>4</v>
      </c>
      <c r="C34" s="411">
        <f>INDEX('4 Flare1'!C:C,MATCH($A34,'4 Flare1'!$A:$A,0))</f>
        <v>2.3529411764705881E-8</v>
      </c>
      <c r="D34" s="131" t="str">
        <f>'4 Flare1'!D34</f>
        <v>lb/MMBtu</v>
      </c>
      <c r="E34" s="246" t="s">
        <v>240</v>
      </c>
      <c r="F34" s="107">
        <f t="shared" si="4"/>
        <v>8.3876470588235273E-7</v>
      </c>
      <c r="G34" s="107">
        <f t="shared" si="5"/>
        <v>3.6737894117647048E-6</v>
      </c>
      <c r="H34" s="132"/>
      <c r="I34" s="318"/>
      <c r="J34" s="318"/>
    </row>
    <row r="35" spans="1:10" s="17" customFormat="1" ht="14.25">
      <c r="A35" s="395" t="s">
        <v>54</v>
      </c>
      <c r="B35" s="105" t="s">
        <v>5</v>
      </c>
      <c r="C35" s="411">
        <f>INDEX('4 Flare1'!C:C,MATCH($A35,'4 Flare1'!$A:$A,0))</f>
        <v>1.7647058823529412E-9</v>
      </c>
      <c r="D35" s="131" t="str">
        <f>'4 Flare1'!D35</f>
        <v>lb/MMBtu</v>
      </c>
      <c r="E35" s="246" t="s">
        <v>240</v>
      </c>
      <c r="F35" s="107">
        <f t="shared" si="4"/>
        <v>6.2907352941176452E-8</v>
      </c>
      <c r="G35" s="107">
        <f t="shared" si="5"/>
        <v>2.7553420588235283E-7</v>
      </c>
      <c r="H35" s="132"/>
      <c r="I35" s="318"/>
      <c r="J35" s="318"/>
    </row>
    <row r="36" spans="1:10" s="17" customFormat="1" ht="14.25">
      <c r="A36" s="395" t="s">
        <v>55</v>
      </c>
      <c r="B36" s="105" t="s">
        <v>6</v>
      </c>
      <c r="C36" s="411">
        <f>INDEX('4 Flare1'!C:C,MATCH($A36,'4 Flare1'!$A:$A,0))</f>
        <v>1.5686274509803922E-8</v>
      </c>
      <c r="D36" s="131" t="str">
        <f>'4 Flare1'!D36</f>
        <v>lb/MMBtu</v>
      </c>
      <c r="E36" s="246" t="s">
        <v>240</v>
      </c>
      <c r="F36" s="107">
        <f t="shared" si="4"/>
        <v>5.5917647058823523E-7</v>
      </c>
      <c r="G36" s="107">
        <f t="shared" si="5"/>
        <v>2.4491929411764703E-6</v>
      </c>
      <c r="H36" s="132"/>
      <c r="I36" s="318"/>
      <c r="J36" s="318"/>
    </row>
    <row r="37" spans="1:10" s="17" customFormat="1" ht="14.25">
      <c r="A37" s="395" t="s">
        <v>287</v>
      </c>
      <c r="B37" s="105" t="s">
        <v>7</v>
      </c>
      <c r="C37" s="411">
        <f>INDEX('4 Flare1'!C:C,MATCH($A37,'4 Flare1'!$A:$A,0))</f>
        <v>1.7647058823529412E-9</v>
      </c>
      <c r="D37" s="131" t="str">
        <f>'4 Flare1'!D37</f>
        <v>lb/MMBtu</v>
      </c>
      <c r="E37" s="246" t="s">
        <v>240</v>
      </c>
      <c r="F37" s="107">
        <f t="shared" si="4"/>
        <v>6.2907352941176452E-8</v>
      </c>
      <c r="G37" s="107">
        <f t="shared" si="5"/>
        <v>2.7553420588235283E-7</v>
      </c>
      <c r="H37" s="132"/>
      <c r="I37" s="318"/>
      <c r="J37" s="318"/>
    </row>
    <row r="38" spans="1:10" s="17" customFormat="1" ht="14.25">
      <c r="A38" s="395" t="s">
        <v>286</v>
      </c>
      <c r="B38" s="105" t="s">
        <v>8</v>
      </c>
      <c r="C38" s="411">
        <f>INDEX('4 Flare1'!C:C,MATCH($A38,'4 Flare1'!$A:$A,0))</f>
        <v>1.7647058823529412E-9</v>
      </c>
      <c r="D38" s="131" t="str">
        <f>'4 Flare1'!D38</f>
        <v>lb/MMBtu</v>
      </c>
      <c r="E38" s="246" t="s">
        <v>240</v>
      </c>
      <c r="F38" s="107">
        <f t="shared" si="4"/>
        <v>6.2907352941176452E-8</v>
      </c>
      <c r="G38" s="107">
        <f t="shared" si="5"/>
        <v>2.7553420588235283E-7</v>
      </c>
      <c r="H38" s="132"/>
      <c r="I38" s="318"/>
      <c r="J38" s="318"/>
    </row>
    <row r="39" spans="1:10" s="17" customFormat="1" ht="14.25">
      <c r="A39" s="395" t="s">
        <v>288</v>
      </c>
      <c r="B39" s="105" t="s">
        <v>11</v>
      </c>
      <c r="C39" s="411">
        <f>INDEX('4 Flare1'!C:C,MATCH($A39,'4 Flare1'!$A:$A,0))</f>
        <v>2.3529411764705881E-9</v>
      </c>
      <c r="D39" s="131" t="str">
        <f>'4 Flare1'!D39</f>
        <v>lb/MMBtu</v>
      </c>
      <c r="E39" s="246" t="s">
        <v>240</v>
      </c>
      <c r="F39" s="107">
        <f t="shared" si="4"/>
        <v>8.3876470588235279E-8</v>
      </c>
      <c r="G39" s="107">
        <f t="shared" si="5"/>
        <v>3.6737894117647055E-7</v>
      </c>
      <c r="H39" s="132"/>
      <c r="I39" s="318"/>
      <c r="J39" s="318"/>
    </row>
    <row r="40" spans="1:10" s="17" customFormat="1" ht="14.25">
      <c r="A40" s="395" t="s">
        <v>58</v>
      </c>
      <c r="B40" s="105" t="s">
        <v>83</v>
      </c>
      <c r="C40" s="411">
        <f>INDEX('4 Flare1'!C:C,MATCH($A40,'4 Flare1'!$A:$A,0))</f>
        <v>1.7647058823529412E-9</v>
      </c>
      <c r="D40" s="131" t="str">
        <f>'4 Flare1'!D40</f>
        <v>lb/MMBtu</v>
      </c>
      <c r="E40" s="246" t="s">
        <v>240</v>
      </c>
      <c r="F40" s="107">
        <f t="shared" si="4"/>
        <v>6.2907352941176452E-8</v>
      </c>
      <c r="G40" s="107">
        <f t="shared" si="5"/>
        <v>2.7553420588235283E-7</v>
      </c>
      <c r="H40" s="132"/>
      <c r="I40" s="318"/>
      <c r="J40" s="318"/>
    </row>
    <row r="41" spans="1:10" s="17" customFormat="1" ht="14.25">
      <c r="A41" s="395" t="s">
        <v>60</v>
      </c>
      <c r="B41" s="105" t="s">
        <v>13</v>
      </c>
      <c r="C41" s="411">
        <f>INDEX('4 Flare1'!C:C,MATCH($A41,'4 Flare1'!$A:$A,0))</f>
        <v>1.176470588235294E-9</v>
      </c>
      <c r="D41" s="131" t="str">
        <f>'4 Flare1'!D42</f>
        <v>lb/MMBtu</v>
      </c>
      <c r="E41" s="246" t="s">
        <v>240</v>
      </c>
      <c r="F41" s="107">
        <f t="shared" si="4"/>
        <v>4.1938235294117639E-8</v>
      </c>
      <c r="G41" s="107">
        <f t="shared" si="5"/>
        <v>1.8368947058823527E-7</v>
      </c>
      <c r="H41" s="132"/>
      <c r="I41" s="318"/>
      <c r="J41" s="318"/>
    </row>
    <row r="42" spans="1:10" s="17" customFormat="1" ht="14.25">
      <c r="A42" s="395" t="s">
        <v>61</v>
      </c>
      <c r="B42" s="105" t="s">
        <v>14</v>
      </c>
      <c r="C42" s="411">
        <f>INDEX('4 Flare1'!C:C,MATCH($A42,'4 Flare1'!$A:$A,0))</f>
        <v>1.7647058823529412E-9</v>
      </c>
      <c r="D42" s="131" t="str">
        <f>'4 Flare1'!D43</f>
        <v>lb/MMBtu</v>
      </c>
      <c r="E42" s="246" t="s">
        <v>240</v>
      </c>
      <c r="F42" s="107">
        <f t="shared" si="4"/>
        <v>6.2907352941176452E-8</v>
      </c>
      <c r="G42" s="107">
        <f t="shared" si="5"/>
        <v>2.7553420588235283E-7</v>
      </c>
      <c r="H42" s="132"/>
      <c r="I42" s="318"/>
      <c r="J42" s="318"/>
    </row>
    <row r="43" spans="1:10" s="17" customFormat="1" ht="14.25">
      <c r="A43" s="395" t="s">
        <v>289</v>
      </c>
      <c r="B43" s="105" t="s">
        <v>15</v>
      </c>
      <c r="C43" s="411">
        <f>INDEX('4 Flare1'!C:C,MATCH($A43,'4 Flare1'!$A:$A,0))</f>
        <v>1.176470588235294E-9</v>
      </c>
      <c r="D43" s="131" t="str">
        <f>'4 Flare1'!D44</f>
        <v>lb/MMBtu</v>
      </c>
      <c r="E43" s="246" t="s">
        <v>240</v>
      </c>
      <c r="F43" s="107">
        <f t="shared" si="4"/>
        <v>4.1938235294117639E-8</v>
      </c>
      <c r="G43" s="107">
        <f t="shared" si="5"/>
        <v>1.8368947058823527E-7</v>
      </c>
      <c r="H43" s="132"/>
      <c r="I43" s="318"/>
      <c r="J43" s="318"/>
    </row>
    <row r="44" spans="1:10" s="17" customFormat="1" ht="14.25">
      <c r="A44" s="395" t="s">
        <v>62</v>
      </c>
      <c r="B44" s="105" t="s">
        <v>16</v>
      </c>
      <c r="C44" s="411">
        <f>INDEX('4 Flare1'!C:C,MATCH($A44,'4 Flare1'!$A:$A,0))</f>
        <v>1.7647058823529412E-9</v>
      </c>
      <c r="D44" s="131" t="str">
        <f>'4 Flare1'!D45</f>
        <v>lb/MMBtu</v>
      </c>
      <c r="E44" s="246" t="s">
        <v>240</v>
      </c>
      <c r="F44" s="107">
        <f t="shared" si="4"/>
        <v>6.2907352941176452E-8</v>
      </c>
      <c r="G44" s="107">
        <f t="shared" si="5"/>
        <v>2.7553420588235283E-7</v>
      </c>
      <c r="H44" s="132"/>
      <c r="I44" s="318"/>
      <c r="J44" s="318"/>
    </row>
    <row r="45" spans="1:10" s="17" customFormat="1" ht="14.25">
      <c r="A45" s="395" t="s">
        <v>63</v>
      </c>
      <c r="B45" s="109" t="s">
        <v>17</v>
      </c>
      <c r="C45" s="411">
        <f>INDEX('4 Flare1'!C:C,MATCH($A45,'4 Flare1'!$A:$A,0))</f>
        <v>1.7647058823529412E-9</v>
      </c>
      <c r="D45" s="131" t="str">
        <f>'4 Flare1'!D46</f>
        <v>lb/MMBtu</v>
      </c>
      <c r="E45" s="246" t="s">
        <v>240</v>
      </c>
      <c r="F45" s="107">
        <f t="shared" si="4"/>
        <v>6.2907352941176452E-8</v>
      </c>
      <c r="G45" s="107">
        <f t="shared" si="5"/>
        <v>2.7553420588235283E-7</v>
      </c>
      <c r="H45" s="132"/>
      <c r="I45" s="318"/>
      <c r="J45" s="318"/>
    </row>
    <row r="46" spans="1:10" s="17" customFormat="1" ht="14.25">
      <c r="A46" s="395" t="s">
        <v>64</v>
      </c>
      <c r="B46" s="109" t="s">
        <v>84</v>
      </c>
      <c r="C46" s="411">
        <f>INDEX('4 Flare1'!C:C,MATCH($A46,'4 Flare1'!$A:$A,0))</f>
        <v>1.176470588235294E-9</v>
      </c>
      <c r="D46" s="131" t="str">
        <f>'4 Flare1'!D47</f>
        <v>lb/MMBtu</v>
      </c>
      <c r="E46" s="246" t="s">
        <v>240</v>
      </c>
      <c r="F46" s="107">
        <f t="shared" si="4"/>
        <v>4.1938235294117639E-8</v>
      </c>
      <c r="G46" s="107">
        <f t="shared" si="5"/>
        <v>1.8368947058823527E-7</v>
      </c>
      <c r="H46" s="132"/>
      <c r="I46" s="318"/>
      <c r="J46" s="318"/>
    </row>
    <row r="47" spans="1:10" s="17" customFormat="1" ht="14.25">
      <c r="A47" s="395" t="s">
        <v>151</v>
      </c>
      <c r="B47" s="109" t="s">
        <v>283</v>
      </c>
      <c r="C47" s="411">
        <f>INDEX('4 Flare1'!C:C,MATCH($A47,'4 Flare1'!$A:$A,0))</f>
        <v>1.176470588235294E-6</v>
      </c>
      <c r="D47" s="131" t="str">
        <f>'4 Flare1'!D41</f>
        <v>lb/MMBtu</v>
      </c>
      <c r="E47" s="246" t="s">
        <v>240</v>
      </c>
      <c r="F47" s="107">
        <f t="shared" si="4"/>
        <v>4.1938235294117636E-5</v>
      </c>
      <c r="G47" s="107">
        <f t="shared" si="5"/>
        <v>1.8368947058823522E-4</v>
      </c>
      <c r="H47" s="132"/>
      <c r="I47" s="318"/>
      <c r="J47" s="318"/>
    </row>
    <row r="48" spans="1:10" s="17" customFormat="1" ht="14.25">
      <c r="A48" s="396" t="s">
        <v>291</v>
      </c>
      <c r="B48" s="109" t="s">
        <v>20</v>
      </c>
      <c r="C48" s="411">
        <f>INDEX('4 Flare1'!C:C,MATCH($A48,'4 Flare1'!$A:$A,0))</f>
        <v>2.9411764705882352E-9</v>
      </c>
      <c r="D48" s="131" t="str">
        <f>'4 Flare1'!D48</f>
        <v>lb/MMBtu</v>
      </c>
      <c r="E48" s="246" t="s">
        <v>240</v>
      </c>
      <c r="F48" s="107">
        <f t="shared" ref="F48:F59" si="6">C48*$D$67</f>
        <v>1.0484558823529409E-7</v>
      </c>
      <c r="G48" s="107">
        <f t="shared" ref="G48:G59" si="7">C48*$D$67*$D$68/2000</f>
        <v>4.5922367647058811E-7</v>
      </c>
      <c r="H48" s="132"/>
      <c r="I48" s="318"/>
      <c r="J48" s="318"/>
    </row>
    <row r="49" spans="1:10" s="17" customFormat="1" ht="14.25">
      <c r="A49" s="396" t="s">
        <v>292</v>
      </c>
      <c r="B49" s="109" t="s">
        <v>21</v>
      </c>
      <c r="C49" s="411">
        <f>INDEX('4 Flare1'!C:C,MATCH($A49,'4 Flare1'!$A:$A,0))</f>
        <v>2.7450980392156863E-9</v>
      </c>
      <c r="D49" s="131" t="str">
        <f>'4 Flare1'!D49</f>
        <v>lb/MMBtu</v>
      </c>
      <c r="E49" s="246" t="s">
        <v>240</v>
      </c>
      <c r="F49" s="107">
        <f t="shared" si="6"/>
        <v>9.7855882352941154E-8</v>
      </c>
      <c r="G49" s="107">
        <f t="shared" si="7"/>
        <v>4.2860876470588225E-7</v>
      </c>
      <c r="H49" s="132"/>
      <c r="I49" s="318"/>
      <c r="J49" s="318"/>
    </row>
    <row r="50" spans="1:10" ht="14.25">
      <c r="A50" s="396" t="s">
        <v>66</v>
      </c>
      <c r="B50" s="109" t="s">
        <v>52</v>
      </c>
      <c r="C50" s="411">
        <f>INDEX('4 Flare1'!C:C,MATCH($A50,'4 Flare1'!$A:$A,0))</f>
        <v>1.7647058823529412E-9</v>
      </c>
      <c r="D50" s="131" t="str">
        <f>'4 Flare1'!D50</f>
        <v>lb/MMBtu</v>
      </c>
      <c r="E50" s="246" t="s">
        <v>240</v>
      </c>
      <c r="F50" s="107">
        <f t="shared" si="6"/>
        <v>6.2907352941176452E-8</v>
      </c>
      <c r="G50" s="107">
        <f t="shared" si="7"/>
        <v>2.7553420588235283E-7</v>
      </c>
      <c r="H50" s="132"/>
    </row>
    <row r="51" spans="1:10" ht="14.25">
      <c r="A51" s="396" t="s">
        <v>67</v>
      </c>
      <c r="B51" s="109" t="s">
        <v>24</v>
      </c>
      <c r="C51" s="411">
        <f>INDEX('4 Flare1'!C:C,MATCH($A51,'4 Flare1'!$A:$A,0))</f>
        <v>5.9803921568627444E-7</v>
      </c>
      <c r="D51" s="131" t="str">
        <f>'4 Flare1'!D51</f>
        <v>lb/MMBtu</v>
      </c>
      <c r="E51" s="246" t="s">
        <v>240</v>
      </c>
      <c r="F51" s="107">
        <f t="shared" si="6"/>
        <v>2.1318602941176463E-5</v>
      </c>
      <c r="G51" s="107">
        <f t="shared" si="7"/>
        <v>9.3375480882352906E-5</v>
      </c>
      <c r="H51" s="132"/>
    </row>
    <row r="52" spans="1:10" ht="14.25">
      <c r="A52" s="396" t="s">
        <v>294</v>
      </c>
      <c r="B52" s="109" t="s">
        <v>85</v>
      </c>
      <c r="C52" s="411">
        <f>INDEX('4 Flare1'!C:C,MATCH($A52,'4 Flare1'!$A:$A,0))</f>
        <v>1.6666666666666667E-8</v>
      </c>
      <c r="D52" s="131" t="str">
        <f>'4 Flare1'!D52</f>
        <v>lb/MMBtu</v>
      </c>
      <c r="E52" s="246" t="s">
        <v>240</v>
      </c>
      <c r="F52" s="107">
        <f t="shared" si="6"/>
        <v>5.941249999999999E-7</v>
      </c>
      <c r="G52" s="107">
        <f t="shared" si="7"/>
        <v>2.6022674999999995E-6</v>
      </c>
      <c r="H52" s="132"/>
    </row>
    <row r="53" spans="1:10" ht="14.25">
      <c r="A53" s="396" t="s">
        <v>295</v>
      </c>
      <c r="B53" s="109" t="s">
        <v>26</v>
      </c>
      <c r="C53" s="411">
        <f>INDEX('4 Flare1'!C:C,MATCH($A53,'4 Flare1'!$A:$A,0))</f>
        <v>4.9019607843137263E-9</v>
      </c>
      <c r="D53" s="131" t="str">
        <f>'4 Flare1'!D53</f>
        <v>lb/MMBtu</v>
      </c>
      <c r="E53" s="246" t="s">
        <v>240</v>
      </c>
      <c r="F53" s="107">
        <f t="shared" si="6"/>
        <v>1.7474264705882353E-7</v>
      </c>
      <c r="G53" s="107">
        <f t="shared" si="7"/>
        <v>7.6537279411764716E-7</v>
      </c>
      <c r="H53" s="132"/>
    </row>
    <row r="54" spans="1:10" s="17" customFormat="1" ht="14.25">
      <c r="A54" s="395" t="s">
        <v>68</v>
      </c>
      <c r="B54" s="83" t="s">
        <v>51</v>
      </c>
      <c r="C54" s="129">
        <f>INDEX('4 Flare1'!C:C,MATCH($A54,'4 Flare1'!$A:$A,0))</f>
        <v>5.1960784313725495E-4</v>
      </c>
      <c r="D54" s="122" t="str">
        <f>'4 Flare1'!D54</f>
        <v>lb/MMBtu</v>
      </c>
      <c r="E54" s="246" t="s">
        <v>235</v>
      </c>
      <c r="F54" s="90">
        <f>C54*$D$67</f>
        <v>1.8522720588235293E-2</v>
      </c>
      <c r="G54" s="90">
        <f>C54*$D$67*$D$68/2000</f>
        <v>8.1129516176470587E-2</v>
      </c>
      <c r="H54" s="126"/>
      <c r="I54" s="318"/>
      <c r="J54" s="318"/>
    </row>
    <row r="55" spans="1:10" ht="14.25">
      <c r="A55" s="396" t="s">
        <v>304</v>
      </c>
      <c r="B55" s="83" t="s">
        <v>41</v>
      </c>
      <c r="C55" s="411">
        <f>INDEX('4 Flare1'!C:C,MATCH($A55,'4 Flare1'!$A:$A,0))</f>
        <v>2.3529411764705881E-8</v>
      </c>
      <c r="D55" s="122" t="str">
        <f>'4 Flare1'!D55</f>
        <v>lb/MMBtu</v>
      </c>
      <c r="E55" s="246" t="s">
        <v>239</v>
      </c>
      <c r="F55" s="90">
        <f t="shared" si="6"/>
        <v>8.3876470588235273E-7</v>
      </c>
      <c r="G55" s="90">
        <f t="shared" si="7"/>
        <v>3.6737894117647048E-6</v>
      </c>
      <c r="H55" s="126"/>
    </row>
    <row r="56" spans="1:10" ht="14.25">
      <c r="A56" s="396" t="s">
        <v>303</v>
      </c>
      <c r="B56" s="83" t="s">
        <v>27</v>
      </c>
      <c r="C56" s="129">
        <f>$D$84/(453.6*10^6)/35.31*10^6/$D$85*(1-$D$74)</f>
        <v>1.468117677522642E-6</v>
      </c>
      <c r="D56" s="122" t="str">
        <f>'4 Flare1'!D56</f>
        <v>lb/MMBtu</v>
      </c>
      <c r="E56" s="246" t="s">
        <v>240</v>
      </c>
      <c r="F56" s="90">
        <f t="shared" si="6"/>
        <v>5.2334724909488371E-5</v>
      </c>
      <c r="G56" s="90">
        <f t="shared" si="7"/>
        <v>2.2922609510355908E-4</v>
      </c>
      <c r="H56" s="126"/>
    </row>
    <row r="57" spans="1:10" ht="14.25">
      <c r="A57" s="396" t="s">
        <v>72</v>
      </c>
      <c r="B57" s="83" t="s">
        <v>42</v>
      </c>
      <c r="C57" s="411">
        <f>INDEX('4 Flare1'!C:C,MATCH($A57,'4 Flare1'!$A:$A,0))</f>
        <v>2.2549019607843137E-6</v>
      </c>
      <c r="D57" s="122" t="str">
        <f>'4 Flare1'!D57</f>
        <v>lb/MMBtu</v>
      </c>
      <c r="E57" s="246" t="s">
        <v>239</v>
      </c>
      <c r="F57" s="90">
        <f t="shared" si="6"/>
        <v>8.0381617647058812E-5</v>
      </c>
      <c r="G57" s="90">
        <f t="shared" si="7"/>
        <v>3.5207148529411758E-4</v>
      </c>
      <c r="H57" s="126"/>
    </row>
    <row r="58" spans="1:10" ht="14.25">
      <c r="A58" s="396" t="s">
        <v>147</v>
      </c>
      <c r="B58" s="83" t="s">
        <v>140</v>
      </c>
      <c r="C58" s="129">
        <f>D82/(453.6*10^6)/35.31*10^6/$D$85*(1-$D$74)</f>
        <v>5.6325448639584649E-7</v>
      </c>
      <c r="D58" s="122" t="str">
        <f>'4 Flare1'!D58</f>
        <v>lb/MMBtu</v>
      </c>
      <c r="E58" s="243" t="s">
        <v>219</v>
      </c>
      <c r="F58" s="90">
        <f t="shared" si="6"/>
        <v>2.0078614303795935E-5</v>
      </c>
      <c r="G58" s="90">
        <f t="shared" si="7"/>
        <v>8.7944330650626193E-5</v>
      </c>
      <c r="H58" s="126"/>
    </row>
    <row r="59" spans="1:10" ht="14.25">
      <c r="A59" s="396" t="s">
        <v>146</v>
      </c>
      <c r="B59" s="83" t="s">
        <v>141</v>
      </c>
      <c r="C59" s="129">
        <f>D83/(453.6*10^6)/35.31*10^6/$D$85*(1-$D$74)</f>
        <v>9.4256582409041224E-8</v>
      </c>
      <c r="D59" s="122" t="str">
        <f>'4 Flare1'!D59</f>
        <v>lb/MMBtu</v>
      </c>
      <c r="E59" s="243" t="s">
        <v>219</v>
      </c>
      <c r="F59" s="90">
        <f t="shared" si="6"/>
        <v>3.3600115214262966E-6</v>
      </c>
      <c r="G59" s="90">
        <f t="shared" si="7"/>
        <v>1.471685046384718E-5</v>
      </c>
      <c r="H59" s="126"/>
    </row>
    <row r="60" spans="1:10" ht="14.25">
      <c r="A60" s="396" t="s">
        <v>301</v>
      </c>
      <c r="B60" s="111" t="s">
        <v>49</v>
      </c>
      <c r="C60" s="133"/>
      <c r="D60" s="112"/>
      <c r="E60" s="303"/>
      <c r="F60" s="119">
        <f>SUM(F14:F33,F54:F59)-SUM(F23,F57,F27,F31,F54,F16)</f>
        <v>6.6336384676226656E-2</v>
      </c>
      <c r="G60" s="134">
        <f>SUM(G14:G33,G54:G59)-SUM(G23,G57,G27,G31,G54,G16)</f>
        <v>0.290553364881873</v>
      </c>
      <c r="H60" s="135"/>
    </row>
    <row r="61" spans="1:10" s="166" customFormat="1" ht="6">
      <c r="A61" s="397"/>
      <c r="B61" s="422"/>
      <c r="C61" s="422"/>
      <c r="D61" s="422"/>
      <c r="E61" s="423"/>
      <c r="F61" s="423"/>
      <c r="G61" s="422"/>
      <c r="H61" s="422"/>
      <c r="I61" s="424"/>
      <c r="J61" s="424"/>
    </row>
    <row r="62" spans="1:10">
      <c r="B62" s="7" t="s">
        <v>86</v>
      </c>
      <c r="C62" s="7"/>
      <c r="D62" s="7"/>
      <c r="G62" s="7"/>
      <c r="H62" s="7"/>
    </row>
    <row r="63" spans="1:10" ht="14.25">
      <c r="B63" s="581" t="s">
        <v>221</v>
      </c>
      <c r="C63" s="581"/>
      <c r="D63" s="581"/>
      <c r="E63" s="581"/>
      <c r="F63" s="581"/>
      <c r="G63" s="581"/>
      <c r="H63" s="55" t="s">
        <v>110</v>
      </c>
    </row>
    <row r="64" spans="1:10">
      <c r="B64" s="581"/>
      <c r="C64" s="581"/>
      <c r="D64" s="581"/>
      <c r="E64" s="581"/>
      <c r="F64" s="581"/>
      <c r="G64" s="581"/>
      <c r="H64" s="412"/>
    </row>
    <row r="65" spans="1:10" ht="14.1" customHeight="1">
      <c r="A65" s="23"/>
      <c r="B65" s="580" t="s">
        <v>215</v>
      </c>
      <c r="C65" s="580"/>
      <c r="D65" s="580"/>
      <c r="E65" s="580"/>
      <c r="F65" s="580"/>
      <c r="G65" s="580"/>
      <c r="H65" s="55" t="s">
        <v>110</v>
      </c>
    </row>
    <row r="66" spans="1:10" ht="14.1" customHeight="1">
      <c r="A66" s="23"/>
      <c r="B66" s="580"/>
      <c r="C66" s="580"/>
      <c r="D66" s="580"/>
      <c r="E66" s="580"/>
      <c r="F66" s="580"/>
      <c r="G66" s="580"/>
      <c r="H66" s="413"/>
    </row>
    <row r="67" spans="1:10" s="17" customFormat="1" ht="14.25">
      <c r="A67" s="23"/>
      <c r="B67" s="318"/>
      <c r="C67" s="42" t="s">
        <v>170</v>
      </c>
      <c r="D67" s="43">
        <f>'1 Rates'!B21</f>
        <v>35.647499999999994</v>
      </c>
      <c r="E67" s="299" t="s">
        <v>241</v>
      </c>
      <c r="F67" s="4"/>
      <c r="G67" s="42"/>
      <c r="H67" s="42"/>
      <c r="I67" s="318"/>
      <c r="J67" s="318"/>
    </row>
    <row r="68" spans="1:10" s="17" customFormat="1" ht="14.25">
      <c r="A68" s="23"/>
      <c r="B68" s="318"/>
      <c r="C68" s="44" t="s">
        <v>87</v>
      </c>
      <c r="D68" s="45">
        <f>'1 Rates'!D20</f>
        <v>8760</v>
      </c>
      <c r="E68" s="299" t="s">
        <v>241</v>
      </c>
      <c r="F68" s="4"/>
      <c r="G68" s="44"/>
      <c r="H68" s="44"/>
      <c r="I68" s="318"/>
      <c r="J68" s="318"/>
    </row>
    <row r="69" spans="1:10" s="17" customFormat="1" ht="14.25">
      <c r="A69" s="23"/>
      <c r="B69" s="318"/>
      <c r="C69" s="42" t="s">
        <v>171</v>
      </c>
      <c r="D69" s="43">
        <f>'1 Rates'!$B$20</f>
        <v>40416.666666666664</v>
      </c>
      <c r="E69" s="299" t="s">
        <v>241</v>
      </c>
      <c r="F69" s="4"/>
      <c r="G69" s="44"/>
      <c r="H69" s="44"/>
      <c r="I69" s="318"/>
      <c r="J69" s="318"/>
    </row>
    <row r="70" spans="1:10" s="17" customFormat="1" ht="14.25">
      <c r="A70" s="23"/>
      <c r="B70" s="580" t="s">
        <v>222</v>
      </c>
      <c r="C70" s="580"/>
      <c r="D70" s="580"/>
      <c r="E70" s="580"/>
      <c r="F70" s="580"/>
      <c r="G70" s="580"/>
      <c r="H70" s="55" t="s">
        <v>110</v>
      </c>
      <c r="I70" s="318"/>
      <c r="J70" s="318"/>
    </row>
    <row r="71" spans="1:10" s="17" customFormat="1" ht="14.25">
      <c r="A71" s="23"/>
      <c r="B71" s="580"/>
      <c r="C71" s="580"/>
      <c r="D71" s="580"/>
      <c r="E71" s="580"/>
      <c r="F71" s="580"/>
      <c r="G71" s="580"/>
      <c r="H71" s="55" t="s">
        <v>110</v>
      </c>
      <c r="I71" s="318"/>
      <c r="J71" s="318"/>
    </row>
    <row r="72" spans="1:10" s="17" customFormat="1" ht="14.25">
      <c r="A72" s="23"/>
      <c r="B72" s="318"/>
      <c r="C72" s="59" t="s">
        <v>121</v>
      </c>
      <c r="D72" s="50">
        <f>'2 Gas Data'!F8</f>
        <v>9.7307698556057434E-2</v>
      </c>
      <c r="E72" s="299" t="s">
        <v>284</v>
      </c>
      <c r="F72" s="413"/>
      <c r="G72" s="413"/>
      <c r="H72" s="413"/>
      <c r="I72" s="318"/>
      <c r="J72" s="318"/>
    </row>
    <row r="73" spans="1:10" s="17" customFormat="1" ht="14.25">
      <c r="A73" s="23"/>
      <c r="B73" s="318"/>
      <c r="C73" s="152" t="s">
        <v>174</v>
      </c>
      <c r="D73" s="54">
        <f>'2 Gas Data'!F9</f>
        <v>249.93794879712377</v>
      </c>
      <c r="E73" s="299" t="s">
        <v>284</v>
      </c>
      <c r="F73" s="416"/>
      <c r="G73" s="49"/>
      <c r="H73" s="49"/>
      <c r="I73" s="318"/>
      <c r="J73" s="318"/>
    </row>
    <row r="74" spans="1:10" s="17" customFormat="1" ht="14.25">
      <c r="A74" s="23"/>
      <c r="B74" s="318"/>
      <c r="C74" s="152" t="s">
        <v>156</v>
      </c>
      <c r="D74" s="53">
        <f>'4 Flare1'!$D$74</f>
        <v>0.99</v>
      </c>
      <c r="E74" s="299" t="s">
        <v>234</v>
      </c>
      <c r="F74" s="416"/>
      <c r="G74" s="49"/>
      <c r="H74" s="49"/>
      <c r="I74" s="318"/>
      <c r="J74" s="318"/>
    </row>
    <row r="75" spans="1:10" s="17" customFormat="1" ht="14.25">
      <c r="A75" s="23"/>
      <c r="B75" s="565" t="s">
        <v>223</v>
      </c>
      <c r="C75" s="565"/>
      <c r="D75" s="565"/>
      <c r="E75" s="565"/>
      <c r="F75" s="565"/>
      <c r="G75" s="565"/>
      <c r="H75" s="55" t="s">
        <v>110</v>
      </c>
      <c r="I75" s="235"/>
      <c r="J75" s="235"/>
    </row>
    <row r="76" spans="1:10" s="17" customFormat="1" ht="14.25">
      <c r="A76" s="23"/>
      <c r="B76" s="565"/>
      <c r="C76" s="565"/>
      <c r="D76" s="565"/>
      <c r="E76" s="565"/>
      <c r="F76" s="565"/>
      <c r="G76" s="565"/>
      <c r="H76" s="55" t="s">
        <v>110</v>
      </c>
      <c r="I76" s="235"/>
      <c r="J76" s="235"/>
    </row>
    <row r="77" spans="1:10" s="17" customFormat="1" ht="14.25">
      <c r="A77" s="81"/>
      <c r="B77" s="318"/>
      <c r="C77" s="9" t="s">
        <v>173</v>
      </c>
      <c r="D77" s="58">
        <f>'2 Gas Data'!F10</f>
        <v>0.24189374112487722</v>
      </c>
      <c r="E77" s="299" t="s">
        <v>284</v>
      </c>
      <c r="F77" s="48"/>
      <c r="G77" s="413"/>
      <c r="H77" s="413"/>
      <c r="I77" s="235"/>
      <c r="J77" s="235"/>
    </row>
    <row r="78" spans="1:10" s="17" customFormat="1" ht="14.25">
      <c r="A78" s="81"/>
      <c r="B78" s="565" t="s">
        <v>250</v>
      </c>
      <c r="C78" s="565"/>
      <c r="D78" s="565"/>
      <c r="E78" s="565"/>
      <c r="F78" s="565"/>
      <c r="G78" s="565"/>
      <c r="H78" s="55" t="s">
        <v>110</v>
      </c>
      <c r="I78" s="235"/>
      <c r="J78" s="235"/>
    </row>
    <row r="79" spans="1:10" s="17" customFormat="1" ht="14.25" customHeight="1">
      <c r="A79" s="81"/>
      <c r="B79" s="565"/>
      <c r="C79" s="565"/>
      <c r="D79" s="565"/>
      <c r="E79" s="565"/>
      <c r="F79" s="565"/>
      <c r="G79" s="565"/>
      <c r="H79" s="55" t="s">
        <v>110</v>
      </c>
      <c r="I79" s="235"/>
      <c r="J79" s="235"/>
    </row>
    <row r="80" spans="1:10" ht="14.25">
      <c r="B80" s="318"/>
      <c r="C80" s="150" t="s">
        <v>177</v>
      </c>
      <c r="D80" s="151">
        <f>'2 Gas Data'!$F$11</f>
        <v>2980</v>
      </c>
      <c r="E80" s="299" t="s">
        <v>284</v>
      </c>
      <c r="F80" s="48"/>
      <c r="G80" s="413"/>
      <c r="H80" s="413"/>
      <c r="I80" s="235"/>
      <c r="J80" s="235"/>
    </row>
    <row r="81" spans="1:10" ht="14.25">
      <c r="B81" s="318"/>
      <c r="C81" s="150" t="s">
        <v>178</v>
      </c>
      <c r="D81" s="151">
        <f>'2 Gas Data'!$F$12</f>
        <v>144</v>
      </c>
      <c r="E81" s="299" t="s">
        <v>284</v>
      </c>
      <c r="F81" s="48"/>
      <c r="G81" s="413"/>
      <c r="H81" s="413"/>
      <c r="I81" s="235"/>
      <c r="J81" s="235"/>
    </row>
    <row r="82" spans="1:10" ht="14.25">
      <c r="B82" s="318"/>
      <c r="C82" s="150" t="s">
        <v>179</v>
      </c>
      <c r="D82" s="151">
        <f>'2 Gas Data'!$F$13</f>
        <v>986</v>
      </c>
      <c r="E82" s="299" t="s">
        <v>284</v>
      </c>
      <c r="F82" s="48"/>
      <c r="G82" s="413"/>
      <c r="H82" s="413"/>
      <c r="I82" s="235"/>
      <c r="J82" s="235"/>
    </row>
    <row r="83" spans="1:10" ht="14.25">
      <c r="B83" s="318"/>
      <c r="C83" s="150" t="s">
        <v>180</v>
      </c>
      <c r="D83" s="151">
        <f>'2 Gas Data'!$F$14</f>
        <v>165</v>
      </c>
      <c r="E83" s="299" t="s">
        <v>284</v>
      </c>
      <c r="F83" s="48"/>
      <c r="G83" s="413"/>
      <c r="H83" s="413"/>
      <c r="I83" s="235"/>
      <c r="J83" s="235"/>
    </row>
    <row r="84" spans="1:10" ht="14.25">
      <c r="B84" s="318"/>
      <c r="C84" s="150" t="s">
        <v>181</v>
      </c>
      <c r="D84" s="151">
        <f>'2 Gas Data'!$F$15</f>
        <v>2570</v>
      </c>
      <c r="E84" s="299" t="s">
        <v>284</v>
      </c>
      <c r="F84" s="48"/>
      <c r="G84" s="413"/>
      <c r="H84" s="413"/>
      <c r="I84" s="235"/>
      <c r="J84" s="235"/>
    </row>
    <row r="85" spans="1:10" ht="14.25">
      <c r="B85" s="4"/>
      <c r="C85" s="152" t="s">
        <v>182</v>
      </c>
      <c r="D85" s="10">
        <f>'2 Gas Data'!$B$7</f>
        <v>1092.953013546987</v>
      </c>
      <c r="E85" s="299" t="s">
        <v>284</v>
      </c>
      <c r="F85" s="431"/>
      <c r="G85" s="79"/>
      <c r="H85" s="79"/>
      <c r="I85" s="235"/>
      <c r="J85" s="235"/>
    </row>
    <row r="86" spans="1:10" ht="14.25">
      <c r="B86" s="580" t="s">
        <v>224</v>
      </c>
      <c r="C86" s="580"/>
      <c r="D86" s="580"/>
      <c r="E86" s="580"/>
      <c r="F86" s="580"/>
      <c r="G86" s="580"/>
      <c r="H86" s="55" t="s">
        <v>110</v>
      </c>
      <c r="I86" s="235"/>
      <c r="J86" s="235"/>
    </row>
    <row r="87" spans="1:10" ht="14.25">
      <c r="B87" s="580"/>
      <c r="C87" s="580"/>
      <c r="D87" s="580"/>
      <c r="E87" s="580"/>
      <c r="F87" s="580"/>
      <c r="G87" s="580"/>
      <c r="H87" s="55" t="s">
        <v>110</v>
      </c>
      <c r="I87" s="46"/>
      <c r="J87" s="46"/>
    </row>
    <row r="88" spans="1:10" s="166" customFormat="1" ht="6">
      <c r="A88" s="397"/>
      <c r="B88" s="167"/>
      <c r="C88" s="167"/>
      <c r="D88" s="167"/>
      <c r="E88" s="167"/>
      <c r="F88" s="167"/>
      <c r="G88" s="167"/>
      <c r="H88" s="170"/>
      <c r="I88" s="170"/>
      <c r="J88" s="170"/>
    </row>
    <row r="89" spans="1:10">
      <c r="B89" s="46" t="s">
        <v>32</v>
      </c>
      <c r="C89" s="46"/>
      <c r="D89" s="46"/>
      <c r="E89" s="47"/>
      <c r="F89" s="47"/>
      <c r="G89" s="46"/>
      <c r="H89" s="318"/>
      <c r="I89" s="235"/>
      <c r="J89" s="235"/>
    </row>
    <row r="90" spans="1:10" ht="12" customHeight="1">
      <c r="B90" s="565" t="s">
        <v>236</v>
      </c>
      <c r="C90" s="565"/>
      <c r="D90" s="565"/>
      <c r="E90" s="565"/>
      <c r="F90" s="565"/>
      <c r="G90" s="565"/>
      <c r="H90" s="55" t="s">
        <v>110</v>
      </c>
      <c r="I90" s="235"/>
      <c r="J90" s="235"/>
    </row>
    <row r="91" spans="1:10">
      <c r="B91" s="565"/>
      <c r="C91" s="565"/>
      <c r="D91" s="565"/>
      <c r="E91" s="565"/>
      <c r="F91" s="565"/>
      <c r="G91" s="565"/>
      <c r="H91" s="318"/>
      <c r="I91" s="235"/>
      <c r="J91" s="235"/>
    </row>
    <row r="92" spans="1:10">
      <c r="B92" s="565"/>
      <c r="C92" s="565"/>
      <c r="D92" s="565"/>
      <c r="E92" s="565"/>
      <c r="F92" s="565"/>
      <c r="G92" s="565"/>
      <c r="H92" s="318"/>
      <c r="I92" s="235"/>
      <c r="J92" s="235"/>
    </row>
    <row r="93" spans="1:10">
      <c r="B93" s="565"/>
      <c r="C93" s="565"/>
      <c r="D93" s="565"/>
      <c r="E93" s="565"/>
      <c r="F93" s="565"/>
      <c r="G93" s="565"/>
      <c r="H93" s="318"/>
      <c r="I93" s="235"/>
      <c r="J93" s="235"/>
    </row>
    <row r="94" spans="1:10" ht="12" customHeight="1">
      <c r="B94" s="565" t="s">
        <v>237</v>
      </c>
      <c r="C94" s="565"/>
      <c r="D94" s="565"/>
      <c r="E94" s="565"/>
      <c r="F94" s="565"/>
      <c r="G94" s="565"/>
      <c r="H94" s="55" t="s">
        <v>110</v>
      </c>
      <c r="I94" s="235"/>
      <c r="J94" s="235"/>
    </row>
    <row r="95" spans="1:10" s="324" customFormat="1" ht="14.25">
      <c r="A95" s="81"/>
      <c r="B95" s="566" t="s">
        <v>366</v>
      </c>
      <c r="C95" s="566"/>
      <c r="D95" s="566"/>
      <c r="E95" s="566"/>
      <c r="F95" s="566"/>
      <c r="G95" s="566"/>
      <c r="H95" s="55" t="s">
        <v>110</v>
      </c>
    </row>
    <row r="96" spans="1:10" s="324" customFormat="1">
      <c r="A96" s="81"/>
      <c r="B96" s="566"/>
      <c r="C96" s="566"/>
      <c r="D96" s="566"/>
      <c r="E96" s="566"/>
      <c r="F96" s="566"/>
      <c r="G96" s="566"/>
    </row>
    <row r="97" spans="1:10" s="324" customFormat="1">
      <c r="A97" s="81"/>
      <c r="B97" s="566"/>
      <c r="C97" s="566"/>
      <c r="D97" s="566"/>
      <c r="E97" s="566"/>
      <c r="F97" s="566"/>
      <c r="G97" s="566"/>
    </row>
    <row r="98" spans="1:10" ht="12" customHeight="1">
      <c r="B98" s="566" t="s">
        <v>355</v>
      </c>
      <c r="C98" s="565"/>
      <c r="D98" s="565"/>
      <c r="E98" s="565"/>
      <c r="F98" s="565"/>
      <c r="G98" s="565"/>
      <c r="H98" s="55" t="s">
        <v>110</v>
      </c>
      <c r="I98" s="235"/>
      <c r="J98" s="235"/>
    </row>
    <row r="99" spans="1:10">
      <c r="B99" s="565"/>
      <c r="C99" s="565"/>
      <c r="D99" s="565"/>
      <c r="E99" s="565"/>
      <c r="F99" s="565"/>
      <c r="G99" s="565"/>
      <c r="H99" s="318"/>
      <c r="I99" s="235"/>
      <c r="J99" s="235"/>
    </row>
    <row r="100" spans="1:10">
      <c r="B100" s="565"/>
      <c r="C100" s="565"/>
      <c r="D100" s="565"/>
      <c r="E100" s="565"/>
      <c r="F100" s="565"/>
      <c r="G100" s="565"/>
      <c r="H100" s="318"/>
      <c r="I100" s="235"/>
      <c r="J100" s="235"/>
    </row>
    <row r="101" spans="1:10">
      <c r="B101" s="565"/>
      <c r="C101" s="565"/>
      <c r="D101" s="565"/>
      <c r="E101" s="565"/>
      <c r="F101" s="565"/>
      <c r="G101" s="565"/>
      <c r="H101" s="318"/>
      <c r="I101" s="235"/>
      <c r="J101" s="235"/>
    </row>
    <row r="102" spans="1:10" ht="14.25">
      <c r="B102" s="566" t="s">
        <v>357</v>
      </c>
      <c r="C102" s="565"/>
      <c r="D102" s="565"/>
      <c r="E102" s="565"/>
      <c r="F102" s="565"/>
      <c r="G102" s="565"/>
      <c r="H102" s="55" t="s">
        <v>110</v>
      </c>
      <c r="I102" s="235"/>
      <c r="J102" s="235"/>
    </row>
    <row r="103" spans="1:10">
      <c r="B103" s="565"/>
      <c r="C103" s="565"/>
      <c r="D103" s="565"/>
      <c r="E103" s="565"/>
      <c r="F103" s="565"/>
      <c r="G103" s="565"/>
      <c r="H103" s="63"/>
      <c r="I103" s="235"/>
      <c r="J103" s="235"/>
    </row>
    <row r="104" spans="1:10">
      <c r="B104" s="565"/>
      <c r="C104" s="565"/>
      <c r="D104" s="565"/>
      <c r="E104" s="565"/>
      <c r="F104" s="565"/>
      <c r="G104" s="565"/>
      <c r="H104" s="63"/>
      <c r="I104" s="235"/>
      <c r="J104" s="235"/>
    </row>
    <row r="105" spans="1:10">
      <c r="B105" s="565"/>
      <c r="C105" s="565"/>
      <c r="D105" s="565"/>
      <c r="E105" s="565"/>
      <c r="F105" s="565"/>
      <c r="G105" s="565"/>
      <c r="H105" s="63"/>
    </row>
    <row r="106" spans="1:10" ht="14.25">
      <c r="B106" s="582" t="s">
        <v>359</v>
      </c>
      <c r="C106" s="564"/>
      <c r="D106" s="564"/>
      <c r="E106" s="564"/>
      <c r="F106" s="564"/>
      <c r="G106" s="564"/>
      <c r="H106" s="55" t="s">
        <v>110</v>
      </c>
    </row>
    <row r="107" spans="1:10" ht="14.25">
      <c r="B107" s="582" t="s">
        <v>361</v>
      </c>
      <c r="C107" s="564"/>
      <c r="D107" s="564"/>
      <c r="E107" s="564"/>
      <c r="F107" s="564"/>
      <c r="G107" s="564"/>
      <c r="H107" s="55" t="s">
        <v>110</v>
      </c>
    </row>
    <row r="108" spans="1:10">
      <c r="B108" s="2"/>
      <c r="C108" s="5"/>
      <c r="D108" s="5"/>
      <c r="F108" s="5"/>
    </row>
    <row r="109" spans="1:10">
      <c r="B109" s="2"/>
      <c r="C109" s="2"/>
      <c r="D109" s="2"/>
      <c r="F109" s="2"/>
    </row>
    <row r="110" spans="1:10">
      <c r="B110" s="2"/>
      <c r="C110" s="2"/>
      <c r="D110" s="2"/>
      <c r="F110" s="2"/>
    </row>
    <row r="111" spans="1:10">
      <c r="B111" s="2"/>
      <c r="C111" s="3"/>
      <c r="D111" s="3"/>
      <c r="F111" s="3"/>
    </row>
  </sheetData>
  <mergeCells count="14">
    <mergeCell ref="B106:G106"/>
    <mergeCell ref="B107:G107"/>
    <mergeCell ref="C3:E5"/>
    <mergeCell ref="B78:G79"/>
    <mergeCell ref="B63:G64"/>
    <mergeCell ref="B65:G66"/>
    <mergeCell ref="B90:G93"/>
    <mergeCell ref="B94:G94"/>
    <mergeCell ref="B98:G101"/>
    <mergeCell ref="B70:G71"/>
    <mergeCell ref="B75:G76"/>
    <mergeCell ref="B86:G87"/>
    <mergeCell ref="B102:G105"/>
    <mergeCell ref="B95:G97"/>
  </mergeCells>
  <conditionalFormatting sqref="H60 H8:H12 G8 G11:G12 G32 G17:H30 G33:H59">
    <cfRule type="cellIs" dxfId="149" priority="37" operator="greaterThan">
      <formula>#REF!</formula>
    </cfRule>
    <cfRule type="cellIs" dxfId="148" priority="38" operator="greaterThan">
      <formula>#REF!</formula>
    </cfRule>
  </conditionalFormatting>
  <conditionalFormatting sqref="G31:H31">
    <cfRule type="cellIs" dxfId="147" priority="3" operator="greaterThan">
      <formula>#REF!</formula>
    </cfRule>
    <cfRule type="cellIs" dxfId="146" priority="4" operator="greaterThan">
      <formula>#REF!</formula>
    </cfRule>
  </conditionalFormatting>
  <conditionalFormatting sqref="G14:G16">
    <cfRule type="cellIs" dxfId="145" priority="1" operator="greaterThan">
      <formula>#REF!</formula>
    </cfRule>
    <cfRule type="cellIs" dxfId="144" priority="2" operator="greaterThan">
      <formula>#REF!</formula>
    </cfRule>
  </conditionalFormatting>
  <printOptions horizontalCentered="1"/>
  <pageMargins left="0.75" right="0.75" top="1.6" bottom="1" header="0.75" footer="0.5"/>
  <pageSetup paperSize="119" orientation="portrait" r:id="rId1"/>
  <headerFooter>
    <oddHeader>&amp;C&amp;"-,Bold"Table B-7
Liquefying Case 4: Potential Emissions from Enclosed Ground Flare Burners
Puget Sound Energy – Liquefied Natural Gas Project
Tacoma, Washington&amp;R&amp;8Page &amp;P of &amp;N</oddHeader>
    <oddFooter>&amp;L&amp;6 May 2017  &amp;Z&amp;F  &amp;A&amp;R&amp;9Landau Associates</oddFooter>
  </headerFooter>
  <rowBreaks count="1" manualBreakCount="1">
    <brk id="77"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L111"/>
  <sheetViews>
    <sheetView topLeftCell="B52" zoomScaleNormal="100" zoomScaleSheetLayoutView="100" zoomScalePageLayoutView="85" workbookViewId="0">
      <selection activeCell="G60" sqref="G60"/>
    </sheetView>
  </sheetViews>
  <sheetFormatPr defaultColWidth="9.140625" defaultRowHeight="15"/>
  <cols>
    <col min="1" max="1" width="0" style="81" hidden="1" customWidth="1"/>
    <col min="2" max="2" width="27.28515625" style="38" customWidth="1"/>
    <col min="3" max="3" width="12.140625" style="38" customWidth="1"/>
    <col min="4" max="4" width="10" style="38" bestFit="1" customWidth="1"/>
    <col min="5" max="5" width="1.85546875" style="8" bestFit="1" customWidth="1"/>
    <col min="6" max="6" width="13.85546875" style="8" customWidth="1"/>
    <col min="7" max="7" width="15.5703125" style="38" customWidth="1"/>
    <col min="8" max="8" width="1.28515625" style="17" bestFit="1" customWidth="1"/>
    <col min="13" max="16384" width="9.140625" style="63"/>
  </cols>
  <sheetData>
    <row r="1" spans="1:7">
      <c r="B1" s="161" t="s">
        <v>195</v>
      </c>
      <c r="C1" s="161"/>
      <c r="D1" s="161"/>
      <c r="E1" s="161"/>
      <c r="F1" s="161"/>
      <c r="G1" s="161"/>
    </row>
    <row r="3" spans="1:7" s="17" customFormat="1" ht="12">
      <c r="A3" s="23"/>
      <c r="B3" s="236"/>
      <c r="C3" s="571" t="s">
        <v>31</v>
      </c>
      <c r="D3" s="572"/>
      <c r="E3" s="573"/>
      <c r="F3" s="244" t="s">
        <v>98</v>
      </c>
      <c r="G3" s="244"/>
    </row>
    <row r="4" spans="1:7" s="17" customFormat="1" ht="14.25">
      <c r="A4" s="23"/>
      <c r="B4" s="238"/>
      <c r="C4" s="574"/>
      <c r="D4" s="575"/>
      <c r="E4" s="576"/>
      <c r="F4" s="245" t="s">
        <v>210</v>
      </c>
      <c r="G4" s="245" t="s">
        <v>211</v>
      </c>
    </row>
    <row r="5" spans="1:7" s="17" customFormat="1" ht="15.75" customHeight="1" thickBot="1">
      <c r="A5" s="395" t="s">
        <v>302</v>
      </c>
      <c r="B5" s="418" t="s">
        <v>30</v>
      </c>
      <c r="C5" s="577"/>
      <c r="D5" s="578"/>
      <c r="E5" s="579"/>
      <c r="F5" s="242" t="s">
        <v>113</v>
      </c>
      <c r="G5" s="242" t="s">
        <v>114</v>
      </c>
    </row>
    <row r="6" spans="1:7" s="17" customFormat="1" ht="12.75" thickTop="1">
      <c r="A6" s="23"/>
      <c r="B6" s="82" t="s">
        <v>77</v>
      </c>
      <c r="C6" s="420"/>
      <c r="D6" s="420"/>
      <c r="E6" s="93"/>
      <c r="F6" s="421"/>
      <c r="G6" s="421"/>
    </row>
    <row r="7" spans="1:7" s="17" customFormat="1" ht="14.25">
      <c r="A7" s="395" t="s">
        <v>300</v>
      </c>
      <c r="B7" s="83" t="s">
        <v>185</v>
      </c>
      <c r="C7" s="122">
        <f>INDEX('4 Flare1'!C:C,MATCH($A7,'4 Flare1'!$A:$A,0))</f>
        <v>7.4509803921568628E-3</v>
      </c>
      <c r="D7" s="122" t="str">
        <f>'4 Flare1'!D7</f>
        <v>lb/MMBtu</v>
      </c>
      <c r="E7" s="243">
        <f>'3 Vapor'!D7</f>
        <v>1</v>
      </c>
      <c r="F7" s="84">
        <f>C7*$D$67</f>
        <v>0.27701813725490199</v>
      </c>
      <c r="G7" s="86">
        <f>C7*$D$67*$D$68/2000</f>
        <v>1.2133394411764706</v>
      </c>
    </row>
    <row r="8" spans="1:7" s="17" customFormat="1" ht="14.25">
      <c r="A8" s="395">
        <v>2025884</v>
      </c>
      <c r="B8" s="83" t="s">
        <v>184</v>
      </c>
      <c r="C8" s="96">
        <f>D72*D73/10^6*2*10^6*D74</f>
        <v>100.71695416578947</v>
      </c>
      <c r="D8" s="97" t="s">
        <v>169</v>
      </c>
      <c r="E8" s="243" t="s">
        <v>212</v>
      </c>
      <c r="F8" s="84">
        <f>C8*$D$69/1000000</f>
        <v>2.0563044808848687</v>
      </c>
      <c r="G8" s="86">
        <f>C8*$D$69/1000000*$D$68/2000</f>
        <v>9.0066136262757244</v>
      </c>
    </row>
    <row r="9" spans="1:7" s="17" customFormat="1" ht="14.25">
      <c r="A9" s="398" t="s">
        <v>311</v>
      </c>
      <c r="B9" s="83" t="s">
        <v>213</v>
      </c>
      <c r="C9" s="311">
        <v>2.2997007699290587E-2</v>
      </c>
      <c r="D9" s="95" t="s">
        <v>102</v>
      </c>
      <c r="E9" s="246" t="s">
        <v>234</v>
      </c>
      <c r="F9" s="84">
        <f>C9*$D$67</f>
        <v>0.85499999999999998</v>
      </c>
      <c r="G9" s="86">
        <f>C9*$D$67*$D$68/2000</f>
        <v>3.7448999999999999</v>
      </c>
    </row>
    <row r="10" spans="1:7" s="17" customFormat="1" ht="14.25">
      <c r="A10" s="395" t="s">
        <v>73</v>
      </c>
      <c r="B10" s="83" t="s">
        <v>0</v>
      </c>
      <c r="C10" s="311">
        <v>7.3563527552701471E-2</v>
      </c>
      <c r="D10" s="95" t="s">
        <v>102</v>
      </c>
      <c r="E10" s="246" t="s">
        <v>234</v>
      </c>
      <c r="F10" s="86">
        <f>C10*$D$67</f>
        <v>2.7349999999999999</v>
      </c>
      <c r="G10" s="88">
        <f>C10*$D$67*$D$68/2000</f>
        <v>11.979299999999999</v>
      </c>
    </row>
    <row r="11" spans="1:7" s="17" customFormat="1" ht="14.25">
      <c r="A11" s="395" t="s">
        <v>1</v>
      </c>
      <c r="B11" s="83" t="s">
        <v>101</v>
      </c>
      <c r="C11" s="96">
        <f>$D$72*$D$77*(1-$D$74)*10^6</f>
        <v>498.71340490518918</v>
      </c>
      <c r="D11" s="97" t="s">
        <v>169</v>
      </c>
      <c r="E11" s="243" t="s">
        <v>218</v>
      </c>
      <c r="F11" s="86">
        <f>$C$11*$D$69/1000000</f>
        <v>10.182065350147612</v>
      </c>
      <c r="G11" s="88">
        <f>C11*$D$69/1000000*$D$68/2000</f>
        <v>44.597446233646536</v>
      </c>
    </row>
    <row r="12" spans="1:7" s="17" customFormat="1" ht="14.25">
      <c r="A12" s="395" t="s">
        <v>306</v>
      </c>
      <c r="B12" s="98" t="s">
        <v>78</v>
      </c>
      <c r="C12" s="410">
        <f>INDEX('4 Flare1'!C:C,MATCH($A12,'4 Flare1'!$A:$A,0))</f>
        <v>4.9019607843137254E-7</v>
      </c>
      <c r="D12" s="125" t="str">
        <f>'4 Flare1'!D12</f>
        <v>lb/MMBtu</v>
      </c>
      <c r="E12" s="297">
        <f>'3 Vapor'!D12</f>
        <v>1</v>
      </c>
      <c r="F12" s="90">
        <f>$C$12*$D$67</f>
        <v>1.8224877450980391E-5</v>
      </c>
      <c r="G12" s="90">
        <f>C12*$D$67*$D$68/2000</f>
        <v>7.9824963235294112E-5</v>
      </c>
    </row>
    <row r="13" spans="1:7" s="17" customFormat="1" ht="12">
      <c r="A13" s="395"/>
      <c r="B13" s="101" t="s">
        <v>158</v>
      </c>
      <c r="C13" s="127"/>
      <c r="D13" s="102"/>
      <c r="E13" s="383"/>
      <c r="F13" s="103"/>
      <c r="G13" s="103"/>
    </row>
    <row r="14" spans="1:7" s="17" customFormat="1" ht="14.25">
      <c r="A14" s="395" t="s">
        <v>56</v>
      </c>
      <c r="B14" s="83" t="s">
        <v>9</v>
      </c>
      <c r="C14" s="129">
        <f>INDEX('4 Flare1'!C:C,MATCH($A14,'4 Flare1'!$A:$A,0))</f>
        <v>8.3039215686274504E-6</v>
      </c>
      <c r="D14" s="122" t="str">
        <f>'4 Flare1'!D14</f>
        <v>lb/MMBtu</v>
      </c>
      <c r="E14" s="243" t="s">
        <v>235</v>
      </c>
      <c r="F14" s="90">
        <f t="shared" ref="F14:F26" si="0">C14*$D$67</f>
        <v>3.0872942401960783E-4</v>
      </c>
      <c r="G14" s="90">
        <f t="shared" ref="G14:G26" si="1">C14*$D$67*$D$68/2000</f>
        <v>1.3522348772058823E-3</v>
      </c>
    </row>
    <row r="15" spans="1:7" s="17" customFormat="1" ht="14.25">
      <c r="A15" s="395" t="s">
        <v>57</v>
      </c>
      <c r="B15" s="83" t="s">
        <v>10</v>
      </c>
      <c r="C15" s="129">
        <f>INDEX('4 Flare1'!C:C,MATCH($A15,'4 Flare1'!$A:$A,0))</f>
        <v>2.647058823529412E-6</v>
      </c>
      <c r="D15" s="122" t="str">
        <f>'4 Flare1'!D15</f>
        <v>lb/MMBtu</v>
      </c>
      <c r="E15" s="243" t="s">
        <v>235</v>
      </c>
      <c r="F15" s="90">
        <f t="shared" si="0"/>
        <v>9.8414338235294126E-5</v>
      </c>
      <c r="G15" s="90">
        <f t="shared" si="1"/>
        <v>4.310548014705883E-4</v>
      </c>
    </row>
    <row r="16" spans="1:7" s="17" customFormat="1" ht="14.25">
      <c r="A16" s="395" t="s">
        <v>153</v>
      </c>
      <c r="B16" s="83" t="s">
        <v>152</v>
      </c>
      <c r="C16" s="129">
        <f>INDEX('4 Flare1'!C:C,MATCH($A16,'4 Flare1'!$A:$A,0))</f>
        <v>3.1372549019607846E-3</v>
      </c>
      <c r="D16" s="122" t="str">
        <f>'4 Flare1'!D16</f>
        <v>lb/MMBtu</v>
      </c>
      <c r="E16" s="243" t="s">
        <v>235</v>
      </c>
      <c r="F16" s="90">
        <f t="shared" si="0"/>
        <v>0.11663921568627453</v>
      </c>
      <c r="G16" s="90">
        <f t="shared" si="1"/>
        <v>0.51087976470588248</v>
      </c>
    </row>
    <row r="17" spans="1:10" s="17" customFormat="1" ht="14.25">
      <c r="A17" s="395" t="s">
        <v>308</v>
      </c>
      <c r="B17" s="83" t="s">
        <v>33</v>
      </c>
      <c r="C17" s="129">
        <f>INDEX('4 Flare1'!C:C,MATCH($A17,'4 Flare1'!$A:$A,0))</f>
        <v>1.9607843137254904E-7</v>
      </c>
      <c r="D17" s="122" t="str">
        <f>'4 Flare1'!D17</f>
        <v>lb/MMBtu</v>
      </c>
      <c r="E17" s="243">
        <v>4</v>
      </c>
      <c r="F17" s="90">
        <f t="shared" si="0"/>
        <v>7.2899509803921578E-6</v>
      </c>
      <c r="G17" s="90">
        <f t="shared" si="1"/>
        <v>3.1929985294117649E-5</v>
      </c>
    </row>
    <row r="18" spans="1:10" s="17" customFormat="1" ht="14.25">
      <c r="A18" s="395" t="s">
        <v>59</v>
      </c>
      <c r="B18" s="83" t="s">
        <v>12</v>
      </c>
      <c r="C18" s="129">
        <f>$D$80/(453.6*10^6)/35.31*10^6/$D$85*(1-$D$74)</f>
        <v>1.702331003508745E-6</v>
      </c>
      <c r="D18" s="122" t="str">
        <f>'4 Flare1'!D18</f>
        <v>lb/MMBtu</v>
      </c>
      <c r="E18" s="243">
        <v>5</v>
      </c>
      <c r="F18" s="90">
        <f t="shared" si="0"/>
        <v>6.3290538796700763E-5</v>
      </c>
      <c r="G18" s="90">
        <f t="shared" si="1"/>
        <v>2.7721255992954933E-4</v>
      </c>
    </row>
    <row r="19" spans="1:10" s="17" customFormat="1" ht="14.25">
      <c r="A19" s="395" t="s">
        <v>307</v>
      </c>
      <c r="B19" s="83" t="s">
        <v>34</v>
      </c>
      <c r="C19" s="129">
        <f>INDEX('4 Flare1'!C:C,MATCH($A19,'4 Flare1'!$A:$A,0))</f>
        <v>1.1764705882352941E-8</v>
      </c>
      <c r="D19" s="122" t="str">
        <f>'4 Flare1'!D19</f>
        <v>lb/MMBtu</v>
      </c>
      <c r="E19" s="246" t="s">
        <v>239</v>
      </c>
      <c r="F19" s="90">
        <f t="shared" si="0"/>
        <v>4.3739705882352943E-7</v>
      </c>
      <c r="G19" s="90">
        <f t="shared" si="1"/>
        <v>1.9157991176470591E-6</v>
      </c>
    </row>
    <row r="20" spans="1:10" s="17" customFormat="1" ht="14.25">
      <c r="A20" s="395" t="s">
        <v>69</v>
      </c>
      <c r="B20" s="83" t="s">
        <v>35</v>
      </c>
      <c r="C20" s="129">
        <f>INDEX('4 Flare1'!C:C,MATCH($A20,'4 Flare1'!$A:$A,0))</f>
        <v>1.0784313725490197E-6</v>
      </c>
      <c r="D20" s="122" t="str">
        <f>'4 Flare1'!D20</f>
        <v>lb/MMBtu</v>
      </c>
      <c r="E20" s="246" t="s">
        <v>239</v>
      </c>
      <c r="F20" s="90">
        <f t="shared" si="0"/>
        <v>4.0094730392156864E-5</v>
      </c>
      <c r="G20" s="90">
        <f t="shared" si="1"/>
        <v>1.7561491911764708E-4</v>
      </c>
    </row>
    <row r="21" spans="1:10" s="17" customFormat="1" ht="14.25">
      <c r="A21" s="395" t="s">
        <v>290</v>
      </c>
      <c r="B21" s="83" t="s">
        <v>80</v>
      </c>
      <c r="C21" s="129">
        <f>INDEX('4 Flare1'!C:C,MATCH($A21,'4 Flare1'!$A:$A,0))</f>
        <v>1.3725490196078432E-6</v>
      </c>
      <c r="D21" s="122" t="str">
        <f>'4 Flare1'!D21</f>
        <v>lb/MMBtu</v>
      </c>
      <c r="E21" s="246" t="s">
        <v>239</v>
      </c>
      <c r="F21" s="90">
        <f t="shared" si="0"/>
        <v>5.10296568627451E-5</v>
      </c>
      <c r="G21" s="90">
        <f t="shared" si="1"/>
        <v>2.2350989705882354E-4</v>
      </c>
    </row>
    <row r="22" spans="1:10" s="17" customFormat="1" ht="14.25">
      <c r="A22" s="395" t="s">
        <v>70</v>
      </c>
      <c r="B22" s="83" t="s">
        <v>36</v>
      </c>
      <c r="C22" s="129">
        <f>INDEX('4 Flare1'!C:C,MATCH($A22,'4 Flare1'!$A:$A,0))</f>
        <v>8.2352941176470587E-8</v>
      </c>
      <c r="D22" s="122" t="str">
        <f>'4 Flare1'!D22</f>
        <v>lb/MMBtu</v>
      </c>
      <c r="E22" s="246" t="s">
        <v>239</v>
      </c>
      <c r="F22" s="90">
        <f t="shared" si="0"/>
        <v>3.061779411764706E-6</v>
      </c>
      <c r="G22" s="90">
        <f t="shared" si="1"/>
        <v>1.3410593823529414E-5</v>
      </c>
    </row>
    <row r="23" spans="1:10" s="17" customFormat="1" ht="14.25">
      <c r="A23" s="395" t="s">
        <v>299</v>
      </c>
      <c r="B23" s="83" t="s">
        <v>37</v>
      </c>
      <c r="C23" s="129">
        <f>INDEX('4 Flare1'!C:C,MATCH($A23,'4 Flare1'!$A:$A,0))</f>
        <v>8.3333333333333333E-7</v>
      </c>
      <c r="D23" s="122" t="str">
        <f>'4 Flare1'!D23</f>
        <v>lb/MMBtu</v>
      </c>
      <c r="E23" s="246" t="s">
        <v>239</v>
      </c>
      <c r="F23" s="90">
        <f t="shared" si="0"/>
        <v>3.0982291666666665E-5</v>
      </c>
      <c r="G23" s="90">
        <f t="shared" si="1"/>
        <v>1.3570243749999998E-4</v>
      </c>
    </row>
    <row r="24" spans="1:10" s="17" customFormat="1" ht="14.25">
      <c r="A24" s="395" t="s">
        <v>150</v>
      </c>
      <c r="B24" s="83" t="s">
        <v>19</v>
      </c>
      <c r="C24" s="129">
        <f>$D$81/(453.6*10^6)/35.31*10^6/$D$85*(1-$D$74)</f>
        <v>8.2260290102436012E-8</v>
      </c>
      <c r="D24" s="122" t="str">
        <f>'4 Flare1'!D24</f>
        <v>lb/MMBtu</v>
      </c>
      <c r="E24" s="246" t="s">
        <v>240</v>
      </c>
      <c r="F24" s="90">
        <f t="shared" si="0"/>
        <v>3.058334760645943E-6</v>
      </c>
      <c r="G24" s="90">
        <f t="shared" si="1"/>
        <v>1.3395506251629232E-5</v>
      </c>
    </row>
    <row r="25" spans="1:10" s="17" customFormat="1" ht="14.25">
      <c r="A25" s="395" t="s">
        <v>65</v>
      </c>
      <c r="B25" s="83" t="s">
        <v>22</v>
      </c>
      <c r="C25" s="129">
        <f>INDEX('4 Flare1'!C:C,MATCH($A25,'4 Flare1'!$A:$A,0))</f>
        <v>7.3529411764705876E-5</v>
      </c>
      <c r="D25" s="122" t="str">
        <f>'4 Flare1'!D25</f>
        <v>lb/MMBtu</v>
      </c>
      <c r="E25" s="243">
        <v>5</v>
      </c>
      <c r="F25" s="90">
        <f t="shared" si="0"/>
        <v>2.7337316176470586E-3</v>
      </c>
      <c r="G25" s="90">
        <f t="shared" si="1"/>
        <v>1.1973744485294115E-2</v>
      </c>
    </row>
    <row r="26" spans="1:10" s="17" customFormat="1" ht="14.25">
      <c r="A26" s="395" t="s">
        <v>154</v>
      </c>
      <c r="B26" s="83" t="s">
        <v>23</v>
      </c>
      <c r="C26" s="129">
        <f>INDEX('4 Flare1'!C:C,MATCH($A26,'4 Flare1'!$A:$A,0))</f>
        <v>1.7647058823529412E-3</v>
      </c>
      <c r="D26" s="122" t="str">
        <f>'4 Flare1'!D26</f>
        <v>lb/MMBtu</v>
      </c>
      <c r="E26" s="246" t="s">
        <v>240</v>
      </c>
      <c r="F26" s="90">
        <f t="shared" si="0"/>
        <v>6.560955882352941E-2</v>
      </c>
      <c r="G26" s="90">
        <f t="shared" si="1"/>
        <v>0.2873698676470588</v>
      </c>
    </row>
    <row r="27" spans="1:10" s="17" customFormat="1" ht="14.25">
      <c r="A27" s="395">
        <v>2148878</v>
      </c>
      <c r="B27" s="83" t="s">
        <v>155</v>
      </c>
      <c r="C27" s="129">
        <f>$D$72*$D$73/10^6*34/32*10^6*(1-$D$74)</f>
        <v>0.54046345354116876</v>
      </c>
      <c r="D27" s="122" t="str">
        <f>'4 Flare1'!D27</f>
        <v>lb/MMBtu</v>
      </c>
      <c r="E27" s="246" t="s">
        <v>220</v>
      </c>
      <c r="F27" s="90">
        <f>C27*$D$69/1000000</f>
        <v>1.103446217646553E-2</v>
      </c>
      <c r="G27" s="90">
        <f>C27*$D$69/1000000*$D$68/2000</f>
        <v>4.8330944332919019E-2</v>
      </c>
      <c r="H27" s="130"/>
    </row>
    <row r="28" spans="1:10" s="17" customFormat="1" ht="14.25">
      <c r="A28" s="395" t="s">
        <v>306</v>
      </c>
      <c r="B28" s="83" t="s">
        <v>81</v>
      </c>
      <c r="C28" s="129">
        <f>INDEX('4 Flare1'!C:C,MATCH($A28,'4 Flare1'!$A:$A,0))</f>
        <v>4.9019607843137254E-7</v>
      </c>
      <c r="D28" s="122" t="str">
        <f>'4 Flare1'!D28</f>
        <v>lb/MMBtu</v>
      </c>
      <c r="E28" s="243">
        <v>1</v>
      </c>
      <c r="F28" s="90">
        <f>C28*$D$67</f>
        <v>1.8224877450980391E-5</v>
      </c>
      <c r="G28" s="90">
        <f>C28*$D$67*$D$68/2000</f>
        <v>7.9824963235294112E-5</v>
      </c>
    </row>
    <row r="29" spans="1:10" s="17" customFormat="1" ht="14.25">
      <c r="A29" s="395" t="s">
        <v>305</v>
      </c>
      <c r="B29" s="83" t="s">
        <v>38</v>
      </c>
      <c r="C29" s="129">
        <f>INDEX('4 Flare1'!C:C,MATCH($A29,'4 Flare1'!$A:$A,0))</f>
        <v>3.7254901960784315E-7</v>
      </c>
      <c r="D29" s="122" t="str">
        <f>'4 Flare1'!D29</f>
        <v>lb/MMBtu</v>
      </c>
      <c r="E29" s="246" t="s">
        <v>239</v>
      </c>
      <c r="F29" s="90">
        <f>C29*$D$67</f>
        <v>1.38509068627451E-5</v>
      </c>
      <c r="G29" s="90">
        <f>C29*$D$67*$D$68/2000</f>
        <v>6.0666972058823535E-5</v>
      </c>
    </row>
    <row r="30" spans="1:10" s="17" customFormat="1" ht="14.25">
      <c r="A30" s="395" t="s">
        <v>71</v>
      </c>
      <c r="B30" s="83" t="s">
        <v>39</v>
      </c>
      <c r="C30" s="129">
        <f>INDEX('4 Flare1'!C:C,MATCH($A30,'4 Flare1'!$A:$A,0))</f>
        <v>2.5490196078431371E-7</v>
      </c>
      <c r="D30" s="122" t="str">
        <f>'4 Flare1'!D30</f>
        <v>lb/MMBtu</v>
      </c>
      <c r="E30" s="246" t="s">
        <v>239</v>
      </c>
      <c r="F30" s="90">
        <f>C30*$D$67</f>
        <v>9.4769362745098028E-6</v>
      </c>
      <c r="G30" s="90">
        <f>C30*$D$67*$D$68/2000</f>
        <v>4.1508980882352938E-5</v>
      </c>
    </row>
    <row r="31" spans="1:10" s="17" customFormat="1" ht="14.25">
      <c r="A31" s="395" t="s">
        <v>67</v>
      </c>
      <c r="B31" s="83" t="s">
        <v>24</v>
      </c>
      <c r="C31" s="129">
        <f>C51</f>
        <v>5.9803921568627444E-7</v>
      </c>
      <c r="D31" s="122" t="str">
        <f t="shared" ref="D31:G31" si="2">D51</f>
        <v>lb/MMBtu</v>
      </c>
      <c r="E31" s="246" t="str">
        <f t="shared" si="2"/>
        <v>5</v>
      </c>
      <c r="F31" s="90">
        <f t="shared" si="2"/>
        <v>2.2234350490196078E-5</v>
      </c>
      <c r="G31" s="90">
        <f t="shared" si="2"/>
        <v>9.7386455147058815E-5</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59" si="3">C32*$D$67</f>
        <v>7.654448529411764E-5</v>
      </c>
      <c r="G32" s="90">
        <f t="shared" ref="G32:G59" si="4">C32*$D$67*$D$68/2000</f>
        <v>3.3526484558823528E-4</v>
      </c>
      <c r="H32" s="210"/>
    </row>
    <row r="33" spans="1:7" s="17" customFormat="1" ht="14.25">
      <c r="A33" s="395" t="s">
        <v>296</v>
      </c>
      <c r="B33" s="83" t="s">
        <v>82</v>
      </c>
      <c r="C33" s="104">
        <f>SUM(C34:C53)</f>
        <v>1.8609803921568625E-6</v>
      </c>
      <c r="D33" s="122" t="str">
        <f>'4 Flare1'!D33</f>
        <v>lb/MMBtu</v>
      </c>
      <c r="E33" s="246" t="s">
        <v>240</v>
      </c>
      <c r="F33" s="90">
        <f t="shared" si="3"/>
        <v>6.9188924754901956E-5</v>
      </c>
      <c r="G33" s="90">
        <f t="shared" si="4"/>
        <v>3.0304749042647057E-4</v>
      </c>
    </row>
    <row r="34" spans="1:7" s="17" customFormat="1" ht="14.25">
      <c r="A34" s="395" t="s">
        <v>285</v>
      </c>
      <c r="B34" s="105" t="s">
        <v>4</v>
      </c>
      <c r="C34" s="411">
        <f>INDEX('4 Flare1'!C:C,MATCH($A34,'4 Flare1'!$A:$A,0))</f>
        <v>2.3529411764705881E-8</v>
      </c>
      <c r="D34" s="131" t="str">
        <f>'4 Flare1'!D34</f>
        <v>lb/MMBtu</v>
      </c>
      <c r="E34" s="246" t="s">
        <v>240</v>
      </c>
      <c r="F34" s="107">
        <f t="shared" si="3"/>
        <v>8.7479411764705886E-7</v>
      </c>
      <c r="G34" s="107">
        <f t="shared" si="4"/>
        <v>3.8315982352941181E-6</v>
      </c>
    </row>
    <row r="35" spans="1:7" s="17" customFormat="1" ht="14.25">
      <c r="A35" s="395" t="s">
        <v>54</v>
      </c>
      <c r="B35" s="105" t="s">
        <v>5</v>
      </c>
      <c r="C35" s="411">
        <f>INDEX('4 Flare1'!C:C,MATCH($A35,'4 Flare1'!$A:$A,0))</f>
        <v>1.7647058823529412E-9</v>
      </c>
      <c r="D35" s="131" t="str">
        <f>'4 Flare1'!D35</f>
        <v>lb/MMBtu</v>
      </c>
      <c r="E35" s="246" t="s">
        <v>240</v>
      </c>
      <c r="F35" s="107">
        <f t="shared" si="3"/>
        <v>6.5609558823529412E-8</v>
      </c>
      <c r="G35" s="107">
        <f t="shared" si="4"/>
        <v>2.8736986764705885E-7</v>
      </c>
    </row>
    <row r="36" spans="1:7" s="17" customFormat="1" ht="14.25">
      <c r="A36" s="395" t="s">
        <v>55</v>
      </c>
      <c r="B36" s="105" t="s">
        <v>6</v>
      </c>
      <c r="C36" s="411">
        <f>INDEX('4 Flare1'!C:C,MATCH($A36,'4 Flare1'!$A:$A,0))</f>
        <v>1.5686274509803922E-8</v>
      </c>
      <c r="D36" s="131" t="str">
        <f>'4 Flare1'!D36</f>
        <v>lb/MMBtu</v>
      </c>
      <c r="E36" s="246" t="s">
        <v>240</v>
      </c>
      <c r="F36" s="107">
        <f t="shared" si="3"/>
        <v>5.8319607843137254E-7</v>
      </c>
      <c r="G36" s="107">
        <f t="shared" si="4"/>
        <v>2.5543988235294114E-6</v>
      </c>
    </row>
    <row r="37" spans="1:7" s="17" customFormat="1" ht="14.25">
      <c r="A37" s="395" t="s">
        <v>287</v>
      </c>
      <c r="B37" s="105" t="s">
        <v>7</v>
      </c>
      <c r="C37" s="411">
        <f>INDEX('4 Flare1'!C:C,MATCH($A37,'4 Flare1'!$A:$A,0))</f>
        <v>1.7647058823529412E-9</v>
      </c>
      <c r="D37" s="131" t="str">
        <f>'4 Flare1'!D37</f>
        <v>lb/MMBtu</v>
      </c>
      <c r="E37" s="246" t="s">
        <v>240</v>
      </c>
      <c r="F37" s="107">
        <f t="shared" si="3"/>
        <v>6.5609558823529412E-8</v>
      </c>
      <c r="G37" s="107">
        <f t="shared" si="4"/>
        <v>2.8736986764705885E-7</v>
      </c>
    </row>
    <row r="38" spans="1:7" s="17" customFormat="1" ht="14.25">
      <c r="A38" s="395" t="s">
        <v>286</v>
      </c>
      <c r="B38" s="105" t="s">
        <v>8</v>
      </c>
      <c r="C38" s="411">
        <f>INDEX('4 Flare1'!C:C,MATCH($A38,'4 Flare1'!$A:$A,0))</f>
        <v>1.7647058823529412E-9</v>
      </c>
      <c r="D38" s="131" t="str">
        <f>'4 Flare1'!D38</f>
        <v>lb/MMBtu</v>
      </c>
      <c r="E38" s="246" t="s">
        <v>240</v>
      </c>
      <c r="F38" s="107">
        <f t="shared" si="3"/>
        <v>6.5609558823529412E-8</v>
      </c>
      <c r="G38" s="107">
        <f t="shared" si="4"/>
        <v>2.8736986764705885E-7</v>
      </c>
    </row>
    <row r="39" spans="1:7" s="17" customFormat="1" ht="14.25">
      <c r="A39" s="395" t="s">
        <v>288</v>
      </c>
      <c r="B39" s="105" t="s">
        <v>11</v>
      </c>
      <c r="C39" s="411">
        <f>INDEX('4 Flare1'!C:C,MATCH($A39,'4 Flare1'!$A:$A,0))</f>
        <v>2.3529411764705881E-9</v>
      </c>
      <c r="D39" s="131" t="str">
        <f>'4 Flare1'!D39</f>
        <v>lb/MMBtu</v>
      </c>
      <c r="E39" s="246" t="s">
        <v>240</v>
      </c>
      <c r="F39" s="107">
        <f t="shared" si="3"/>
        <v>8.7479411764705878E-8</v>
      </c>
      <c r="G39" s="107">
        <f t="shared" si="4"/>
        <v>3.8315982352941178E-7</v>
      </c>
    </row>
    <row r="40" spans="1:7" s="17" customFormat="1" ht="14.25">
      <c r="A40" s="395" t="s">
        <v>58</v>
      </c>
      <c r="B40" s="105" t="s">
        <v>83</v>
      </c>
      <c r="C40" s="411">
        <f>INDEX('4 Flare1'!C:C,MATCH($A40,'4 Flare1'!$A:$A,0))</f>
        <v>1.7647058823529412E-9</v>
      </c>
      <c r="D40" s="131" t="str">
        <f>'4 Flare1'!D40</f>
        <v>lb/MMBtu</v>
      </c>
      <c r="E40" s="246" t="s">
        <v>240</v>
      </c>
      <c r="F40" s="107">
        <f t="shared" si="3"/>
        <v>6.5609558823529412E-8</v>
      </c>
      <c r="G40" s="107">
        <f t="shared" si="4"/>
        <v>2.8736986764705885E-7</v>
      </c>
    </row>
    <row r="41" spans="1:7" s="17" customFormat="1" ht="14.25">
      <c r="A41" s="395" t="s">
        <v>60</v>
      </c>
      <c r="B41" s="105" t="s">
        <v>13</v>
      </c>
      <c r="C41" s="411">
        <f>INDEX('4 Flare1'!C:C,MATCH($A41,'4 Flare1'!$A:$A,0))</f>
        <v>1.176470588235294E-9</v>
      </c>
      <c r="D41" s="131" t="str">
        <f>'4 Flare1'!D41</f>
        <v>lb/MMBtu</v>
      </c>
      <c r="E41" s="246" t="s">
        <v>240</v>
      </c>
      <c r="F41" s="107">
        <f t="shared" si="3"/>
        <v>4.3739705882352939E-8</v>
      </c>
      <c r="G41" s="107">
        <f t="shared" si="4"/>
        <v>1.9157991176470589E-7</v>
      </c>
    </row>
    <row r="42" spans="1:7" s="17" customFormat="1" ht="14.25">
      <c r="A42" s="395" t="s">
        <v>61</v>
      </c>
      <c r="B42" s="105" t="s">
        <v>14</v>
      </c>
      <c r="C42" s="411">
        <f>INDEX('4 Flare1'!C:C,MATCH($A42,'4 Flare1'!$A:$A,0))</f>
        <v>1.7647058823529412E-9</v>
      </c>
      <c r="D42" s="131" t="str">
        <f>'4 Flare1'!D42</f>
        <v>lb/MMBtu</v>
      </c>
      <c r="E42" s="246" t="s">
        <v>240</v>
      </c>
      <c r="F42" s="107">
        <f t="shared" si="3"/>
        <v>6.5609558823529412E-8</v>
      </c>
      <c r="G42" s="107">
        <f t="shared" si="4"/>
        <v>2.8736986764705885E-7</v>
      </c>
    </row>
    <row r="43" spans="1:7" s="17" customFormat="1" ht="14.25">
      <c r="A43" s="395" t="s">
        <v>289</v>
      </c>
      <c r="B43" s="105" t="s">
        <v>15</v>
      </c>
      <c r="C43" s="411">
        <f>INDEX('4 Flare1'!C:C,MATCH($A43,'4 Flare1'!$A:$A,0))</f>
        <v>1.176470588235294E-9</v>
      </c>
      <c r="D43" s="131" t="str">
        <f>'4 Flare1'!D43</f>
        <v>lb/MMBtu</v>
      </c>
      <c r="E43" s="246" t="s">
        <v>240</v>
      </c>
      <c r="F43" s="107">
        <f t="shared" si="3"/>
        <v>4.3739705882352939E-8</v>
      </c>
      <c r="G43" s="107">
        <f t="shared" si="4"/>
        <v>1.9157991176470589E-7</v>
      </c>
    </row>
    <row r="44" spans="1:7" s="17" customFormat="1" ht="14.25">
      <c r="A44" s="395" t="s">
        <v>62</v>
      </c>
      <c r="B44" s="105" t="s">
        <v>16</v>
      </c>
      <c r="C44" s="411">
        <f>INDEX('4 Flare1'!C:C,MATCH($A44,'4 Flare1'!$A:$A,0))</f>
        <v>1.7647058823529412E-9</v>
      </c>
      <c r="D44" s="131" t="str">
        <f>'4 Flare1'!D44</f>
        <v>lb/MMBtu</v>
      </c>
      <c r="E44" s="246" t="s">
        <v>240</v>
      </c>
      <c r="F44" s="107">
        <f t="shared" si="3"/>
        <v>6.5609558823529412E-8</v>
      </c>
      <c r="G44" s="107">
        <f t="shared" si="4"/>
        <v>2.8736986764705885E-7</v>
      </c>
    </row>
    <row r="45" spans="1:7" s="17" customFormat="1" ht="14.25">
      <c r="A45" s="395" t="s">
        <v>63</v>
      </c>
      <c r="B45" s="109" t="s">
        <v>17</v>
      </c>
      <c r="C45" s="411">
        <f>INDEX('4 Flare1'!C:C,MATCH($A45,'4 Flare1'!$A:$A,0))</f>
        <v>1.7647058823529412E-9</v>
      </c>
      <c r="D45" s="131" t="str">
        <f>'4 Flare1'!D45</f>
        <v>lb/MMBtu</v>
      </c>
      <c r="E45" s="246" t="s">
        <v>240</v>
      </c>
      <c r="F45" s="107">
        <f t="shared" si="3"/>
        <v>6.5609558823529412E-8</v>
      </c>
      <c r="G45" s="107">
        <f t="shared" si="4"/>
        <v>2.8736986764705885E-7</v>
      </c>
    </row>
    <row r="46" spans="1:7" s="17" customFormat="1" ht="14.25">
      <c r="A46" s="395" t="s">
        <v>64</v>
      </c>
      <c r="B46" s="109" t="s">
        <v>84</v>
      </c>
      <c r="C46" s="411">
        <f>INDEX('4 Flare1'!C:C,MATCH($A46,'4 Flare1'!$A:$A,0))</f>
        <v>1.176470588235294E-9</v>
      </c>
      <c r="D46" s="131" t="str">
        <f>'4 Flare1'!D46</f>
        <v>lb/MMBtu</v>
      </c>
      <c r="E46" s="246" t="s">
        <v>240</v>
      </c>
      <c r="F46" s="107">
        <f t="shared" si="3"/>
        <v>4.3739705882352939E-8</v>
      </c>
      <c r="G46" s="107">
        <f t="shared" si="4"/>
        <v>1.9157991176470589E-7</v>
      </c>
    </row>
    <row r="47" spans="1:7" s="17" customFormat="1" ht="14.25">
      <c r="A47" s="395" t="s">
        <v>151</v>
      </c>
      <c r="B47" s="109" t="s">
        <v>283</v>
      </c>
      <c r="C47" s="411">
        <f>INDEX('4 Flare1'!C:C,MATCH($A47,'4 Flare1'!$A:$A,0))</f>
        <v>1.176470588235294E-6</v>
      </c>
      <c r="D47" s="131" t="str">
        <f>'4 Flare1'!D47</f>
        <v>lb/MMBtu</v>
      </c>
      <c r="E47" s="246" t="s">
        <v>240</v>
      </c>
      <c r="F47" s="107">
        <f t="shared" si="3"/>
        <v>4.3739705882352938E-5</v>
      </c>
      <c r="G47" s="107">
        <f t="shared" si="4"/>
        <v>1.9157991176470588E-4</v>
      </c>
    </row>
    <row r="48" spans="1:7">
      <c r="A48" s="396" t="s">
        <v>291</v>
      </c>
      <c r="B48" s="109" t="s">
        <v>20</v>
      </c>
      <c r="C48" s="411">
        <f>INDEX('4 Flare1'!C:C,MATCH($A48,'4 Flare1'!$A:$A,0))</f>
        <v>2.9411764705882352E-9</v>
      </c>
      <c r="D48" s="131" t="str">
        <f>'4 Flare1'!D48</f>
        <v>lb/MMBtu</v>
      </c>
      <c r="E48" s="246" t="s">
        <v>240</v>
      </c>
      <c r="F48" s="107">
        <f t="shared" si="3"/>
        <v>1.0934926470588236E-7</v>
      </c>
      <c r="G48" s="107">
        <f t="shared" si="4"/>
        <v>4.7894977941176477E-7</v>
      </c>
    </row>
    <row r="49" spans="1:8">
      <c r="A49" s="396" t="s">
        <v>292</v>
      </c>
      <c r="B49" s="109" t="s">
        <v>21</v>
      </c>
      <c r="C49" s="411">
        <f>INDEX('4 Flare1'!C:C,MATCH($A49,'4 Flare1'!$A:$A,0))</f>
        <v>2.7450980392156863E-9</v>
      </c>
      <c r="D49" s="131" t="str">
        <f>'4 Flare1'!D49</f>
        <v>lb/MMBtu</v>
      </c>
      <c r="E49" s="246" t="s">
        <v>240</v>
      </c>
      <c r="F49" s="107">
        <f t="shared" si="3"/>
        <v>1.020593137254902E-7</v>
      </c>
      <c r="G49" s="107">
        <f t="shared" si="4"/>
        <v>4.4701979411764709E-7</v>
      </c>
    </row>
    <row r="50" spans="1:8">
      <c r="A50" s="396" t="s">
        <v>66</v>
      </c>
      <c r="B50" s="109" t="s">
        <v>52</v>
      </c>
      <c r="C50" s="411">
        <f>INDEX('4 Flare1'!C:C,MATCH($A50,'4 Flare1'!$A:$A,0))</f>
        <v>1.7647058823529412E-9</v>
      </c>
      <c r="D50" s="131" t="str">
        <f>'4 Flare1'!D50</f>
        <v>lb/MMBtu</v>
      </c>
      <c r="E50" s="246" t="s">
        <v>240</v>
      </c>
      <c r="F50" s="107">
        <f t="shared" si="3"/>
        <v>6.5609558823529412E-8</v>
      </c>
      <c r="G50" s="107">
        <f t="shared" si="4"/>
        <v>2.8736986764705885E-7</v>
      </c>
    </row>
    <row r="51" spans="1:8">
      <c r="A51" s="396" t="s">
        <v>67</v>
      </c>
      <c r="B51" s="109" t="s">
        <v>24</v>
      </c>
      <c r="C51" s="411">
        <f>INDEX('4 Flare1'!C:C,MATCH($A51,'4 Flare1'!$A:$A,0))</f>
        <v>5.9803921568627444E-7</v>
      </c>
      <c r="D51" s="131" t="str">
        <f>'4 Flare1'!D51</f>
        <v>lb/MMBtu</v>
      </c>
      <c r="E51" s="246" t="s">
        <v>240</v>
      </c>
      <c r="F51" s="107">
        <f t="shared" si="3"/>
        <v>2.2234350490196078E-5</v>
      </c>
      <c r="G51" s="107">
        <f t="shared" si="4"/>
        <v>9.7386455147058815E-5</v>
      </c>
    </row>
    <row r="52" spans="1:8">
      <c r="A52" s="396" t="s">
        <v>294</v>
      </c>
      <c r="B52" s="109" t="s">
        <v>85</v>
      </c>
      <c r="C52" s="411">
        <f>INDEX('4 Flare1'!C:C,MATCH($A52,'4 Flare1'!$A:$A,0))</f>
        <v>1.6666666666666667E-8</v>
      </c>
      <c r="D52" s="131" t="str">
        <f>'4 Flare1'!D52</f>
        <v>lb/MMBtu</v>
      </c>
      <c r="E52" s="246" t="s">
        <v>240</v>
      </c>
      <c r="F52" s="107">
        <f t="shared" si="3"/>
        <v>6.196458333333334E-7</v>
      </c>
      <c r="G52" s="107">
        <f t="shared" si="4"/>
        <v>2.7140487500000002E-6</v>
      </c>
    </row>
    <row r="53" spans="1:8">
      <c r="A53" s="396" t="s">
        <v>295</v>
      </c>
      <c r="B53" s="109" t="s">
        <v>26</v>
      </c>
      <c r="C53" s="411">
        <f>INDEX('4 Flare1'!C:C,MATCH($A53,'4 Flare1'!$A:$A,0))</f>
        <v>4.9019607843137263E-9</v>
      </c>
      <c r="D53" s="131" t="str">
        <f>'4 Flare1'!D53</f>
        <v>lb/MMBtu</v>
      </c>
      <c r="E53" s="246" t="s">
        <v>240</v>
      </c>
      <c r="F53" s="107">
        <f t="shared" si="3"/>
        <v>1.8224877450980397E-7</v>
      </c>
      <c r="G53" s="107">
        <f t="shared" si="4"/>
        <v>7.9824963235294135E-7</v>
      </c>
    </row>
    <row r="54" spans="1:8" s="17" customFormat="1" ht="14.25">
      <c r="A54" s="395" t="s">
        <v>68</v>
      </c>
      <c r="B54" s="83" t="s">
        <v>51</v>
      </c>
      <c r="C54" s="129">
        <f>INDEX('4 Flare1'!C:C,MATCH($A54,'4 Flare1'!$A:$A,0))</f>
        <v>5.1960784313725495E-4</v>
      </c>
      <c r="D54" s="122" t="str">
        <f>'4 Flare1'!D54</f>
        <v>lb/MMBtu</v>
      </c>
      <c r="E54" s="246" t="s">
        <v>235</v>
      </c>
      <c r="F54" s="90">
        <f t="shared" si="3"/>
        <v>1.9318370098039217E-2</v>
      </c>
      <c r="G54" s="90">
        <f t="shared" si="4"/>
        <v>8.4614461029411767E-2</v>
      </c>
    </row>
    <row r="55" spans="1:8">
      <c r="A55" s="396" t="s">
        <v>304</v>
      </c>
      <c r="B55" s="83" t="s">
        <v>41</v>
      </c>
      <c r="C55" s="411">
        <f>INDEX('4 Flare1'!C:C,MATCH($A55,'4 Flare1'!$A:$A,0))</f>
        <v>2.3529411764705881E-8</v>
      </c>
      <c r="D55" s="122" t="str">
        <f>'4 Flare1'!D55</f>
        <v>lb/MMBtu</v>
      </c>
      <c r="E55" s="246" t="s">
        <v>239</v>
      </c>
      <c r="F55" s="90">
        <f t="shared" si="3"/>
        <v>8.7479411764705886E-7</v>
      </c>
      <c r="G55" s="90">
        <f t="shared" si="4"/>
        <v>3.8315982352941181E-6</v>
      </c>
    </row>
    <row r="56" spans="1:8">
      <c r="A56" s="396" t="s">
        <v>303</v>
      </c>
      <c r="B56" s="83" t="s">
        <v>27</v>
      </c>
      <c r="C56" s="129">
        <f>$D$84/(453.6*10^6)/35.31*10^6/$D$85*(1-$D$74)</f>
        <v>1.468117677522642E-6</v>
      </c>
      <c r="D56" s="122" t="str">
        <f>'4 Flare1'!D56</f>
        <v>lb/MMBtu</v>
      </c>
      <c r="E56" s="246" t="s">
        <v>240</v>
      </c>
      <c r="F56" s="90">
        <f t="shared" si="3"/>
        <v>5.4582780103194926E-5</v>
      </c>
      <c r="G56" s="90">
        <f t="shared" si="4"/>
        <v>2.3907257685199377E-4</v>
      </c>
    </row>
    <row r="57" spans="1:8">
      <c r="A57" s="396" t="s">
        <v>72</v>
      </c>
      <c r="B57" s="83" t="s">
        <v>42</v>
      </c>
      <c r="C57" s="411">
        <f>INDEX('4 Flare1'!C:C,MATCH($A57,'4 Flare1'!$A:$A,0))</f>
        <v>2.2549019607843137E-6</v>
      </c>
      <c r="D57" s="122" t="str">
        <f>'4 Flare1'!D57</f>
        <v>lb/MMBtu</v>
      </c>
      <c r="E57" s="246" t="s">
        <v>239</v>
      </c>
      <c r="F57" s="90">
        <f t="shared" si="3"/>
        <v>8.3834436274509802E-5</v>
      </c>
      <c r="G57" s="90">
        <f t="shared" si="4"/>
        <v>3.6719483088235293E-4</v>
      </c>
    </row>
    <row r="58" spans="1:8">
      <c r="A58" s="396" t="s">
        <v>147</v>
      </c>
      <c r="B58" s="83" t="s">
        <v>140</v>
      </c>
      <c r="C58" s="129">
        <f>D82/(453.6*10^6)/35.31*10^6/$D$85*(1-$D$74)</f>
        <v>5.6325448639584649E-7</v>
      </c>
      <c r="D58" s="122" t="str">
        <f>'4 Flare1'!D58</f>
        <v>lb/MMBtu</v>
      </c>
      <c r="E58" s="243" t="s">
        <v>219</v>
      </c>
      <c r="F58" s="90">
        <f t="shared" si="3"/>
        <v>2.0941097736089578E-5</v>
      </c>
      <c r="G58" s="90">
        <f t="shared" si="4"/>
        <v>9.1722008084072352E-5</v>
      </c>
    </row>
    <row r="59" spans="1:8">
      <c r="A59" s="396" t="s">
        <v>146</v>
      </c>
      <c r="B59" s="83" t="s">
        <v>141</v>
      </c>
      <c r="C59" s="129">
        <f>D83/(453.6*10^6)/35.31*10^6/$D$85*(1-$D$74)</f>
        <v>9.4256582409041224E-8</v>
      </c>
      <c r="D59" s="122" t="str">
        <f>'4 Flare1'!D59</f>
        <v>lb/MMBtu</v>
      </c>
      <c r="E59" s="243" t="s">
        <v>219</v>
      </c>
      <c r="F59" s="90">
        <f t="shared" si="3"/>
        <v>3.5043419132401414E-6</v>
      </c>
      <c r="G59" s="90">
        <f t="shared" si="4"/>
        <v>1.5349017579991819E-5</v>
      </c>
    </row>
    <row r="60" spans="1:8">
      <c r="A60" s="396" t="s">
        <v>301</v>
      </c>
      <c r="B60" s="111" t="s">
        <v>49</v>
      </c>
      <c r="C60" s="133"/>
      <c r="D60" s="112"/>
      <c r="E60" s="303"/>
      <c r="F60" s="119">
        <f>SUM(F14:F33,F54:F59)-SUM(F23,F57,F27,F31,F54,F16)</f>
        <v>6.9185885736202046E-2</v>
      </c>
      <c r="G60" s="134">
        <f>SUM(G14:G33,G54:G59)-SUM(G23,G57,G27,G31,G54,G16)</f>
        <v>0.30303417952456491</v>
      </c>
    </row>
    <row r="61" spans="1:8" s="166" customFormat="1" ht="6">
      <c r="A61" s="397"/>
      <c r="B61" s="422"/>
      <c r="C61" s="422"/>
      <c r="D61" s="422"/>
      <c r="E61" s="423"/>
      <c r="F61" s="423"/>
      <c r="G61" s="422"/>
      <c r="H61" s="165"/>
    </row>
    <row r="62" spans="1:8">
      <c r="B62" s="7" t="s">
        <v>86</v>
      </c>
      <c r="C62" s="7"/>
      <c r="D62" s="7"/>
      <c r="G62" s="7"/>
    </row>
    <row r="63" spans="1:8" ht="14.45" customHeight="1">
      <c r="B63" s="581" t="s">
        <v>221</v>
      </c>
      <c r="C63" s="581"/>
      <c r="D63" s="581"/>
      <c r="E63" s="581"/>
      <c r="F63" s="581"/>
      <c r="G63" s="581"/>
      <c r="H63" s="55" t="s">
        <v>110</v>
      </c>
    </row>
    <row r="64" spans="1:8">
      <c r="B64" s="581"/>
      <c r="C64" s="581"/>
      <c r="D64" s="581"/>
      <c r="E64" s="581"/>
      <c r="F64" s="581"/>
      <c r="G64" s="581"/>
    </row>
    <row r="65" spans="1:8" s="17" customFormat="1" ht="14.1" customHeight="1">
      <c r="A65" s="23"/>
      <c r="B65" s="580" t="s">
        <v>215</v>
      </c>
      <c r="C65" s="580"/>
      <c r="D65" s="580"/>
      <c r="E65" s="580"/>
      <c r="F65" s="580"/>
      <c r="G65" s="580"/>
      <c r="H65" s="55" t="s">
        <v>110</v>
      </c>
    </row>
    <row r="66" spans="1:8" s="17" customFormat="1" ht="14.1" customHeight="1">
      <c r="A66" s="23"/>
      <c r="B66" s="580"/>
      <c r="C66" s="580"/>
      <c r="D66" s="580"/>
      <c r="E66" s="580"/>
      <c r="F66" s="580"/>
      <c r="G66" s="580"/>
    </row>
    <row r="67" spans="1:8" s="17" customFormat="1" ht="14.25">
      <c r="A67" s="23"/>
      <c r="B67" s="318"/>
      <c r="C67" s="42" t="s">
        <v>170</v>
      </c>
      <c r="D67" s="43">
        <f>'1 Rates'!B24</f>
        <v>37.178750000000001</v>
      </c>
      <c r="E67" s="299" t="s">
        <v>241</v>
      </c>
      <c r="F67" s="4"/>
      <c r="G67" s="42"/>
    </row>
    <row r="68" spans="1:8" s="17" customFormat="1" ht="14.25">
      <c r="A68" s="23"/>
      <c r="B68" s="318"/>
      <c r="C68" s="44" t="s">
        <v>87</v>
      </c>
      <c r="D68" s="45">
        <f>'1 Rates'!D23</f>
        <v>8760</v>
      </c>
      <c r="E68" s="299" t="s">
        <v>241</v>
      </c>
      <c r="F68" s="4"/>
      <c r="G68" s="44"/>
    </row>
    <row r="69" spans="1:8" s="17" customFormat="1" ht="13.9" customHeight="1">
      <c r="A69" s="23"/>
      <c r="B69" s="318"/>
      <c r="C69" s="42" t="s">
        <v>171</v>
      </c>
      <c r="D69" s="43">
        <f>'1 Rates'!$B$23</f>
        <v>20416.666666666668</v>
      </c>
      <c r="E69" s="299" t="s">
        <v>241</v>
      </c>
      <c r="F69" s="4"/>
      <c r="G69" s="44"/>
    </row>
    <row r="70" spans="1:8" s="17" customFormat="1" ht="14.25">
      <c r="A70" s="23"/>
      <c r="B70" s="580" t="s">
        <v>222</v>
      </c>
      <c r="C70" s="580"/>
      <c r="D70" s="580"/>
      <c r="E70" s="580"/>
      <c r="F70" s="580"/>
      <c r="G70" s="580"/>
      <c r="H70" s="55" t="s">
        <v>110</v>
      </c>
    </row>
    <row r="71" spans="1:8" s="17" customFormat="1" ht="14.25">
      <c r="A71" s="23"/>
      <c r="B71" s="580"/>
      <c r="C71" s="580"/>
      <c r="D71" s="580"/>
      <c r="E71" s="580"/>
      <c r="F71" s="580"/>
      <c r="G71" s="580"/>
      <c r="H71" s="55" t="s">
        <v>110</v>
      </c>
    </row>
    <row r="72" spans="1:8" s="17" customFormat="1" ht="14.25">
      <c r="A72" s="23"/>
      <c r="B72" s="318"/>
      <c r="C72" s="59" t="s">
        <v>121</v>
      </c>
      <c r="D72" s="50">
        <f>'2 Gas Data'!G8</f>
        <v>8.6622386649299124E-2</v>
      </c>
      <c r="E72" s="299" t="s">
        <v>284</v>
      </c>
      <c r="F72" s="413"/>
      <c r="G72" s="413"/>
      <c r="H72" s="62"/>
    </row>
    <row r="73" spans="1:8" s="17" customFormat="1" ht="14.25">
      <c r="A73" s="23"/>
      <c r="B73" s="318"/>
      <c r="C73" s="152" t="s">
        <v>174</v>
      </c>
      <c r="D73" s="54">
        <f>'2 Gas Data'!G9</f>
        <v>587.2286661244068</v>
      </c>
      <c r="E73" s="299" t="s">
        <v>284</v>
      </c>
      <c r="F73" s="416"/>
      <c r="G73" s="49"/>
      <c r="H73" s="49"/>
    </row>
    <row r="74" spans="1:8" s="17" customFormat="1" ht="13.9" customHeight="1">
      <c r="A74" s="23"/>
      <c r="B74" s="318"/>
      <c r="C74" s="152" t="s">
        <v>156</v>
      </c>
      <c r="D74" s="53">
        <f>'4 Flare1'!$D$74</f>
        <v>0.99</v>
      </c>
      <c r="E74" s="299" t="s">
        <v>234</v>
      </c>
      <c r="F74" s="416"/>
      <c r="G74" s="49"/>
      <c r="H74" s="49"/>
    </row>
    <row r="75" spans="1:8" s="17" customFormat="1" ht="14.25">
      <c r="A75" s="23"/>
      <c r="B75" s="565" t="s">
        <v>223</v>
      </c>
      <c r="C75" s="565"/>
      <c r="D75" s="565"/>
      <c r="E75" s="565"/>
      <c r="F75" s="565"/>
      <c r="G75" s="565"/>
      <c r="H75" s="55" t="s">
        <v>110</v>
      </c>
    </row>
    <row r="76" spans="1:8" s="17" customFormat="1" ht="14.25">
      <c r="A76" s="23"/>
      <c r="B76" s="565"/>
      <c r="C76" s="565"/>
      <c r="D76" s="565"/>
      <c r="E76" s="565"/>
      <c r="F76" s="565"/>
      <c r="G76" s="565"/>
      <c r="H76" s="55" t="s">
        <v>110</v>
      </c>
    </row>
    <row r="77" spans="1:8" ht="14.45" customHeight="1">
      <c r="B77" s="318"/>
      <c r="C77" s="9" t="s">
        <v>173</v>
      </c>
      <c r="D77" s="58">
        <f>'2 Gas Data'!G10</f>
        <v>0.57573269935898719</v>
      </c>
      <c r="E77" s="299" t="s">
        <v>284</v>
      </c>
      <c r="F77" s="48"/>
      <c r="G77" s="413"/>
    </row>
    <row r="78" spans="1:8">
      <c r="B78" s="565" t="s">
        <v>249</v>
      </c>
      <c r="C78" s="565"/>
      <c r="D78" s="565"/>
      <c r="E78" s="565"/>
      <c r="F78" s="565"/>
      <c r="G78" s="565"/>
      <c r="H78" s="55" t="s">
        <v>110</v>
      </c>
    </row>
    <row r="79" spans="1:8" ht="14.25" customHeight="1">
      <c r="B79" s="565"/>
      <c r="C79" s="565"/>
      <c r="D79" s="565"/>
      <c r="E79" s="565"/>
      <c r="F79" s="565"/>
      <c r="G79" s="565"/>
      <c r="H79" s="55" t="s">
        <v>110</v>
      </c>
    </row>
    <row r="80" spans="1:8">
      <c r="B80" s="318"/>
      <c r="C80" s="150" t="s">
        <v>177</v>
      </c>
      <c r="D80" s="151">
        <f>'2 Gas Data'!$F$11</f>
        <v>2980</v>
      </c>
      <c r="E80" s="299" t="s">
        <v>284</v>
      </c>
      <c r="F80" s="48"/>
      <c r="G80" s="413"/>
    </row>
    <row r="81" spans="1:8">
      <c r="B81" s="318"/>
      <c r="C81" s="150" t="s">
        <v>178</v>
      </c>
      <c r="D81" s="151">
        <f>'2 Gas Data'!$F$12</f>
        <v>144</v>
      </c>
      <c r="E81" s="299" t="s">
        <v>284</v>
      </c>
      <c r="F81" s="48"/>
      <c r="G81" s="413"/>
    </row>
    <row r="82" spans="1:8">
      <c r="B82" s="318"/>
      <c r="C82" s="150" t="s">
        <v>179</v>
      </c>
      <c r="D82" s="151">
        <f>'2 Gas Data'!$F$13</f>
        <v>986</v>
      </c>
      <c r="E82" s="299" t="s">
        <v>284</v>
      </c>
      <c r="F82" s="48"/>
      <c r="G82" s="413"/>
    </row>
    <row r="83" spans="1:8">
      <c r="B83" s="318"/>
      <c r="C83" s="150" t="s">
        <v>180</v>
      </c>
      <c r="D83" s="151">
        <f>'2 Gas Data'!$F$14</f>
        <v>165</v>
      </c>
      <c r="E83" s="299" t="s">
        <v>284</v>
      </c>
      <c r="F83" s="48"/>
      <c r="G83" s="413"/>
    </row>
    <row r="84" spans="1:8">
      <c r="B84" s="318"/>
      <c r="C84" s="150" t="s">
        <v>181</v>
      </c>
      <c r="D84" s="151">
        <f>'2 Gas Data'!$F$15</f>
        <v>2570</v>
      </c>
      <c r="E84" s="299" t="s">
        <v>284</v>
      </c>
      <c r="F84" s="48"/>
      <c r="G84" s="413"/>
    </row>
    <row r="85" spans="1:8" ht="14.45" customHeight="1">
      <c r="B85" s="4"/>
      <c r="C85" s="152" t="s">
        <v>182</v>
      </c>
      <c r="D85" s="10">
        <f>'2 Gas Data'!$B$7</f>
        <v>1092.953013546987</v>
      </c>
      <c r="E85" s="299" t="s">
        <v>284</v>
      </c>
      <c r="F85" s="431"/>
      <c r="G85" s="79"/>
    </row>
    <row r="86" spans="1:8">
      <c r="B86" s="580" t="s">
        <v>224</v>
      </c>
      <c r="C86" s="580"/>
      <c r="D86" s="580"/>
      <c r="E86" s="580"/>
      <c r="F86" s="580"/>
      <c r="G86" s="580"/>
      <c r="H86" s="55" t="s">
        <v>110</v>
      </c>
    </row>
    <row r="87" spans="1:8">
      <c r="B87" s="580"/>
      <c r="C87" s="580"/>
      <c r="D87" s="580"/>
      <c r="E87" s="580"/>
      <c r="F87" s="580"/>
      <c r="G87" s="580"/>
      <c r="H87" s="55" t="s">
        <v>110</v>
      </c>
    </row>
    <row r="88" spans="1:8" s="166" customFormat="1" ht="6">
      <c r="A88" s="397"/>
      <c r="B88" s="167"/>
      <c r="C88" s="167"/>
      <c r="D88" s="167"/>
      <c r="E88" s="167"/>
      <c r="F88" s="167"/>
      <c r="G88" s="167"/>
      <c r="H88" s="168"/>
    </row>
    <row r="89" spans="1:8" ht="14.45" customHeight="1">
      <c r="B89" s="46" t="s">
        <v>32</v>
      </c>
      <c r="C89" s="46"/>
      <c r="D89" s="46"/>
      <c r="E89" s="47"/>
      <c r="F89" s="47"/>
      <c r="G89" s="46"/>
    </row>
    <row r="90" spans="1:8" ht="12" customHeight="1">
      <c r="B90" s="565" t="s">
        <v>236</v>
      </c>
      <c r="C90" s="565"/>
      <c r="D90" s="565"/>
      <c r="E90" s="565"/>
      <c r="F90" s="565"/>
      <c r="G90" s="565"/>
      <c r="H90" s="55" t="s">
        <v>110</v>
      </c>
    </row>
    <row r="91" spans="1:8">
      <c r="B91" s="565"/>
      <c r="C91" s="565"/>
      <c r="D91" s="565"/>
      <c r="E91" s="565"/>
      <c r="F91" s="565"/>
      <c r="G91" s="565"/>
    </row>
    <row r="92" spans="1:8">
      <c r="B92" s="565"/>
      <c r="C92" s="565"/>
      <c r="D92" s="565"/>
      <c r="E92" s="565"/>
      <c r="F92" s="565"/>
      <c r="G92" s="565"/>
    </row>
    <row r="93" spans="1:8" ht="14.45" customHeight="1">
      <c r="B93" s="565"/>
      <c r="C93" s="565"/>
      <c r="D93" s="565"/>
      <c r="E93" s="565"/>
      <c r="F93" s="565"/>
      <c r="G93" s="565"/>
    </row>
    <row r="94" spans="1:8" ht="12" customHeight="1">
      <c r="B94" s="565" t="s">
        <v>237</v>
      </c>
      <c r="C94" s="565"/>
      <c r="D94" s="565"/>
      <c r="E94" s="565"/>
      <c r="F94" s="565"/>
      <c r="G94" s="565"/>
      <c r="H94" s="55" t="s">
        <v>110</v>
      </c>
    </row>
    <row r="95" spans="1:8" s="324" customFormat="1" ht="14.25">
      <c r="A95" s="81"/>
      <c r="B95" s="566" t="s">
        <v>366</v>
      </c>
      <c r="C95" s="566"/>
      <c r="D95" s="566"/>
      <c r="E95" s="566"/>
      <c r="F95" s="566"/>
      <c r="G95" s="566"/>
      <c r="H95" s="55" t="s">
        <v>110</v>
      </c>
    </row>
    <row r="96" spans="1:8" s="324" customFormat="1" ht="12">
      <c r="A96" s="81"/>
      <c r="B96" s="566"/>
      <c r="C96" s="566"/>
      <c r="D96" s="566"/>
      <c r="E96" s="566"/>
      <c r="F96" s="566"/>
      <c r="G96" s="566"/>
    </row>
    <row r="97" spans="1:8" s="324" customFormat="1" ht="12">
      <c r="A97" s="81"/>
      <c r="B97" s="566"/>
      <c r="C97" s="566"/>
      <c r="D97" s="566"/>
      <c r="E97" s="566"/>
      <c r="F97" s="566"/>
      <c r="G97" s="566"/>
    </row>
    <row r="98" spans="1:8" ht="12" customHeight="1">
      <c r="B98" s="566" t="s">
        <v>355</v>
      </c>
      <c r="C98" s="565"/>
      <c r="D98" s="565"/>
      <c r="E98" s="565"/>
      <c r="F98" s="565"/>
      <c r="G98" s="565"/>
      <c r="H98" s="55" t="s">
        <v>110</v>
      </c>
    </row>
    <row r="99" spans="1:8">
      <c r="B99" s="565"/>
      <c r="C99" s="565"/>
      <c r="D99" s="565"/>
      <c r="E99" s="565"/>
      <c r="F99" s="565"/>
      <c r="G99" s="565"/>
    </row>
    <row r="100" spans="1:8" ht="14.45" customHeight="1">
      <c r="B100" s="565"/>
      <c r="C100" s="565"/>
      <c r="D100" s="565"/>
      <c r="E100" s="565"/>
      <c r="F100" s="565"/>
      <c r="G100" s="565"/>
    </row>
    <row r="101" spans="1:8">
      <c r="B101" s="565"/>
      <c r="C101" s="565"/>
      <c r="D101" s="565"/>
      <c r="E101" s="565"/>
      <c r="F101" s="565"/>
      <c r="G101" s="565"/>
    </row>
    <row r="102" spans="1:8">
      <c r="B102" s="566" t="s">
        <v>357</v>
      </c>
      <c r="C102" s="565"/>
      <c r="D102" s="565"/>
      <c r="E102" s="565"/>
      <c r="F102" s="565"/>
      <c r="G102" s="565"/>
      <c r="H102" s="55" t="s">
        <v>110</v>
      </c>
    </row>
    <row r="103" spans="1:8">
      <c r="B103" s="565"/>
      <c r="C103" s="565"/>
      <c r="D103" s="565"/>
      <c r="E103" s="565"/>
      <c r="F103" s="565"/>
      <c r="G103" s="565"/>
      <c r="H103"/>
    </row>
    <row r="104" spans="1:8" ht="14.45" customHeight="1">
      <c r="B104" s="565"/>
      <c r="C104" s="565"/>
      <c r="D104" s="565"/>
      <c r="E104" s="565"/>
      <c r="F104" s="565"/>
      <c r="G104" s="565"/>
      <c r="H104"/>
    </row>
    <row r="105" spans="1:8">
      <c r="B105" s="565"/>
      <c r="C105" s="565"/>
      <c r="D105" s="565"/>
      <c r="E105" s="565"/>
      <c r="F105" s="565"/>
      <c r="G105" s="565"/>
      <c r="H105"/>
    </row>
    <row r="106" spans="1:8">
      <c r="B106" s="582" t="s">
        <v>359</v>
      </c>
      <c r="C106" s="564"/>
      <c r="D106" s="564"/>
      <c r="E106" s="564"/>
      <c r="F106" s="564"/>
      <c r="G106" s="564"/>
      <c r="H106" s="55" t="s">
        <v>110</v>
      </c>
    </row>
    <row r="107" spans="1:8">
      <c r="B107" s="582" t="s">
        <v>361</v>
      </c>
      <c r="C107" s="564"/>
      <c r="D107" s="564"/>
      <c r="E107" s="564"/>
      <c r="F107" s="564"/>
      <c r="G107" s="564"/>
      <c r="H107" s="55" t="s">
        <v>110</v>
      </c>
    </row>
    <row r="108" spans="1:8">
      <c r="B108" s="2"/>
      <c r="C108" s="5"/>
      <c r="D108" s="5"/>
      <c r="F108" s="5"/>
    </row>
    <row r="109" spans="1:8">
      <c r="B109" s="2"/>
      <c r="C109" s="2"/>
      <c r="D109" s="2"/>
      <c r="F109" s="2"/>
    </row>
    <row r="110" spans="1:8">
      <c r="B110" s="2"/>
      <c r="C110" s="2"/>
      <c r="D110" s="2"/>
      <c r="F110" s="2"/>
    </row>
    <row r="111" spans="1:8">
      <c r="B111" s="2"/>
      <c r="C111" s="3"/>
      <c r="D111" s="3"/>
      <c r="F111" s="3"/>
    </row>
  </sheetData>
  <mergeCells count="14">
    <mergeCell ref="B106:G106"/>
    <mergeCell ref="B107:G107"/>
    <mergeCell ref="C3:E5"/>
    <mergeCell ref="B98:G101"/>
    <mergeCell ref="B78:G79"/>
    <mergeCell ref="B90:G93"/>
    <mergeCell ref="B94:G94"/>
    <mergeCell ref="B86:G87"/>
    <mergeCell ref="B63:G64"/>
    <mergeCell ref="B65:G66"/>
    <mergeCell ref="B70:G71"/>
    <mergeCell ref="B75:G76"/>
    <mergeCell ref="B102:G105"/>
    <mergeCell ref="B95:G97"/>
  </mergeCells>
  <conditionalFormatting sqref="G8 G11:G12 G17:G30 G32:G59">
    <cfRule type="cellIs" dxfId="143" priority="65" operator="greaterThan">
      <formula>#REF!</formula>
    </cfRule>
    <cfRule type="cellIs" dxfId="142" priority="66" operator="greaterThan">
      <formula>#REF!</formula>
    </cfRule>
  </conditionalFormatting>
  <conditionalFormatting sqref="G14:G16">
    <cfRule type="cellIs" dxfId="141" priority="1" operator="greaterThan">
      <formula>#REF!</formula>
    </cfRule>
    <cfRule type="cellIs" dxfId="140" priority="2" operator="greaterThan">
      <formula>#REF!</formula>
    </cfRule>
  </conditionalFormatting>
  <printOptions horizontalCentered="1"/>
  <pageMargins left="0.75" right="0.75" top="1.6" bottom="1" header="0.75" footer="0.5"/>
  <pageSetup paperSize="119" orientation="portrait" r:id="rId1"/>
  <headerFooter>
    <oddHeader>&amp;C&amp;"-,Bold"Table B-8
Liquefying Case 5: Potential Emissions from Enclosed Ground Flare Burners
Puget Sound Energy – Liquefied Natural Gas Project
Tacoma, Washington&amp;R&amp;8Page &amp;P of &amp;N</oddHeader>
    <oddFooter>&amp;L&amp;6 May 2017  &amp;Z&amp;F  &amp;A&amp;R&amp;9Landau Associates</oddFooter>
  </headerFooter>
  <rowBreaks count="1" manualBreakCount="1">
    <brk id="77" min="1" max="6" man="1"/>
  </rowBreaks>
  <extLst>
    <ext xmlns:x14="http://schemas.microsoft.com/office/spreadsheetml/2009/9/main" uri="{78C0D931-6437-407d-A8EE-F0AAD7539E65}">
      <x14:conditionalFormattings>
        <x14:conditionalFormatting xmlns:xm="http://schemas.microsoft.com/office/excel/2006/main">
          <x14:cfRule type="cellIs" priority="3" operator="greaterThan" id="{551E902D-445B-4233-8FCD-A09C7F3DE58B}">
            <xm:f>'7 Flare4'!#REF!</xm:f>
            <x14:dxf>
              <font>
                <condense val="0"/>
                <extend val="0"/>
                <color rgb="FF9C6500"/>
              </font>
              <fill>
                <patternFill>
                  <bgColor rgb="FFFFEB9C"/>
                </patternFill>
              </fill>
            </x14:dxf>
          </x14:cfRule>
          <x14:cfRule type="cellIs" priority="4" operator="greaterThan" id="{72CF6F2B-B794-4269-8A40-20F109EF94CC}">
            <xm:f>'7 Flare4'!#REF!</xm:f>
            <x14:dxf>
              <font>
                <condense val="0"/>
                <extend val="0"/>
                <color rgb="FF9C0006"/>
              </font>
              <fill>
                <patternFill>
                  <bgColor rgb="FFFFC7CE"/>
                </patternFill>
              </fill>
            </x14:dxf>
          </x14:cfRule>
          <xm:sqref>G31:H31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9"/>
  <sheetViews>
    <sheetView topLeftCell="B23" zoomScaleNormal="100" zoomScaleSheetLayoutView="100" zoomScalePageLayoutView="85" workbookViewId="0">
      <selection activeCell="F60" sqref="F60"/>
    </sheetView>
  </sheetViews>
  <sheetFormatPr defaultColWidth="9.140625" defaultRowHeight="12"/>
  <cols>
    <col min="1" max="1" width="0" style="81" hidden="1" customWidth="1"/>
    <col min="2" max="2" width="27.28515625" style="38" customWidth="1"/>
    <col min="3" max="3" width="12.140625" style="38" customWidth="1"/>
    <col min="4" max="4" width="10" style="38" bestFit="1" customWidth="1"/>
    <col min="5" max="5" width="1.85546875" style="8" bestFit="1" customWidth="1"/>
    <col min="6" max="6" width="13.85546875" style="8" customWidth="1"/>
    <col min="7" max="7" width="15.5703125" style="38" customWidth="1"/>
    <col min="8" max="8" width="1.28515625" style="17" bestFit="1" customWidth="1"/>
    <col min="9" max="16384" width="9.140625" style="63"/>
  </cols>
  <sheetData>
    <row r="1" spans="1:7">
      <c r="B1" s="161" t="s">
        <v>233</v>
      </c>
      <c r="C1" s="161"/>
      <c r="D1" s="161"/>
      <c r="E1" s="161"/>
      <c r="F1" s="161"/>
      <c r="G1" s="161"/>
    </row>
    <row r="3" spans="1:7" s="17" customFormat="1">
      <c r="A3" s="23"/>
      <c r="B3" s="236"/>
      <c r="C3" s="571" t="s">
        <v>31</v>
      </c>
      <c r="D3" s="572"/>
      <c r="E3" s="573"/>
      <c r="F3" s="244" t="s">
        <v>98</v>
      </c>
      <c r="G3" s="244"/>
    </row>
    <row r="4" spans="1:7" s="17" customFormat="1" ht="14.25">
      <c r="A4" s="23"/>
      <c r="B4" s="238"/>
      <c r="C4" s="574"/>
      <c r="D4" s="575"/>
      <c r="E4" s="576"/>
      <c r="F4" s="245" t="s">
        <v>210</v>
      </c>
      <c r="G4" s="245" t="s">
        <v>211</v>
      </c>
    </row>
    <row r="5" spans="1:7" s="17" customFormat="1" ht="15.75" customHeight="1" thickBot="1">
      <c r="A5" s="395" t="s">
        <v>302</v>
      </c>
      <c r="B5" s="418" t="s">
        <v>30</v>
      </c>
      <c r="C5" s="577"/>
      <c r="D5" s="578"/>
      <c r="E5" s="579"/>
      <c r="F5" s="242" t="s">
        <v>113</v>
      </c>
      <c r="G5" s="242" t="s">
        <v>114</v>
      </c>
    </row>
    <row r="6" spans="1:7" s="17" customFormat="1" ht="12.75" thickTop="1">
      <c r="A6" s="23"/>
      <c r="B6" s="82" t="s">
        <v>77</v>
      </c>
      <c r="C6" s="420"/>
      <c r="D6" s="420"/>
      <c r="E6" s="93"/>
      <c r="F6" s="421"/>
      <c r="G6" s="421"/>
    </row>
    <row r="7" spans="1:7" s="17" customFormat="1" ht="14.25">
      <c r="A7" s="395" t="s">
        <v>300</v>
      </c>
      <c r="B7" s="83" t="s">
        <v>185</v>
      </c>
      <c r="C7" s="122">
        <f>INDEX('4 Flare1'!C:C,MATCH($A7,'4 Flare1'!$A:$A,0))</f>
        <v>7.4509803921568628E-3</v>
      </c>
      <c r="D7" s="122" t="str">
        <f>'4 Flare1'!D7</f>
        <v>lb/MMBtu</v>
      </c>
      <c r="E7" s="243">
        <f>'3 Vapor'!D7</f>
        <v>1</v>
      </c>
      <c r="F7" s="87">
        <f>C7*$D$67</f>
        <v>6.8052287581699357E-3</v>
      </c>
      <c r="G7" s="85">
        <f>C7*$D$67*$D$68/2000</f>
        <v>2.980690196078432E-2</v>
      </c>
    </row>
    <row r="8" spans="1:7" s="17" customFormat="1" ht="14.25">
      <c r="A8" s="395">
        <v>2025884</v>
      </c>
      <c r="B8" s="83" t="s">
        <v>184</v>
      </c>
      <c r="C8" s="97">
        <f>D72*D73/10^6*2*10^6*D74</f>
        <v>1.6399883425934283</v>
      </c>
      <c r="D8" s="97" t="s">
        <v>169</v>
      </c>
      <c r="E8" s="243" t="s">
        <v>212</v>
      </c>
      <c r="F8" s="87">
        <f>C8*$D$69/1000000</f>
        <v>1.3666569521611903E-3</v>
      </c>
      <c r="G8" s="85">
        <f>C8*$D$69/1000000*$D$68/2000</f>
        <v>5.9859574504660135E-3</v>
      </c>
    </row>
    <row r="9" spans="1:7" s="17" customFormat="1" ht="14.25">
      <c r="A9" s="398" t="s">
        <v>311</v>
      </c>
      <c r="B9" s="83" t="s">
        <v>213</v>
      </c>
      <c r="C9" s="311">
        <v>6.3503649635036491E-2</v>
      </c>
      <c r="D9" s="95" t="s">
        <v>102</v>
      </c>
      <c r="E9" s="246" t="s">
        <v>234</v>
      </c>
      <c r="F9" s="87">
        <f>C9*$D$67</f>
        <v>5.8000000000000003E-2</v>
      </c>
      <c r="G9" s="84">
        <f>C9*$D$67*$D$68/2000</f>
        <v>0.25404000000000004</v>
      </c>
    </row>
    <row r="10" spans="1:7" s="17" customFormat="1" ht="14.25">
      <c r="A10" s="395" t="s">
        <v>73</v>
      </c>
      <c r="B10" s="83" t="s">
        <v>0</v>
      </c>
      <c r="C10" s="311">
        <v>0.18941605839416054</v>
      </c>
      <c r="D10" s="95" t="s">
        <v>102</v>
      </c>
      <c r="E10" s="246" t="s">
        <v>234</v>
      </c>
      <c r="F10" s="84">
        <f>C10*$D$67</f>
        <v>0.17299999999999999</v>
      </c>
      <c r="G10" s="84">
        <f>C10*$D$67*$D$68/2000</f>
        <v>0.75773999999999986</v>
      </c>
    </row>
    <row r="11" spans="1:7" s="17" customFormat="1" ht="14.25">
      <c r="A11" s="395" t="s">
        <v>1</v>
      </c>
      <c r="B11" s="83" t="s">
        <v>101</v>
      </c>
      <c r="C11" s="96">
        <f>$D$72*$D$77*(1-$D$74)*10^6</f>
        <v>85.067922612908035</v>
      </c>
      <c r="D11" s="97" t="s">
        <v>169</v>
      </c>
      <c r="E11" s="243" t="s">
        <v>218</v>
      </c>
      <c r="F11" s="85">
        <f>$C$11*$D$69/1000000</f>
        <v>7.0889935510756702E-2</v>
      </c>
      <c r="G11" s="84">
        <f>C11*$D$69/1000000*$D$68/2000</f>
        <v>0.31049791753711437</v>
      </c>
    </row>
    <row r="12" spans="1:7" s="17" customFormat="1" ht="14.25">
      <c r="A12" s="395" t="s">
        <v>306</v>
      </c>
      <c r="B12" s="98" t="s">
        <v>78</v>
      </c>
      <c r="C12" s="410">
        <f>INDEX('4 Flare1'!C:C,MATCH($A12,'4 Flare1'!$A:$A,0))</f>
        <v>4.9019607843137254E-7</v>
      </c>
      <c r="D12" s="125" t="str">
        <f>'4 Flare1'!D12</f>
        <v>lb/MMBtu</v>
      </c>
      <c r="E12" s="297">
        <f>'3 Vapor'!D12</f>
        <v>1</v>
      </c>
      <c r="F12" s="90">
        <f>$C$12*$D$67</f>
        <v>4.4771241830065362E-7</v>
      </c>
      <c r="G12" s="90">
        <f>C12*$D$67*$D$68/2000</f>
        <v>1.9609803921568628E-6</v>
      </c>
    </row>
    <row r="13" spans="1:7" s="17" customFormat="1">
      <c r="A13" s="395"/>
      <c r="B13" s="101" t="s">
        <v>158</v>
      </c>
      <c r="C13" s="127"/>
      <c r="D13" s="102"/>
      <c r="E13" s="383"/>
      <c r="F13" s="103"/>
      <c r="G13" s="103"/>
    </row>
    <row r="14" spans="1:7" s="17" customFormat="1" ht="14.25">
      <c r="A14" s="395" t="s">
        <v>56</v>
      </c>
      <c r="B14" s="83" t="s">
        <v>9</v>
      </c>
      <c r="C14" s="129">
        <f>INDEX('4 Flare1'!C:C,MATCH($A14,'4 Flare1'!$A:$A,0))</f>
        <v>8.3039215686274504E-6</v>
      </c>
      <c r="D14" s="122" t="str">
        <f>'4 Flare1'!D14</f>
        <v>lb/MMBtu</v>
      </c>
      <c r="E14" s="243" t="s">
        <v>235</v>
      </c>
      <c r="F14" s="90">
        <f t="shared" ref="F14:F26" si="0">C14*$D$67</f>
        <v>7.5842483660130719E-6</v>
      </c>
      <c r="G14" s="90">
        <f t="shared" ref="G14:G15" si="1">C14*$D$67*$D$68/2000</f>
        <v>3.3219007843137254E-5</v>
      </c>
    </row>
    <row r="15" spans="1:7" s="17" customFormat="1" ht="14.25">
      <c r="A15" s="395" t="s">
        <v>57</v>
      </c>
      <c r="B15" s="83" t="s">
        <v>10</v>
      </c>
      <c r="C15" s="129">
        <f>INDEX('4 Flare1'!C:C,MATCH($A15,'4 Flare1'!$A:$A,0))</f>
        <v>2.647058823529412E-6</v>
      </c>
      <c r="D15" s="122" t="str">
        <f>'4 Flare1'!D15</f>
        <v>lb/MMBtu</v>
      </c>
      <c r="E15" s="243" t="s">
        <v>235</v>
      </c>
      <c r="F15" s="90">
        <f t="shared" si="0"/>
        <v>2.4176470588235301E-6</v>
      </c>
      <c r="G15" s="90">
        <f t="shared" si="1"/>
        <v>1.0589294117647061E-5</v>
      </c>
    </row>
    <row r="16" spans="1:7" s="17" customFormat="1" ht="14.25">
      <c r="A16" s="395" t="s">
        <v>153</v>
      </c>
      <c r="B16" s="83" t="s">
        <v>152</v>
      </c>
      <c r="C16" s="129">
        <f>INDEX('4 Flare1'!C:C,MATCH($A16,'4 Flare1'!$A:$A,0))</f>
        <v>3.1372549019607846E-3</v>
      </c>
      <c r="D16" s="122" t="str">
        <f>'4 Flare1'!D16</f>
        <v>lb/MMBtu</v>
      </c>
      <c r="E16" s="243" t="s">
        <v>235</v>
      </c>
      <c r="F16" s="90">
        <f t="shared" si="0"/>
        <v>2.8653594771241835E-3</v>
      </c>
      <c r="G16" s="90">
        <f t="shared" ref="G16:G26" si="2">C16*$D$67*$D$68/2000</f>
        <v>1.2550274509803923E-2</v>
      </c>
    </row>
    <row r="17" spans="1:10" s="17" customFormat="1" ht="14.25">
      <c r="A17" s="395" t="s">
        <v>308</v>
      </c>
      <c r="B17" s="83" t="s">
        <v>33</v>
      </c>
      <c r="C17" s="129">
        <f>INDEX('4 Flare1'!C:C,MATCH($A17,'4 Flare1'!$A:$A,0))</f>
        <v>1.9607843137254904E-7</v>
      </c>
      <c r="D17" s="122" t="str">
        <f>'4 Flare1'!D17</f>
        <v>lb/MMBtu</v>
      </c>
      <c r="E17" s="243">
        <v>4</v>
      </c>
      <c r="F17" s="90">
        <f t="shared" si="0"/>
        <v>1.7908496732026147E-7</v>
      </c>
      <c r="G17" s="90">
        <f t="shared" si="2"/>
        <v>7.8439215686274518E-7</v>
      </c>
    </row>
    <row r="18" spans="1:10" s="17" customFormat="1" ht="14.25">
      <c r="A18" s="395" t="s">
        <v>59</v>
      </c>
      <c r="B18" s="83" t="s">
        <v>12</v>
      </c>
      <c r="C18" s="129">
        <f>$D$80/(453.6*10^6)/35.31*10^6/$D$85*(1-$D$74)</f>
        <v>1.702331003508745E-6</v>
      </c>
      <c r="D18" s="122" t="str">
        <f>'4 Flare1'!D18</f>
        <v>lb/MMBtu</v>
      </c>
      <c r="E18" s="243">
        <v>5</v>
      </c>
      <c r="F18" s="90">
        <f t="shared" si="0"/>
        <v>1.5547956498713207E-6</v>
      </c>
      <c r="G18" s="90">
        <f t="shared" si="2"/>
        <v>6.8100049464363846E-6</v>
      </c>
    </row>
    <row r="19" spans="1:10" s="17" customFormat="1" ht="14.25">
      <c r="A19" s="395" t="s">
        <v>307</v>
      </c>
      <c r="B19" s="83" t="s">
        <v>34</v>
      </c>
      <c r="C19" s="129">
        <f>INDEX('4 Flare1'!C:C,MATCH($A19,'4 Flare1'!$A:$A,0))</f>
        <v>1.1764705882352941E-8</v>
      </c>
      <c r="D19" s="122" t="str">
        <f>'4 Flare1'!D19</f>
        <v>lb/MMBtu</v>
      </c>
      <c r="E19" s="246" t="s">
        <v>239</v>
      </c>
      <c r="F19" s="90">
        <f t="shared" si="0"/>
        <v>1.0745098039215688E-8</v>
      </c>
      <c r="G19" s="90">
        <f t="shared" si="2"/>
        <v>4.7063529411764715E-8</v>
      </c>
    </row>
    <row r="20" spans="1:10" s="17" customFormat="1" ht="14.25">
      <c r="A20" s="395" t="s">
        <v>69</v>
      </c>
      <c r="B20" s="83" t="s">
        <v>35</v>
      </c>
      <c r="C20" s="129">
        <f>INDEX('4 Flare1'!C:C,MATCH($A20,'4 Flare1'!$A:$A,0))</f>
        <v>1.0784313725490197E-6</v>
      </c>
      <c r="D20" s="122" t="str">
        <f>'4 Flare1'!D20</f>
        <v>lb/MMBtu</v>
      </c>
      <c r="E20" s="246" t="s">
        <v>239</v>
      </c>
      <c r="F20" s="90">
        <f t="shared" si="0"/>
        <v>9.8496732026143813E-7</v>
      </c>
      <c r="G20" s="90">
        <f t="shared" si="2"/>
        <v>4.314156862745099E-6</v>
      </c>
    </row>
    <row r="21" spans="1:10" s="17" customFormat="1" ht="14.25">
      <c r="A21" s="395" t="s">
        <v>290</v>
      </c>
      <c r="B21" s="83" t="s">
        <v>80</v>
      </c>
      <c r="C21" s="129">
        <f>INDEX('4 Flare1'!C:C,MATCH($A21,'4 Flare1'!$A:$A,0))</f>
        <v>1.3725490196078432E-6</v>
      </c>
      <c r="D21" s="122" t="str">
        <f>'4 Flare1'!D21</f>
        <v>lb/MMBtu</v>
      </c>
      <c r="E21" s="246" t="s">
        <v>239</v>
      </c>
      <c r="F21" s="90">
        <f t="shared" si="0"/>
        <v>1.2535947712418302E-6</v>
      </c>
      <c r="G21" s="90">
        <f t="shared" si="2"/>
        <v>5.4907450980392165E-6</v>
      </c>
    </row>
    <row r="22" spans="1:10" s="17" customFormat="1" ht="14.25">
      <c r="A22" s="395" t="s">
        <v>70</v>
      </c>
      <c r="B22" s="83" t="s">
        <v>36</v>
      </c>
      <c r="C22" s="129">
        <f>INDEX('4 Flare1'!C:C,MATCH($A22,'4 Flare1'!$A:$A,0))</f>
        <v>8.2352941176470587E-8</v>
      </c>
      <c r="D22" s="122" t="str">
        <f>'4 Flare1'!D22</f>
        <v>lb/MMBtu</v>
      </c>
      <c r="E22" s="246" t="s">
        <v>239</v>
      </c>
      <c r="F22" s="90">
        <f t="shared" si="0"/>
        <v>7.5215686274509815E-8</v>
      </c>
      <c r="G22" s="90">
        <f t="shared" si="2"/>
        <v>3.2944470588235299E-7</v>
      </c>
    </row>
    <row r="23" spans="1:10" s="17" customFormat="1" ht="14.25">
      <c r="A23" s="395" t="s">
        <v>299</v>
      </c>
      <c r="B23" s="83" t="s">
        <v>37</v>
      </c>
      <c r="C23" s="129">
        <f>INDEX('4 Flare1'!C:C,MATCH($A23,'4 Flare1'!$A:$A,0))</f>
        <v>8.3333333333333333E-7</v>
      </c>
      <c r="D23" s="122" t="str">
        <f>'4 Flare1'!D23</f>
        <v>lb/MMBtu</v>
      </c>
      <c r="E23" s="246" t="s">
        <v>239</v>
      </c>
      <c r="F23" s="90">
        <f t="shared" si="0"/>
        <v>7.6111111111111121E-7</v>
      </c>
      <c r="G23" s="90">
        <f t="shared" si="2"/>
        <v>3.333666666666667E-6</v>
      </c>
    </row>
    <row r="24" spans="1:10" s="17" customFormat="1" ht="14.25">
      <c r="A24" s="395" t="s">
        <v>150</v>
      </c>
      <c r="B24" s="83" t="s">
        <v>19</v>
      </c>
      <c r="C24" s="129">
        <f>$D$81/(453.6*10^6)/35.31*10^6/$D$85*(1-$D$74)</f>
        <v>8.2260290102436012E-8</v>
      </c>
      <c r="D24" s="122" t="str">
        <f>'4 Flare1'!D24</f>
        <v>lb/MMBtu</v>
      </c>
      <c r="E24" s="246" t="s">
        <v>240</v>
      </c>
      <c r="F24" s="90">
        <f t="shared" si="0"/>
        <v>7.5131064960224905E-8</v>
      </c>
      <c r="G24" s="90">
        <f t="shared" si="2"/>
        <v>3.2907406452578511E-7</v>
      </c>
    </row>
    <row r="25" spans="1:10" s="17" customFormat="1" ht="14.25">
      <c r="A25" s="395" t="s">
        <v>65</v>
      </c>
      <c r="B25" s="83" t="s">
        <v>22</v>
      </c>
      <c r="C25" s="129">
        <f>INDEX('4 Flare1'!C:C,MATCH($A25,'4 Flare1'!$A:$A,0))</f>
        <v>7.3529411764705876E-5</v>
      </c>
      <c r="D25" s="122" t="str">
        <f>'4 Flare1'!D25</f>
        <v>lb/MMBtu</v>
      </c>
      <c r="E25" s="243">
        <v>5</v>
      </c>
      <c r="F25" s="90">
        <f t="shared" si="0"/>
        <v>6.7156862745098038E-5</v>
      </c>
      <c r="G25" s="90">
        <f t="shared" si="2"/>
        <v>2.9414705882352941E-4</v>
      </c>
    </row>
    <row r="26" spans="1:10" s="17" customFormat="1" ht="14.25">
      <c r="A26" s="395" t="s">
        <v>154</v>
      </c>
      <c r="B26" s="83" t="s">
        <v>23</v>
      </c>
      <c r="C26" s="129">
        <f>INDEX('4 Flare1'!C:C,MATCH($A26,'4 Flare1'!$A:$A,0))</f>
        <v>1.7647058823529412E-3</v>
      </c>
      <c r="D26" s="122" t="str">
        <f>'4 Flare1'!D26</f>
        <v>lb/MMBtu</v>
      </c>
      <c r="E26" s="246" t="s">
        <v>240</v>
      </c>
      <c r="F26" s="90">
        <f t="shared" si="0"/>
        <v>1.6117647058823531E-3</v>
      </c>
      <c r="G26" s="90">
        <f t="shared" si="2"/>
        <v>7.0595294117647067E-3</v>
      </c>
    </row>
    <row r="27" spans="1:10" s="17" customFormat="1" ht="14.25">
      <c r="A27" s="395">
        <v>2148878</v>
      </c>
      <c r="B27" s="83" t="s">
        <v>155</v>
      </c>
      <c r="C27" s="129">
        <f>$D$72*$D$73/10^6*34/32*10^6*(1-$D$74)</f>
        <v>8.8004424949773702E-3</v>
      </c>
      <c r="D27" s="122" t="str">
        <f>'4 Flare1'!D27</f>
        <v>lb/MMBtu</v>
      </c>
      <c r="E27" s="246" t="s">
        <v>220</v>
      </c>
      <c r="F27" s="90">
        <f>C27*$D$69/1000000</f>
        <v>7.3337020791478092E-6</v>
      </c>
      <c r="G27" s="90">
        <f>C27*$D$69/1000000*$D$68/2000</f>
        <v>3.2121615106667403E-5</v>
      </c>
      <c r="H27" s="130"/>
    </row>
    <row r="28" spans="1:10" s="17" customFormat="1" ht="14.25">
      <c r="A28" s="395" t="s">
        <v>306</v>
      </c>
      <c r="B28" s="83" t="s">
        <v>81</v>
      </c>
      <c r="C28" s="129">
        <f>INDEX('4 Flare1'!C:C,MATCH($A28,'4 Flare1'!$A:$A,0))</f>
        <v>4.9019607843137254E-7</v>
      </c>
      <c r="D28" s="122" t="str">
        <f>'4 Flare1'!D28</f>
        <v>lb/MMBtu</v>
      </c>
      <c r="E28" s="243">
        <v>1</v>
      </c>
      <c r="F28" s="90">
        <f>C28*$D$67</f>
        <v>4.4771241830065362E-7</v>
      </c>
      <c r="G28" s="90">
        <f>C28*$D$67*$D$68/2000</f>
        <v>1.9609803921568628E-6</v>
      </c>
    </row>
    <row r="29" spans="1:10" s="17" customFormat="1" ht="14.25">
      <c r="A29" s="395" t="s">
        <v>305</v>
      </c>
      <c r="B29" s="83" t="s">
        <v>38</v>
      </c>
      <c r="C29" s="129">
        <f>INDEX('4 Flare1'!C:C,MATCH($A29,'4 Flare1'!$A:$A,0))</f>
        <v>3.7254901960784315E-7</v>
      </c>
      <c r="D29" s="122" t="str">
        <f>'4 Flare1'!D29</f>
        <v>lb/MMBtu</v>
      </c>
      <c r="E29" s="246" t="s">
        <v>239</v>
      </c>
      <c r="F29" s="90">
        <f>C29*$D$67</f>
        <v>3.4026143790849681E-7</v>
      </c>
      <c r="G29" s="90">
        <f>C29*$D$67*$D$68/2000</f>
        <v>1.490345098039216E-6</v>
      </c>
    </row>
    <row r="30" spans="1:10" s="17" customFormat="1" ht="14.25">
      <c r="A30" s="395" t="s">
        <v>71</v>
      </c>
      <c r="B30" s="83" t="s">
        <v>39</v>
      </c>
      <c r="C30" s="129">
        <f>INDEX('4 Flare1'!C:C,MATCH($A30,'4 Flare1'!$A:$A,0))</f>
        <v>2.5490196078431371E-7</v>
      </c>
      <c r="D30" s="122" t="str">
        <f>'4 Flare1'!D30</f>
        <v>lb/MMBtu</v>
      </c>
      <c r="E30" s="246" t="s">
        <v>239</v>
      </c>
      <c r="F30" s="90">
        <f>C30*$D$67</f>
        <v>2.3281045751633987E-7</v>
      </c>
      <c r="G30" s="90">
        <f>C30*$D$67*$D$68/2000</f>
        <v>1.0197098039215685E-6</v>
      </c>
    </row>
    <row r="31" spans="1:10" s="17" customFormat="1" ht="14.25">
      <c r="A31" s="395" t="s">
        <v>67</v>
      </c>
      <c r="B31" s="83" t="s">
        <v>24</v>
      </c>
      <c r="C31" s="129">
        <f>C51</f>
        <v>5.9803921568627444E-7</v>
      </c>
      <c r="D31" s="122" t="str">
        <f t="shared" ref="D31:G31" si="3">D51</f>
        <v>lb/MMBtu</v>
      </c>
      <c r="E31" s="246" t="str">
        <f t="shared" si="3"/>
        <v>5</v>
      </c>
      <c r="F31" s="90">
        <f t="shared" si="3"/>
        <v>5.4620915032679739E-7</v>
      </c>
      <c r="G31" s="90">
        <f t="shared" si="3"/>
        <v>2.3923960784313728E-6</v>
      </c>
      <c r="H31" s="126"/>
      <c r="I31" s="318"/>
      <c r="J31" s="318"/>
    </row>
    <row r="32" spans="1:10" s="17" customFormat="1" ht="14.25">
      <c r="A32" s="395" t="s">
        <v>293</v>
      </c>
      <c r="B32" s="83" t="s">
        <v>40</v>
      </c>
      <c r="C32" s="129">
        <f>INDEX('4 Flare1'!C:C,MATCH($A32,'4 Flare1'!$A:$A,0))</f>
        <v>2.0588235294117645E-6</v>
      </c>
      <c r="D32" s="122" t="str">
        <f>'4 Flare1'!D32</f>
        <v>lb/MMBtu</v>
      </c>
      <c r="E32" s="246" t="s">
        <v>239</v>
      </c>
      <c r="F32" s="90">
        <f t="shared" ref="F32:F47" si="4">C32*$D$67</f>
        <v>1.8803921568627451E-6</v>
      </c>
      <c r="G32" s="90">
        <f t="shared" ref="G32:G47" si="5">C32*$D$67*$D$68/2000</f>
        <v>8.2361176470588247E-6</v>
      </c>
      <c r="H32" s="210"/>
    </row>
    <row r="33" spans="1:7" s="17" customFormat="1" ht="14.25">
      <c r="A33" s="395" t="s">
        <v>296</v>
      </c>
      <c r="B33" s="83" t="s">
        <v>82</v>
      </c>
      <c r="C33" s="104">
        <f>SUM(C34:C53)</f>
        <v>1.8609803921568625E-6</v>
      </c>
      <c r="D33" s="122" t="str">
        <f>'4 Flare1'!D33</f>
        <v>lb/MMBtu</v>
      </c>
      <c r="E33" s="246" t="s">
        <v>240</v>
      </c>
      <c r="F33" s="90">
        <f t="shared" si="4"/>
        <v>1.6996954248366012E-6</v>
      </c>
      <c r="G33" s="90">
        <f t="shared" si="5"/>
        <v>7.4446659607843138E-6</v>
      </c>
    </row>
    <row r="34" spans="1:7" s="17" customFormat="1" ht="14.25">
      <c r="A34" s="395" t="s">
        <v>285</v>
      </c>
      <c r="B34" s="105" t="s">
        <v>4</v>
      </c>
      <c r="C34" s="411">
        <f>INDEX('4 Flare1'!C:C,MATCH($A34,'4 Flare1'!$A:$A,0))</f>
        <v>2.3529411764705881E-8</v>
      </c>
      <c r="D34" s="131" t="str">
        <f>'4 Flare1'!D34</f>
        <v>lb/MMBtu</v>
      </c>
      <c r="E34" s="246" t="s">
        <v>240</v>
      </c>
      <c r="F34" s="107">
        <f t="shared" si="4"/>
        <v>2.1490196078431375E-8</v>
      </c>
      <c r="G34" s="107">
        <f t="shared" si="5"/>
        <v>9.4127058823529429E-8</v>
      </c>
    </row>
    <row r="35" spans="1:7" s="17" customFormat="1" ht="14.25">
      <c r="A35" s="395" t="s">
        <v>54</v>
      </c>
      <c r="B35" s="105" t="s">
        <v>5</v>
      </c>
      <c r="C35" s="411">
        <f>INDEX('4 Flare1'!C:C,MATCH($A35,'4 Flare1'!$A:$A,0))</f>
        <v>1.7647058823529412E-9</v>
      </c>
      <c r="D35" s="131" t="str">
        <f>'4 Flare1'!D35</f>
        <v>lb/MMBtu</v>
      </c>
      <c r="E35" s="246" t="s">
        <v>240</v>
      </c>
      <c r="F35" s="107">
        <f t="shared" si="4"/>
        <v>1.6117647058823531E-9</v>
      </c>
      <c r="G35" s="107">
        <f t="shared" si="5"/>
        <v>7.0595294117647067E-9</v>
      </c>
    </row>
    <row r="36" spans="1:7" s="17" customFormat="1" ht="14.25">
      <c r="A36" s="395" t="s">
        <v>55</v>
      </c>
      <c r="B36" s="105" t="s">
        <v>6</v>
      </c>
      <c r="C36" s="411">
        <f>INDEX('4 Flare1'!C:C,MATCH($A36,'4 Flare1'!$A:$A,0))</f>
        <v>1.5686274509803922E-8</v>
      </c>
      <c r="D36" s="131" t="str">
        <f>'4 Flare1'!D36</f>
        <v>lb/MMBtu</v>
      </c>
      <c r="E36" s="246" t="s">
        <v>240</v>
      </c>
      <c r="F36" s="107">
        <f t="shared" si="4"/>
        <v>1.4326797385620917E-8</v>
      </c>
      <c r="G36" s="107">
        <f t="shared" si="5"/>
        <v>6.2751372549019628E-8</v>
      </c>
    </row>
    <row r="37" spans="1:7" s="17" customFormat="1" ht="14.25">
      <c r="A37" s="395" t="s">
        <v>287</v>
      </c>
      <c r="B37" s="105" t="s">
        <v>7</v>
      </c>
      <c r="C37" s="411">
        <f>INDEX('4 Flare1'!C:C,MATCH($A37,'4 Flare1'!$A:$A,0))</f>
        <v>1.7647058823529412E-9</v>
      </c>
      <c r="D37" s="131" t="str">
        <f>'4 Flare1'!D37</f>
        <v>lb/MMBtu</v>
      </c>
      <c r="E37" s="246" t="s">
        <v>240</v>
      </c>
      <c r="F37" s="107">
        <f t="shared" si="4"/>
        <v>1.6117647058823531E-9</v>
      </c>
      <c r="G37" s="107">
        <f t="shared" si="5"/>
        <v>7.0595294117647067E-9</v>
      </c>
    </row>
    <row r="38" spans="1:7" s="17" customFormat="1" ht="14.25">
      <c r="A38" s="395" t="s">
        <v>286</v>
      </c>
      <c r="B38" s="105" t="s">
        <v>8</v>
      </c>
      <c r="C38" s="411">
        <f>INDEX('4 Flare1'!C:C,MATCH($A38,'4 Flare1'!$A:$A,0))</f>
        <v>1.7647058823529412E-9</v>
      </c>
      <c r="D38" s="131" t="str">
        <f>'4 Flare1'!D38</f>
        <v>lb/MMBtu</v>
      </c>
      <c r="E38" s="246" t="s">
        <v>240</v>
      </c>
      <c r="F38" s="107">
        <f t="shared" si="4"/>
        <v>1.6117647058823531E-9</v>
      </c>
      <c r="G38" s="107">
        <f t="shared" si="5"/>
        <v>7.0595294117647067E-9</v>
      </c>
    </row>
    <row r="39" spans="1:7" s="17" customFormat="1" ht="14.25">
      <c r="A39" s="395" t="s">
        <v>288</v>
      </c>
      <c r="B39" s="105" t="s">
        <v>11</v>
      </c>
      <c r="C39" s="411">
        <f>INDEX('4 Flare1'!C:C,MATCH($A39,'4 Flare1'!$A:$A,0))</f>
        <v>2.3529411764705881E-9</v>
      </c>
      <c r="D39" s="131" t="str">
        <f>'4 Flare1'!D39</f>
        <v>lb/MMBtu</v>
      </c>
      <c r="E39" s="246" t="s">
        <v>240</v>
      </c>
      <c r="F39" s="107">
        <f t="shared" si="4"/>
        <v>2.1490196078431375E-9</v>
      </c>
      <c r="G39" s="107">
        <f t="shared" si="5"/>
        <v>9.4127058823529422E-9</v>
      </c>
    </row>
    <row r="40" spans="1:7" s="17" customFormat="1" ht="14.25">
      <c r="A40" s="395" t="s">
        <v>58</v>
      </c>
      <c r="B40" s="105" t="s">
        <v>83</v>
      </c>
      <c r="C40" s="411">
        <f>INDEX('4 Flare1'!C:C,MATCH($A40,'4 Flare1'!$A:$A,0))</f>
        <v>1.7647058823529412E-9</v>
      </c>
      <c r="D40" s="131" t="str">
        <f>'4 Flare1'!D40</f>
        <v>lb/MMBtu</v>
      </c>
      <c r="E40" s="246" t="s">
        <v>240</v>
      </c>
      <c r="F40" s="107">
        <f t="shared" si="4"/>
        <v>1.6117647058823531E-9</v>
      </c>
      <c r="G40" s="107">
        <f t="shared" si="5"/>
        <v>7.0595294117647067E-9</v>
      </c>
    </row>
    <row r="41" spans="1:7" s="17" customFormat="1" ht="14.25">
      <c r="A41" s="395" t="s">
        <v>60</v>
      </c>
      <c r="B41" s="105" t="s">
        <v>13</v>
      </c>
      <c r="C41" s="411">
        <f>INDEX('4 Flare1'!C:C,MATCH($A41,'4 Flare1'!$A:$A,0))</f>
        <v>1.176470588235294E-9</v>
      </c>
      <c r="D41" s="131" t="str">
        <f>'4 Flare1'!D41</f>
        <v>lb/MMBtu</v>
      </c>
      <c r="E41" s="246" t="s">
        <v>240</v>
      </c>
      <c r="F41" s="107">
        <f t="shared" si="4"/>
        <v>1.0745098039215688E-9</v>
      </c>
      <c r="G41" s="107">
        <f t="shared" si="5"/>
        <v>4.7063529411764711E-9</v>
      </c>
    </row>
    <row r="42" spans="1:7" s="17" customFormat="1" ht="14.25">
      <c r="A42" s="395" t="s">
        <v>61</v>
      </c>
      <c r="B42" s="105" t="s">
        <v>14</v>
      </c>
      <c r="C42" s="411">
        <f>INDEX('4 Flare1'!C:C,MATCH($A42,'4 Flare1'!$A:$A,0))</f>
        <v>1.7647058823529412E-9</v>
      </c>
      <c r="D42" s="131" t="str">
        <f>'4 Flare1'!D42</f>
        <v>lb/MMBtu</v>
      </c>
      <c r="E42" s="246" t="s">
        <v>240</v>
      </c>
      <c r="F42" s="107">
        <f t="shared" si="4"/>
        <v>1.6117647058823531E-9</v>
      </c>
      <c r="G42" s="107">
        <f t="shared" si="5"/>
        <v>7.0595294117647067E-9</v>
      </c>
    </row>
    <row r="43" spans="1:7" s="17" customFormat="1" ht="14.25">
      <c r="A43" s="395" t="s">
        <v>289</v>
      </c>
      <c r="B43" s="105" t="s">
        <v>15</v>
      </c>
      <c r="C43" s="411">
        <f>INDEX('4 Flare1'!C:C,MATCH($A43,'4 Flare1'!$A:$A,0))</f>
        <v>1.176470588235294E-9</v>
      </c>
      <c r="D43" s="131" t="str">
        <f>'4 Flare1'!D43</f>
        <v>lb/MMBtu</v>
      </c>
      <c r="E43" s="246" t="s">
        <v>240</v>
      </c>
      <c r="F43" s="107">
        <f t="shared" si="4"/>
        <v>1.0745098039215688E-9</v>
      </c>
      <c r="G43" s="107">
        <f t="shared" si="5"/>
        <v>4.7063529411764711E-9</v>
      </c>
    </row>
    <row r="44" spans="1:7" s="17" customFormat="1" ht="14.25">
      <c r="A44" s="395" t="s">
        <v>62</v>
      </c>
      <c r="B44" s="105" t="s">
        <v>16</v>
      </c>
      <c r="C44" s="411">
        <f>INDEX('4 Flare1'!C:C,MATCH($A44,'4 Flare1'!$A:$A,0))</f>
        <v>1.7647058823529412E-9</v>
      </c>
      <c r="D44" s="131" t="str">
        <f>'4 Flare1'!D44</f>
        <v>lb/MMBtu</v>
      </c>
      <c r="E44" s="246" t="s">
        <v>240</v>
      </c>
      <c r="F44" s="107">
        <f t="shared" si="4"/>
        <v>1.6117647058823531E-9</v>
      </c>
      <c r="G44" s="107">
        <f t="shared" si="5"/>
        <v>7.0595294117647067E-9</v>
      </c>
    </row>
    <row r="45" spans="1:7" s="17" customFormat="1" ht="14.25">
      <c r="A45" s="395" t="s">
        <v>63</v>
      </c>
      <c r="B45" s="109" t="s">
        <v>17</v>
      </c>
      <c r="C45" s="411">
        <f>INDEX('4 Flare1'!C:C,MATCH($A45,'4 Flare1'!$A:$A,0))</f>
        <v>1.7647058823529412E-9</v>
      </c>
      <c r="D45" s="131" t="str">
        <f>'4 Flare1'!D45</f>
        <v>lb/MMBtu</v>
      </c>
      <c r="E45" s="246" t="s">
        <v>240</v>
      </c>
      <c r="F45" s="107">
        <f t="shared" si="4"/>
        <v>1.6117647058823531E-9</v>
      </c>
      <c r="G45" s="107">
        <f t="shared" si="5"/>
        <v>7.0595294117647067E-9</v>
      </c>
    </row>
    <row r="46" spans="1:7" s="17" customFormat="1" ht="14.25">
      <c r="A46" s="395" t="s">
        <v>64</v>
      </c>
      <c r="B46" s="109" t="s">
        <v>84</v>
      </c>
      <c r="C46" s="411">
        <f>INDEX('4 Flare1'!C:C,MATCH($A46,'4 Flare1'!$A:$A,0))</f>
        <v>1.176470588235294E-9</v>
      </c>
      <c r="D46" s="131" t="str">
        <f>'4 Flare1'!D46</f>
        <v>lb/MMBtu</v>
      </c>
      <c r="E46" s="246" t="s">
        <v>240</v>
      </c>
      <c r="F46" s="107">
        <f t="shared" si="4"/>
        <v>1.0745098039215688E-9</v>
      </c>
      <c r="G46" s="107">
        <f t="shared" si="5"/>
        <v>4.7063529411764711E-9</v>
      </c>
    </row>
    <row r="47" spans="1:7" s="17" customFormat="1" ht="14.25">
      <c r="A47" s="395" t="s">
        <v>151</v>
      </c>
      <c r="B47" s="109" t="s">
        <v>283</v>
      </c>
      <c r="C47" s="411">
        <f>INDEX('4 Flare1'!C:C,MATCH($A47,'4 Flare1'!$A:$A,0))</f>
        <v>1.176470588235294E-6</v>
      </c>
      <c r="D47" s="131" t="str">
        <f>'4 Flare1'!D47</f>
        <v>lb/MMBtu</v>
      </c>
      <c r="E47" s="246" t="s">
        <v>240</v>
      </c>
      <c r="F47" s="107">
        <f t="shared" si="4"/>
        <v>1.0745098039215686E-6</v>
      </c>
      <c r="G47" s="107">
        <f t="shared" si="5"/>
        <v>4.7063529411764707E-6</v>
      </c>
    </row>
    <row r="48" spans="1:7" ht="14.25">
      <c r="A48" s="396" t="s">
        <v>291</v>
      </c>
      <c r="B48" s="109" t="s">
        <v>20</v>
      </c>
      <c r="C48" s="411">
        <f>INDEX('4 Flare1'!C:C,MATCH($A48,'4 Flare1'!$A:$A,0))</f>
        <v>2.9411764705882352E-9</v>
      </c>
      <c r="D48" s="131" t="str">
        <f>'4 Flare1'!D48</f>
        <v>lb/MMBtu</v>
      </c>
      <c r="E48" s="246" t="s">
        <v>240</v>
      </c>
      <c r="F48" s="107">
        <f t="shared" ref="F48:F59" si="6">C48*$D$67</f>
        <v>2.6862745098039219E-9</v>
      </c>
      <c r="G48" s="107">
        <f t="shared" ref="G48:G59" si="7">C48*$D$67*$D$68/2000</f>
        <v>1.1765882352941179E-8</v>
      </c>
    </row>
    <row r="49" spans="1:8" ht="14.25">
      <c r="A49" s="396" t="s">
        <v>292</v>
      </c>
      <c r="B49" s="109" t="s">
        <v>21</v>
      </c>
      <c r="C49" s="411">
        <f>INDEX('4 Flare1'!C:C,MATCH($A49,'4 Flare1'!$A:$A,0))</f>
        <v>2.7450980392156863E-9</v>
      </c>
      <c r="D49" s="131" t="str">
        <f>'4 Flare1'!D49</f>
        <v>lb/MMBtu</v>
      </c>
      <c r="E49" s="246" t="s">
        <v>240</v>
      </c>
      <c r="F49" s="107">
        <f t="shared" si="6"/>
        <v>2.5071895424836606E-9</v>
      </c>
      <c r="G49" s="107">
        <f t="shared" si="7"/>
        <v>1.0981490196078433E-8</v>
      </c>
    </row>
    <row r="50" spans="1:8" ht="14.25">
      <c r="A50" s="396" t="s">
        <v>66</v>
      </c>
      <c r="B50" s="109" t="s">
        <v>52</v>
      </c>
      <c r="C50" s="411">
        <f>INDEX('4 Flare1'!C:C,MATCH($A50,'4 Flare1'!$A:$A,0))</f>
        <v>1.7647058823529412E-9</v>
      </c>
      <c r="D50" s="131" t="str">
        <f>'4 Flare1'!D50</f>
        <v>lb/MMBtu</v>
      </c>
      <c r="E50" s="246" t="s">
        <v>240</v>
      </c>
      <c r="F50" s="107">
        <f t="shared" si="6"/>
        <v>1.6117647058823531E-9</v>
      </c>
      <c r="G50" s="107">
        <f t="shared" si="7"/>
        <v>7.0595294117647067E-9</v>
      </c>
    </row>
    <row r="51" spans="1:8" ht="14.25">
      <c r="A51" s="396" t="s">
        <v>67</v>
      </c>
      <c r="B51" s="109" t="s">
        <v>24</v>
      </c>
      <c r="C51" s="411">
        <f>INDEX('4 Flare1'!C:C,MATCH($A51,'4 Flare1'!$A:$A,0))</f>
        <v>5.9803921568627444E-7</v>
      </c>
      <c r="D51" s="131" t="str">
        <f>'4 Flare1'!D51</f>
        <v>lb/MMBtu</v>
      </c>
      <c r="E51" s="246" t="s">
        <v>240</v>
      </c>
      <c r="F51" s="107">
        <f t="shared" si="6"/>
        <v>5.4620915032679739E-7</v>
      </c>
      <c r="G51" s="107">
        <f t="shared" si="7"/>
        <v>2.3923960784313728E-6</v>
      </c>
    </row>
    <row r="52" spans="1:8" ht="14.25">
      <c r="A52" s="396" t="s">
        <v>294</v>
      </c>
      <c r="B52" s="109" t="s">
        <v>85</v>
      </c>
      <c r="C52" s="411">
        <f>INDEX('4 Flare1'!C:C,MATCH($A52,'4 Flare1'!$A:$A,0))</f>
        <v>1.6666666666666667E-8</v>
      </c>
      <c r="D52" s="131" t="str">
        <f>'4 Flare1'!D52</f>
        <v>lb/MMBtu</v>
      </c>
      <c r="E52" s="246" t="s">
        <v>240</v>
      </c>
      <c r="F52" s="107">
        <f t="shared" si="6"/>
        <v>1.5222222222222224E-8</v>
      </c>
      <c r="G52" s="107">
        <f t="shared" si="7"/>
        <v>6.6673333333333333E-8</v>
      </c>
    </row>
    <row r="53" spans="1:8" ht="14.25">
      <c r="A53" s="396" t="s">
        <v>295</v>
      </c>
      <c r="B53" s="109" t="s">
        <v>26</v>
      </c>
      <c r="C53" s="411">
        <f>INDEX('4 Flare1'!C:C,MATCH($A53,'4 Flare1'!$A:$A,0))</f>
        <v>4.9019607843137263E-9</v>
      </c>
      <c r="D53" s="131" t="str">
        <f>'4 Flare1'!D53</f>
        <v>lb/MMBtu</v>
      </c>
      <c r="E53" s="246" t="s">
        <v>240</v>
      </c>
      <c r="F53" s="107">
        <f t="shared" si="6"/>
        <v>4.4771241830065372E-9</v>
      </c>
      <c r="G53" s="107">
        <f t="shared" si="7"/>
        <v>1.9609803921568632E-8</v>
      </c>
      <c r="H53" s="136"/>
    </row>
    <row r="54" spans="1:8" s="17" customFormat="1" ht="14.25">
      <c r="A54" s="395" t="s">
        <v>68</v>
      </c>
      <c r="B54" s="83" t="s">
        <v>51</v>
      </c>
      <c r="C54" s="129">
        <f>INDEX('4 Flare1'!C:C,MATCH($A54,'4 Flare1'!$A:$A,0))</f>
        <v>5.1960784313725495E-4</v>
      </c>
      <c r="D54" s="122" t="str">
        <f>'4 Flare1'!D54</f>
        <v>lb/MMBtu</v>
      </c>
      <c r="E54" s="246" t="s">
        <v>235</v>
      </c>
      <c r="F54" s="90">
        <f>C54*$D$67</f>
        <v>4.7457516339869293E-4</v>
      </c>
      <c r="G54" s="90">
        <f>C54*$D$67*$D$68/2000</f>
        <v>2.078639215686275E-3</v>
      </c>
    </row>
    <row r="55" spans="1:8" ht="14.25">
      <c r="A55" s="396" t="s">
        <v>304</v>
      </c>
      <c r="B55" s="83" t="s">
        <v>41</v>
      </c>
      <c r="C55" s="411">
        <f>INDEX('4 Flare1'!C:C,MATCH($A55,'4 Flare1'!$A:$A,0))</f>
        <v>2.3529411764705881E-8</v>
      </c>
      <c r="D55" s="122" t="str">
        <f>'4 Flare1'!D55</f>
        <v>lb/MMBtu</v>
      </c>
      <c r="E55" s="246" t="s">
        <v>239</v>
      </c>
      <c r="F55" s="90">
        <f t="shared" si="6"/>
        <v>2.1490196078431375E-8</v>
      </c>
      <c r="G55" s="90">
        <f t="shared" si="7"/>
        <v>9.4127058823529429E-8</v>
      </c>
    </row>
    <row r="56" spans="1:8" ht="14.25">
      <c r="A56" s="396" t="s">
        <v>303</v>
      </c>
      <c r="B56" s="83" t="s">
        <v>27</v>
      </c>
      <c r="C56" s="129">
        <f>$D$84/(453.6*10^6)/35.31*10^6/$D$85*(1-$D$74)</f>
        <v>1.468117677522642E-6</v>
      </c>
      <c r="D56" s="122" t="str">
        <f>'4 Flare1'!D56</f>
        <v>lb/MMBtu</v>
      </c>
      <c r="E56" s="246" t="s">
        <v>240</v>
      </c>
      <c r="F56" s="90">
        <f t="shared" si="6"/>
        <v>1.3408808121373466E-6</v>
      </c>
      <c r="G56" s="90">
        <f t="shared" si="7"/>
        <v>5.8730579571615787E-6</v>
      </c>
    </row>
    <row r="57" spans="1:8" ht="14.25">
      <c r="A57" s="396" t="s">
        <v>72</v>
      </c>
      <c r="B57" s="83" t="s">
        <v>42</v>
      </c>
      <c r="C57" s="411">
        <f>INDEX('4 Flare1'!C:C,MATCH($A57,'4 Flare1'!$A:$A,0))</f>
        <v>2.2549019607843137E-6</v>
      </c>
      <c r="D57" s="122" t="str">
        <f>'4 Flare1'!D57</f>
        <v>lb/MMBtu</v>
      </c>
      <c r="E57" s="246" t="s">
        <v>239</v>
      </c>
      <c r="F57" s="90">
        <f t="shared" si="6"/>
        <v>2.0594771241830069E-6</v>
      </c>
      <c r="G57" s="90">
        <f t="shared" si="7"/>
        <v>9.0205098039215714E-6</v>
      </c>
    </row>
    <row r="58" spans="1:8" ht="14.25">
      <c r="A58" s="396" t="s">
        <v>147</v>
      </c>
      <c r="B58" s="83" t="s">
        <v>140</v>
      </c>
      <c r="C58" s="129">
        <f>D82/(453.6*10^6)/35.31*10^6/$D$85*(1-$D$74)</f>
        <v>5.6325448639584649E-7</v>
      </c>
      <c r="D58" s="122" t="str">
        <f>'4 Flare1'!D58</f>
        <v>lb/MMBtu</v>
      </c>
      <c r="E58" s="243" t="s">
        <v>219</v>
      </c>
      <c r="F58" s="90">
        <f t="shared" si="6"/>
        <v>5.1443909757487316E-7</v>
      </c>
      <c r="G58" s="90">
        <f t="shared" si="7"/>
        <v>2.2532432473779441E-6</v>
      </c>
    </row>
    <row r="59" spans="1:8" ht="14.25">
      <c r="A59" s="396" t="s">
        <v>146</v>
      </c>
      <c r="B59" s="83" t="s">
        <v>141</v>
      </c>
      <c r="C59" s="129">
        <f>D83/(453.6*10^6)/35.31*10^6/$D$85*(1-$D$74)</f>
        <v>9.4256582409041224E-8</v>
      </c>
      <c r="D59" s="122" t="str">
        <f>'4 Flare1'!D59</f>
        <v>lb/MMBtu</v>
      </c>
      <c r="E59" s="243" t="s">
        <v>219</v>
      </c>
      <c r="F59" s="90">
        <f t="shared" si="6"/>
        <v>8.608767860025766E-8</v>
      </c>
      <c r="G59" s="90">
        <f t="shared" si="7"/>
        <v>3.7706403226912855E-7</v>
      </c>
    </row>
    <row r="60" spans="1:8" ht="14.25">
      <c r="A60" s="396" t="s">
        <v>301</v>
      </c>
      <c r="B60" s="111" t="s">
        <v>49</v>
      </c>
      <c r="C60" s="133"/>
      <c r="D60" s="112"/>
      <c r="E60" s="303"/>
      <c r="F60" s="114">
        <f>SUM(F14:F33,F54:F59)-SUM(F23,F57,F27,F31,F54,F16)</f>
        <v>1.699620768290072E-3</v>
      </c>
      <c r="G60" s="550">
        <f>SUM(G14:G33,G54:G59)-SUM(G23,G57,G27,G31,G54,G16)</f>
        <v>7.444338965110521E-3</v>
      </c>
    </row>
    <row r="61" spans="1:8" s="166" customFormat="1" ht="6">
      <c r="A61" s="397"/>
      <c r="B61" s="422"/>
      <c r="C61" s="422"/>
      <c r="D61" s="422"/>
      <c r="E61" s="423"/>
      <c r="F61" s="423"/>
      <c r="G61" s="422"/>
      <c r="H61" s="165"/>
    </row>
    <row r="62" spans="1:8">
      <c r="B62" s="7" t="s">
        <v>86</v>
      </c>
      <c r="C62" s="7"/>
      <c r="D62" s="7"/>
      <c r="G62" s="7"/>
    </row>
    <row r="63" spans="1:8" ht="14.25">
      <c r="B63" s="581" t="s">
        <v>221</v>
      </c>
      <c r="C63" s="581"/>
      <c r="D63" s="581"/>
      <c r="E63" s="581"/>
      <c r="F63" s="581"/>
      <c r="G63" s="581"/>
      <c r="H63" s="55" t="s">
        <v>110</v>
      </c>
    </row>
    <row r="64" spans="1:8">
      <c r="B64" s="581"/>
      <c r="C64" s="581"/>
      <c r="D64" s="581"/>
      <c r="E64" s="581"/>
      <c r="F64" s="581"/>
      <c r="G64" s="581"/>
    </row>
    <row r="65" spans="1:8" s="17" customFormat="1" ht="14.1" customHeight="1">
      <c r="A65" s="23"/>
      <c r="B65" s="580" t="s">
        <v>215</v>
      </c>
      <c r="C65" s="580"/>
      <c r="D65" s="580"/>
      <c r="E65" s="580"/>
      <c r="F65" s="580"/>
      <c r="G65" s="580"/>
      <c r="H65" s="55" t="s">
        <v>110</v>
      </c>
    </row>
    <row r="66" spans="1:8" s="17" customFormat="1" ht="14.1" customHeight="1">
      <c r="A66" s="23"/>
      <c r="B66" s="580"/>
      <c r="C66" s="580"/>
      <c r="D66" s="580"/>
      <c r="E66" s="580"/>
      <c r="F66" s="580"/>
      <c r="G66" s="580"/>
    </row>
    <row r="67" spans="1:8" s="17" customFormat="1" ht="14.25">
      <c r="A67" s="23"/>
      <c r="B67" s="318"/>
      <c r="C67" s="42" t="s">
        <v>170</v>
      </c>
      <c r="D67" s="57">
        <f>'1 Rates'!B27</f>
        <v>0.91333333333333344</v>
      </c>
      <c r="E67" s="299" t="s">
        <v>241</v>
      </c>
      <c r="F67" s="4"/>
      <c r="G67" s="42"/>
    </row>
    <row r="68" spans="1:8" s="17" customFormat="1" ht="14.25">
      <c r="A68" s="23"/>
      <c r="B68" s="318"/>
      <c r="C68" s="44" t="s">
        <v>87</v>
      </c>
      <c r="D68" s="45">
        <f>'1 Rates'!D26</f>
        <v>8760</v>
      </c>
      <c r="E68" s="299" t="s">
        <v>241</v>
      </c>
      <c r="F68" s="4"/>
      <c r="G68" s="44"/>
    </row>
    <row r="69" spans="1:8" s="17" customFormat="1" ht="14.25">
      <c r="A69" s="23"/>
      <c r="B69" s="318"/>
      <c r="C69" s="42" t="s">
        <v>171</v>
      </c>
      <c r="D69" s="45">
        <f>'1 Rates'!B26</f>
        <v>833.33333333333337</v>
      </c>
      <c r="E69" s="299" t="s">
        <v>241</v>
      </c>
      <c r="F69" s="4"/>
      <c r="G69" s="44"/>
    </row>
    <row r="70" spans="1:8" s="17" customFormat="1" ht="14.25">
      <c r="A70" s="23"/>
      <c r="B70" s="580" t="s">
        <v>222</v>
      </c>
      <c r="C70" s="580"/>
      <c r="D70" s="580"/>
      <c r="E70" s="580"/>
      <c r="F70" s="580"/>
      <c r="G70" s="580"/>
      <c r="H70" s="55" t="s">
        <v>110</v>
      </c>
    </row>
    <row r="71" spans="1:8" s="17" customFormat="1" ht="14.25">
      <c r="A71" s="23"/>
      <c r="B71" s="580"/>
      <c r="C71" s="580"/>
      <c r="D71" s="580"/>
      <c r="E71" s="580"/>
      <c r="F71" s="580"/>
      <c r="G71" s="580"/>
      <c r="H71" s="55" t="s">
        <v>110</v>
      </c>
    </row>
    <row r="72" spans="1:8" s="17" customFormat="1" ht="14.25">
      <c r="A72" s="23"/>
      <c r="B72" s="318"/>
      <c r="C72" s="59" t="s">
        <v>121</v>
      </c>
      <c r="D72" s="537">
        <f>'2 Gas Data'!H8</f>
        <v>4.9390038631467341E-2</v>
      </c>
      <c r="E72" s="299" t="s">
        <v>284</v>
      </c>
      <c r="F72" s="413"/>
      <c r="G72" s="413"/>
      <c r="H72" s="290"/>
    </row>
    <row r="73" spans="1:8" s="17" customFormat="1" ht="14.25">
      <c r="A73" s="23"/>
      <c r="B73" s="318"/>
      <c r="C73" s="152" t="s">
        <v>174</v>
      </c>
      <c r="D73" s="54">
        <f>'2 Gas Data'!H9</f>
        <v>16.770121337302225</v>
      </c>
      <c r="E73" s="299" t="s">
        <v>284</v>
      </c>
      <c r="F73" s="416"/>
      <c r="G73" s="49"/>
      <c r="H73" s="49"/>
    </row>
    <row r="74" spans="1:8" s="17" customFormat="1" ht="14.25">
      <c r="A74" s="23"/>
      <c r="B74" s="318"/>
      <c r="C74" s="152" t="s">
        <v>156</v>
      </c>
      <c r="D74" s="53">
        <f>'4 Flare1'!$D$74</f>
        <v>0.99</v>
      </c>
      <c r="E74" s="299" t="s">
        <v>234</v>
      </c>
      <c r="F74" s="416"/>
      <c r="G74" s="49"/>
      <c r="H74" s="49"/>
    </row>
    <row r="75" spans="1:8" s="17" customFormat="1" ht="14.25">
      <c r="A75" s="23"/>
      <c r="B75" s="565" t="s">
        <v>223</v>
      </c>
      <c r="C75" s="565"/>
      <c r="D75" s="565"/>
      <c r="E75" s="565"/>
      <c r="F75" s="565"/>
      <c r="G75" s="565"/>
      <c r="H75" s="55" t="s">
        <v>110</v>
      </c>
    </row>
    <row r="76" spans="1:8" s="17" customFormat="1" ht="14.25">
      <c r="A76" s="23"/>
      <c r="B76" s="565"/>
      <c r="C76" s="565"/>
      <c r="D76" s="565"/>
      <c r="E76" s="565"/>
      <c r="F76" s="565"/>
      <c r="G76" s="565"/>
      <c r="H76" s="55" t="s">
        <v>110</v>
      </c>
    </row>
    <row r="77" spans="1:8" ht="14.25">
      <c r="B77" s="318"/>
      <c r="C77" s="9" t="s">
        <v>173</v>
      </c>
      <c r="D77" s="56">
        <f>'2 Gas Data'!H10</f>
        <v>0.17223700359430283</v>
      </c>
      <c r="E77" s="299" t="s">
        <v>284</v>
      </c>
      <c r="F77" s="48"/>
      <c r="G77" s="413"/>
    </row>
    <row r="78" spans="1:8" ht="14.25">
      <c r="B78" s="565" t="s">
        <v>249</v>
      </c>
      <c r="C78" s="565"/>
      <c r="D78" s="565"/>
      <c r="E78" s="565"/>
      <c r="F78" s="565"/>
      <c r="G78" s="565"/>
      <c r="H78" s="55" t="s">
        <v>110</v>
      </c>
    </row>
    <row r="79" spans="1:8" ht="14.25">
      <c r="B79" s="565"/>
      <c r="C79" s="565"/>
      <c r="D79" s="565"/>
      <c r="E79" s="565"/>
      <c r="F79" s="565"/>
      <c r="G79" s="565"/>
      <c r="H79" s="55" t="s">
        <v>110</v>
      </c>
    </row>
    <row r="80" spans="1:8" ht="14.25">
      <c r="B80" s="318"/>
      <c r="C80" s="150" t="s">
        <v>177</v>
      </c>
      <c r="D80" s="151">
        <f>'2 Gas Data'!$H$11</f>
        <v>2980</v>
      </c>
      <c r="E80" s="299" t="s">
        <v>284</v>
      </c>
      <c r="F80" s="48"/>
      <c r="G80" s="413"/>
    </row>
    <row r="81" spans="1:8" ht="14.25">
      <c r="B81" s="318"/>
      <c r="C81" s="150" t="s">
        <v>178</v>
      </c>
      <c r="D81" s="151">
        <f>'2 Gas Data'!$H$12</f>
        <v>144</v>
      </c>
      <c r="E81" s="299" t="s">
        <v>284</v>
      </c>
      <c r="F81" s="48"/>
      <c r="G81" s="413"/>
    </row>
    <row r="82" spans="1:8" ht="14.25">
      <c r="B82" s="318"/>
      <c r="C82" s="150" t="s">
        <v>179</v>
      </c>
      <c r="D82" s="151">
        <f>'2 Gas Data'!$H$13</f>
        <v>986</v>
      </c>
      <c r="E82" s="299" t="s">
        <v>284</v>
      </c>
      <c r="F82" s="48"/>
      <c r="G82" s="413"/>
    </row>
    <row r="83" spans="1:8" ht="14.25">
      <c r="B83" s="318"/>
      <c r="C83" s="150" t="s">
        <v>180</v>
      </c>
      <c r="D83" s="151">
        <f>'2 Gas Data'!$H$14</f>
        <v>165</v>
      </c>
      <c r="E83" s="299" t="s">
        <v>284</v>
      </c>
      <c r="F83" s="48"/>
      <c r="G83" s="413"/>
    </row>
    <row r="84" spans="1:8" ht="14.25">
      <c r="B84" s="318"/>
      <c r="C84" s="150" t="s">
        <v>181</v>
      </c>
      <c r="D84" s="151">
        <f>'2 Gas Data'!$H$15</f>
        <v>2570</v>
      </c>
      <c r="E84" s="299" t="s">
        <v>284</v>
      </c>
      <c r="F84" s="48"/>
      <c r="G84" s="413"/>
    </row>
    <row r="85" spans="1:8" ht="14.25">
      <c r="B85" s="4"/>
      <c r="C85" s="152" t="s">
        <v>182</v>
      </c>
      <c r="D85" s="10">
        <f>'2 Gas Data'!$B$7</f>
        <v>1092.953013546987</v>
      </c>
      <c r="E85" s="299" t="s">
        <v>284</v>
      </c>
      <c r="F85" s="431"/>
      <c r="G85" s="79"/>
    </row>
    <row r="86" spans="1:8" ht="14.25">
      <c r="B86" s="580" t="s">
        <v>224</v>
      </c>
      <c r="C86" s="580"/>
      <c r="D86" s="580"/>
      <c r="E86" s="580"/>
      <c r="F86" s="580"/>
      <c r="G86" s="580"/>
      <c r="H86" s="55" t="s">
        <v>110</v>
      </c>
    </row>
    <row r="87" spans="1:8" ht="14.25">
      <c r="B87" s="580"/>
      <c r="C87" s="580"/>
      <c r="D87" s="580"/>
      <c r="E87" s="580"/>
      <c r="F87" s="580"/>
      <c r="G87" s="580"/>
      <c r="H87" s="55" t="s">
        <v>110</v>
      </c>
    </row>
    <row r="88" spans="1:8" s="166" customFormat="1" ht="6">
      <c r="A88" s="397"/>
      <c r="B88" s="167"/>
      <c r="C88" s="167"/>
      <c r="D88" s="167"/>
      <c r="E88" s="167"/>
      <c r="F88" s="167"/>
      <c r="G88" s="167"/>
      <c r="H88" s="168"/>
    </row>
    <row r="89" spans="1:8">
      <c r="B89" s="46" t="s">
        <v>32</v>
      </c>
      <c r="C89" s="46"/>
      <c r="D89" s="46"/>
      <c r="E89" s="47"/>
      <c r="F89" s="47"/>
      <c r="G89" s="46"/>
    </row>
    <row r="90" spans="1:8" ht="12" customHeight="1">
      <c r="B90" s="565" t="s">
        <v>236</v>
      </c>
      <c r="C90" s="565"/>
      <c r="D90" s="565"/>
      <c r="E90" s="565"/>
      <c r="F90" s="565"/>
      <c r="G90" s="565"/>
      <c r="H90" s="55" t="s">
        <v>110</v>
      </c>
    </row>
    <row r="91" spans="1:8">
      <c r="B91" s="565"/>
      <c r="C91" s="565"/>
      <c r="D91" s="565"/>
      <c r="E91" s="565"/>
      <c r="F91" s="565"/>
      <c r="G91" s="565"/>
    </row>
    <row r="92" spans="1:8">
      <c r="B92" s="565"/>
      <c r="C92" s="565"/>
      <c r="D92" s="565"/>
      <c r="E92" s="565"/>
      <c r="F92" s="565"/>
      <c r="G92" s="565"/>
    </row>
    <row r="93" spans="1:8" ht="12" customHeight="1">
      <c r="B93" s="565"/>
      <c r="C93" s="565"/>
      <c r="D93" s="565"/>
      <c r="E93" s="565"/>
      <c r="F93" s="565"/>
      <c r="G93" s="565"/>
    </row>
    <row r="94" spans="1:8" ht="12" customHeight="1">
      <c r="B94" s="565" t="s">
        <v>237</v>
      </c>
      <c r="C94" s="565"/>
      <c r="D94" s="565"/>
      <c r="E94" s="565"/>
      <c r="F94" s="565"/>
      <c r="G94" s="565"/>
      <c r="H94" s="55" t="s">
        <v>110</v>
      </c>
    </row>
    <row r="95" spans="1:8" s="324" customFormat="1" ht="14.25">
      <c r="A95" s="81"/>
      <c r="B95" s="566" t="s">
        <v>366</v>
      </c>
      <c r="C95" s="566"/>
      <c r="D95" s="566"/>
      <c r="E95" s="566"/>
      <c r="F95" s="566"/>
      <c r="G95" s="566"/>
      <c r="H95" s="55" t="s">
        <v>110</v>
      </c>
    </row>
    <row r="96" spans="1:8" s="324" customFormat="1">
      <c r="A96" s="81"/>
      <c r="B96" s="566"/>
      <c r="C96" s="566"/>
      <c r="D96" s="566"/>
      <c r="E96" s="566"/>
      <c r="F96" s="566"/>
      <c r="G96" s="566"/>
    </row>
    <row r="97" spans="1:8" s="324" customFormat="1">
      <c r="A97" s="81"/>
      <c r="B97" s="566"/>
      <c r="C97" s="566"/>
      <c r="D97" s="566"/>
      <c r="E97" s="566"/>
      <c r="F97" s="566"/>
      <c r="G97" s="566"/>
    </row>
    <row r="98" spans="1:8" ht="13.9" customHeight="1">
      <c r="B98" s="566" t="s">
        <v>355</v>
      </c>
      <c r="C98" s="565"/>
      <c r="D98" s="565"/>
      <c r="E98" s="565"/>
      <c r="F98" s="565"/>
      <c r="G98" s="565"/>
      <c r="H98" s="55" t="s">
        <v>110</v>
      </c>
    </row>
    <row r="99" spans="1:8">
      <c r="B99" s="565"/>
      <c r="C99" s="565"/>
      <c r="D99" s="565"/>
      <c r="E99" s="565"/>
      <c r="F99" s="565"/>
      <c r="G99" s="565"/>
    </row>
    <row r="100" spans="1:8">
      <c r="B100" s="565"/>
      <c r="C100" s="565"/>
      <c r="D100" s="565"/>
      <c r="E100" s="565"/>
      <c r="F100" s="565"/>
      <c r="G100" s="565"/>
    </row>
    <row r="101" spans="1:8">
      <c r="B101" s="565"/>
      <c r="C101" s="565"/>
      <c r="D101" s="565"/>
      <c r="E101" s="565"/>
      <c r="F101" s="565"/>
      <c r="G101" s="565"/>
    </row>
    <row r="102" spans="1:8" ht="14.25">
      <c r="B102" s="566" t="s">
        <v>357</v>
      </c>
      <c r="C102" s="565"/>
      <c r="D102" s="565"/>
      <c r="E102" s="565"/>
      <c r="F102" s="565"/>
      <c r="G102" s="565"/>
      <c r="H102" s="55" t="s">
        <v>110</v>
      </c>
    </row>
    <row r="103" spans="1:8">
      <c r="B103" s="565"/>
      <c r="C103" s="565"/>
      <c r="D103" s="565"/>
      <c r="E103" s="565"/>
      <c r="F103" s="565"/>
      <c r="G103" s="565"/>
      <c r="H103" s="63"/>
    </row>
    <row r="104" spans="1:8">
      <c r="B104" s="565"/>
      <c r="C104" s="565"/>
      <c r="D104" s="565"/>
      <c r="E104" s="565"/>
      <c r="F104" s="565"/>
      <c r="G104" s="565"/>
      <c r="H104" s="63"/>
    </row>
    <row r="105" spans="1:8">
      <c r="B105" s="565"/>
      <c r="C105" s="565"/>
      <c r="D105" s="565"/>
      <c r="E105" s="565"/>
      <c r="F105" s="565"/>
      <c r="G105" s="565"/>
      <c r="H105" s="63"/>
    </row>
    <row r="106" spans="1:8" ht="14.25">
      <c r="B106" s="582" t="s">
        <v>359</v>
      </c>
      <c r="C106" s="564"/>
      <c r="D106" s="564"/>
      <c r="E106" s="564"/>
      <c r="F106" s="564"/>
      <c r="G106" s="564"/>
      <c r="H106" s="55" t="s">
        <v>110</v>
      </c>
    </row>
    <row r="107" spans="1:8" ht="14.25">
      <c r="B107" s="582" t="s">
        <v>361</v>
      </c>
      <c r="C107" s="564"/>
      <c r="D107" s="564"/>
      <c r="E107" s="564"/>
      <c r="F107" s="564"/>
      <c r="G107" s="564"/>
      <c r="H107" s="55" t="s">
        <v>110</v>
      </c>
    </row>
    <row r="108" spans="1:8">
      <c r="B108" s="2"/>
      <c r="C108" s="2"/>
      <c r="D108" s="2"/>
      <c r="F108" s="2"/>
    </row>
    <row r="109" spans="1:8">
      <c r="B109" s="2"/>
      <c r="C109" s="3"/>
      <c r="D109" s="3"/>
      <c r="F109" s="3"/>
    </row>
  </sheetData>
  <mergeCells count="14">
    <mergeCell ref="B106:G106"/>
    <mergeCell ref="B107:G107"/>
    <mergeCell ref="C3:E5"/>
    <mergeCell ref="B63:G64"/>
    <mergeCell ref="B65:G66"/>
    <mergeCell ref="B70:G71"/>
    <mergeCell ref="B75:G76"/>
    <mergeCell ref="B78:G79"/>
    <mergeCell ref="B86:G87"/>
    <mergeCell ref="B90:G93"/>
    <mergeCell ref="B94:G94"/>
    <mergeCell ref="B98:G101"/>
    <mergeCell ref="B102:G105"/>
    <mergeCell ref="B95:G97"/>
  </mergeCells>
  <conditionalFormatting sqref="G8 G11:G12 G17:G30 G32:G59">
    <cfRule type="cellIs" dxfId="137" priority="23" operator="greaterThan">
      <formula>#REF!</formula>
    </cfRule>
    <cfRule type="cellIs" dxfId="136" priority="24" operator="greaterThan">
      <formula>#REF!</formula>
    </cfRule>
  </conditionalFormatting>
  <conditionalFormatting sqref="G14:G16">
    <cfRule type="cellIs" dxfId="135" priority="1" operator="greaterThan">
      <formula>#REF!</formula>
    </cfRule>
    <cfRule type="cellIs" dxfId="134" priority="2" operator="greaterThan">
      <formula>#REF!</formula>
    </cfRule>
  </conditionalFormatting>
  <printOptions horizontalCentered="1"/>
  <pageMargins left="0.75" right="0.75" top="1.6" bottom="1" header="0.75" footer="0.5"/>
  <pageSetup paperSize="119" orientation="portrait" r:id="rId1"/>
  <headerFooter>
    <oddHeader>&amp;C&amp;"-,Bold"Table B-9
Flare Holding: Potential Emissions from Enclosed Ground Flare Burners
Puget Sound Energy – Liquefied Natural Gas Project
Tacoma, Washington&amp;R&amp;8Page &amp;P of &amp;N</oddHeader>
    <oddFooter>&amp;L&amp;6 May 2017  &amp;Z&amp;F  &amp;A&amp;R&amp;9Landau Associates</oddFooter>
  </headerFooter>
  <rowBreaks count="1" manualBreakCount="1">
    <brk id="77" min="1" max="6" man="1"/>
  </rowBreaks>
  <extLst>
    <ext xmlns:x14="http://schemas.microsoft.com/office/spreadsheetml/2009/9/main" uri="{78C0D931-6437-407d-A8EE-F0AAD7539E65}">
      <x14:conditionalFormattings>
        <x14:conditionalFormatting xmlns:xm="http://schemas.microsoft.com/office/excel/2006/main">
          <x14:cfRule type="cellIs" priority="3" operator="greaterThan" id="{9EDDB302-3FA8-4245-80D1-90CB6F2BA67B}">
            <xm:f>'7 Flare4'!#REF!</xm:f>
            <x14:dxf>
              <font>
                <condense val="0"/>
                <extend val="0"/>
                <color rgb="FF9C6500"/>
              </font>
              <fill>
                <patternFill>
                  <bgColor rgb="FFFFEB9C"/>
                </patternFill>
              </fill>
            </x14:dxf>
          </x14:cfRule>
          <x14:cfRule type="cellIs" priority="4" operator="greaterThan" id="{9C175D61-DDB5-4D5D-B1E9-3CDC6BA99EBA}">
            <xm:f>'7 Flare4'!#REF!</xm:f>
            <x14:dxf>
              <font>
                <condense val="0"/>
                <extend val="0"/>
                <color rgb="FF9C0006"/>
              </font>
              <fill>
                <patternFill>
                  <bgColor rgb="FFFFC7CE"/>
                </patternFill>
              </fill>
            </x14:dxf>
          </x14:cfRule>
          <xm:sqref>G31:H31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1 Rates</vt:lpstr>
      <vt:lpstr>2 Gas Data</vt:lpstr>
      <vt:lpstr>3 Vapor</vt:lpstr>
      <vt:lpstr>4 Flare1</vt:lpstr>
      <vt:lpstr>5 Flare2</vt:lpstr>
      <vt:lpstr>6 Flare3</vt:lpstr>
      <vt:lpstr>7 Flare4</vt:lpstr>
      <vt:lpstr>8 Flare5</vt:lpstr>
      <vt:lpstr>9 Flare Hold</vt:lpstr>
      <vt:lpstr>10 Flare Purge A1</vt:lpstr>
      <vt:lpstr>11 Flare Purge A2</vt:lpstr>
      <vt:lpstr>12 Flare Purge B</vt:lpstr>
      <vt:lpstr>13 Fugitives</vt:lpstr>
      <vt:lpstr>14 Summary</vt:lpstr>
      <vt:lpstr>A1 WPG</vt:lpstr>
      <vt:lpstr>A2 Regen</vt:lpstr>
      <vt:lpstr>A3 E Gen</vt:lpstr>
      <vt:lpstr>Scenarios</vt:lpstr>
      <vt:lpstr>'1 Rates'!Print_Area</vt:lpstr>
      <vt:lpstr>'10 Flare Purge A1'!Print_Area</vt:lpstr>
      <vt:lpstr>'11 Flare Purge A2'!Print_Area</vt:lpstr>
      <vt:lpstr>'12 Flare Purge B'!Print_Area</vt:lpstr>
      <vt:lpstr>'13 Fugitives'!Print_Area</vt:lpstr>
      <vt:lpstr>'14 Summary'!Print_Area</vt:lpstr>
      <vt:lpstr>'2 Gas Data'!Print_Area</vt:lpstr>
      <vt:lpstr>'3 Vapor'!Print_Area</vt:lpstr>
      <vt:lpstr>'4 Flare1'!Print_Area</vt:lpstr>
      <vt:lpstr>'5 Flare2'!Print_Area</vt:lpstr>
      <vt:lpstr>'6 Flare3'!Print_Area</vt:lpstr>
      <vt:lpstr>'7 Flare4'!Print_Area</vt:lpstr>
      <vt:lpstr>'8 Flare5'!Print_Area</vt:lpstr>
      <vt:lpstr>'9 Flare Hold'!Print_Area</vt:lpstr>
      <vt:lpstr>'A3 E Gen'!Print_Area</vt:lpstr>
    </vt:vector>
  </TitlesOfParts>
  <Company>CH2M HILL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Neumann, Michelle/SEA</dc:creator>
  <cp:lastModifiedBy>Ralph Munoz</cp:lastModifiedBy>
  <cp:lastPrinted>2017-08-15T23:12:33Z</cp:lastPrinted>
  <dcterms:created xsi:type="dcterms:W3CDTF">2013-01-07T16:27:45Z</dcterms:created>
  <dcterms:modified xsi:type="dcterms:W3CDTF">2019-07-17T16:58:03Z</dcterms:modified>
</cp:coreProperties>
</file>