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filterPrivacy="1"/>
  <xr:revisionPtr revIDLastSave="0" documentId="13_ncr:1_{FB853791-CD94-4FC3-A59D-36543BC14BA1}" xr6:coauthVersionLast="45" xr6:coauthVersionMax="45" xr10:uidLastSave="{00000000-0000-0000-0000-000000000000}"/>
  <bookViews>
    <workbookView xWindow="-108" yWindow="-108" windowWidth="23256" windowHeight="12576" activeTab="2" xr2:uid="{00000000-000D-0000-FFFF-FFFF00000000}"/>
  </bookViews>
  <sheets>
    <sheet name="Summary" sheetId="20" r:id="rId1"/>
    <sheet name="Detailed Calculations --&gt;" sheetId="30" r:id="rId2"/>
    <sheet name="VOC" sheetId="17" r:id="rId3"/>
    <sheet name="NH3" sheetId="19" r:id="rId4"/>
    <sheet name="TAP Analysis" sheetId="33" r:id="rId5"/>
    <sheet name="Model Results" sheetId="42" r:id="rId6"/>
    <sheet name="Flux Density" sheetId="31" r:id="rId7"/>
    <sheet name="% He" sheetId="32" r:id="rId8"/>
    <sheet name="Model Parameters" sheetId="41" r:id="rId9"/>
    <sheet name="Thermal Buoyancy" sheetId="37" r:id="rId10"/>
    <sheet name="Provided by Lenz --&gt;" sheetId="39" r:id="rId11"/>
    <sheet name="EcologyLenzTests - MAXIMUM" sheetId="24" r:id="rId12"/>
    <sheet name="Reference --&gt;" sheetId="29" r:id="rId13"/>
    <sheet name="HAPList" sheetId="27" r:id="rId14"/>
    <sheet name="TAPList" sheetId="28" r:id="rId15"/>
  </sheets>
  <definedNames>
    <definedName name="_xlnm._FilterDatabase" localSheetId="4" hidden="1">'TAP Analysis'!$B$8:$R$50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7" l="1"/>
  <c r="D26" i="17"/>
  <c r="F9" i="17"/>
  <c r="F8" i="17"/>
  <c r="F7" i="17"/>
  <c r="C15" i="17"/>
  <c r="D25" i="17"/>
  <c r="L9" i="33" l="1"/>
  <c r="H6" i="42" l="1"/>
  <c r="I6" i="42"/>
  <c r="H7" i="42"/>
  <c r="I7" i="42"/>
  <c r="H8" i="42"/>
  <c r="I8" i="42"/>
  <c r="I9" i="42"/>
  <c r="H10" i="42"/>
  <c r="I10" i="42"/>
  <c r="I11" i="42"/>
  <c r="H11" i="42"/>
  <c r="J13" i="37" l="1"/>
  <c r="C18" i="19"/>
  <c r="C15" i="19" l="1"/>
  <c r="C14" i="19"/>
  <c r="C19" i="17"/>
  <c r="F25" i="17" s="1"/>
  <c r="C18" i="17"/>
  <c r="G25" i="17" s="1"/>
  <c r="L10" i="37" l="1"/>
  <c r="L11" i="37" s="1"/>
  <c r="L9" i="37"/>
  <c r="L13" i="37" s="1"/>
  <c r="G11" i="37"/>
  <c r="H19" i="41"/>
  <c r="G19" i="41"/>
  <c r="B28" i="41"/>
  <c r="B29" i="41"/>
  <c r="N8" i="41"/>
  <c r="L4" i="37" s="1"/>
  <c r="N9" i="41"/>
  <c r="L5" i="37" s="1"/>
  <c r="B21" i="41"/>
  <c r="B22" i="41"/>
  <c r="B23" i="41"/>
  <c r="B24" i="41"/>
  <c r="B25" i="41"/>
  <c r="B26" i="41"/>
  <c r="B27" i="41"/>
  <c r="B20" i="41"/>
  <c r="L48" i="33"/>
  <c r="O48" i="33" s="1"/>
  <c r="L6" i="37" l="1"/>
  <c r="L7" i="37" s="1"/>
  <c r="L12" i="37" s="1"/>
  <c r="L14" i="37" s="1"/>
  <c r="L15" i="37" s="1"/>
  <c r="L16" i="37" s="1"/>
  <c r="G9" i="41" s="1"/>
  <c r="N48" i="33"/>
  <c r="L18" i="37"/>
  <c r="L8" i="37"/>
  <c r="K13" i="37"/>
  <c r="I13" i="37"/>
  <c r="H13" i="37"/>
  <c r="G13" i="37"/>
  <c r="K11" i="37"/>
  <c r="J11" i="37"/>
  <c r="I11" i="37"/>
  <c r="H11" i="37"/>
  <c r="K7" i="37"/>
  <c r="K8" i="37" s="1"/>
  <c r="K17" i="37" s="1"/>
  <c r="J7" i="37"/>
  <c r="J8" i="37" s="1"/>
  <c r="J17" i="37" s="1"/>
  <c r="I6" i="37"/>
  <c r="I7" i="37" s="1"/>
  <c r="H6" i="37"/>
  <c r="H7" i="37" s="1"/>
  <c r="H8" i="37" s="1"/>
  <c r="H17" i="37" s="1"/>
  <c r="G6" i="37"/>
  <c r="G7" i="37" s="1"/>
  <c r="G12" i="37" s="1"/>
  <c r="G12" i="41" l="1"/>
  <c r="G11" i="41"/>
  <c r="G8" i="41"/>
  <c r="G10" i="41"/>
  <c r="K12" i="37"/>
  <c r="K14" i="37" s="1"/>
  <c r="K15" i="37" s="1"/>
  <c r="K16" i="37" s="1"/>
  <c r="G13" i="41" s="1"/>
  <c r="I12" i="41"/>
  <c r="I8" i="41"/>
  <c r="I10" i="41"/>
  <c r="I11" i="41"/>
  <c r="I9" i="41"/>
  <c r="L17" i="37"/>
  <c r="L19" i="37" s="1"/>
  <c r="H19" i="37"/>
  <c r="H6" i="41"/>
  <c r="K19" i="37"/>
  <c r="H13" i="41"/>
  <c r="J19" i="37"/>
  <c r="H14" i="41"/>
  <c r="G14" i="37"/>
  <c r="G15" i="37" s="1"/>
  <c r="G8" i="37"/>
  <c r="I8" i="37"/>
  <c r="I17" i="37" s="1"/>
  <c r="I12" i="37"/>
  <c r="I14" i="37" s="1"/>
  <c r="I15" i="37" s="1"/>
  <c r="H12" i="37"/>
  <c r="H14" i="37" s="1"/>
  <c r="H15" i="37" s="1"/>
  <c r="J12" i="37"/>
  <c r="J14" i="37" s="1"/>
  <c r="J15" i="37" s="1"/>
  <c r="H10" i="41" l="1"/>
  <c r="H8" i="41"/>
  <c r="H11" i="41"/>
  <c r="H9" i="41"/>
  <c r="H12" i="41"/>
  <c r="K18" i="37"/>
  <c r="I13" i="41" s="1"/>
  <c r="G17" i="37"/>
  <c r="H5" i="41" s="1"/>
  <c r="I19" i="37"/>
  <c r="H7" i="41"/>
  <c r="G16" i="37"/>
  <c r="G5" i="41" s="1"/>
  <c r="G18" i="37"/>
  <c r="I5" i="41" s="1"/>
  <c r="H16" i="37"/>
  <c r="G6" i="41" s="1"/>
  <c r="H18" i="37"/>
  <c r="I6" i="41" s="1"/>
  <c r="I16" i="37"/>
  <c r="G7" i="41" s="1"/>
  <c r="I18" i="37"/>
  <c r="I7" i="41" s="1"/>
  <c r="J16" i="37"/>
  <c r="G14" i="41" s="1"/>
  <c r="J18" i="37"/>
  <c r="I14" i="41" s="1"/>
  <c r="G19" i="37" l="1"/>
  <c r="L46" i="33" l="1"/>
  <c r="C7" i="19"/>
  <c r="D24" i="19" l="1"/>
  <c r="C16" i="19"/>
  <c r="N46" i="33"/>
  <c r="O46" i="33"/>
  <c r="C3" i="33"/>
  <c r="C4" i="33"/>
  <c r="J31" i="24"/>
  <c r="B41" i="33"/>
  <c r="B42" i="33"/>
  <c r="B43" i="33"/>
  <c r="B36" i="33"/>
  <c r="L47" i="33"/>
  <c r="B39" i="33"/>
  <c r="B13" i="33"/>
  <c r="B14" i="33"/>
  <c r="B18" i="33"/>
  <c r="B21" i="33"/>
  <c r="B22" i="33"/>
  <c r="C3" i="31"/>
  <c r="B35" i="31"/>
  <c r="C35" i="31" s="1"/>
  <c r="B36" i="31"/>
  <c r="C36" i="31" s="1"/>
  <c r="B37" i="31"/>
  <c r="C37" i="31" s="1"/>
  <c r="C39" i="33" s="1"/>
  <c r="L39" i="33" s="1"/>
  <c r="B38" i="31"/>
  <c r="C38" i="31" s="1"/>
  <c r="B39" i="31"/>
  <c r="C39" i="31" s="1"/>
  <c r="C41" i="33" s="1"/>
  <c r="L41" i="33" s="1"/>
  <c r="B40" i="31"/>
  <c r="C40" i="31" s="1"/>
  <c r="C42" i="33" s="1"/>
  <c r="L42" i="33" s="1"/>
  <c r="B41" i="31"/>
  <c r="C41" i="31" s="1"/>
  <c r="C43" i="33" s="1"/>
  <c r="L43" i="33" s="1"/>
  <c r="B42" i="31"/>
  <c r="C42" i="31" s="1"/>
  <c r="I42" i="31" s="1"/>
  <c r="G44" i="33" s="1"/>
  <c r="B43" i="31"/>
  <c r="C43" i="31" s="1"/>
  <c r="B34" i="31"/>
  <c r="C34" i="31" s="1"/>
  <c r="B31" i="31"/>
  <c r="C31" i="31" s="1"/>
  <c r="B32" i="31"/>
  <c r="C32" i="31" s="1"/>
  <c r="B33" i="31"/>
  <c r="C33" i="31" s="1"/>
  <c r="C36" i="33" s="1"/>
  <c r="L36" i="33" s="1"/>
  <c r="B30" i="31"/>
  <c r="C30" i="31" s="1"/>
  <c r="C33" i="33" s="1"/>
  <c r="L33" i="33" s="1"/>
  <c r="B22" i="31"/>
  <c r="C22" i="31" s="1"/>
  <c r="C25" i="33" s="1"/>
  <c r="L25" i="33" s="1"/>
  <c r="B23" i="31"/>
  <c r="C23" i="31" s="1"/>
  <c r="J23" i="31" s="1"/>
  <c r="B24" i="31"/>
  <c r="C24" i="31" s="1"/>
  <c r="B25" i="31"/>
  <c r="C25" i="31" s="1"/>
  <c r="B26" i="31"/>
  <c r="C26" i="31" s="1"/>
  <c r="B27" i="31"/>
  <c r="C27" i="31" s="1"/>
  <c r="B28" i="31"/>
  <c r="C28" i="31" s="1"/>
  <c r="C31" i="33" s="1"/>
  <c r="L31" i="33" s="1"/>
  <c r="B29" i="31"/>
  <c r="C29" i="31" s="1"/>
  <c r="C32" i="33" s="1"/>
  <c r="L32" i="33" s="1"/>
  <c r="B7" i="31"/>
  <c r="C7" i="31" s="1"/>
  <c r="C10" i="33" s="1"/>
  <c r="L10" i="33" s="1"/>
  <c r="B8" i="31"/>
  <c r="C8" i="31" s="1"/>
  <c r="H8" i="31" s="1"/>
  <c r="B9" i="31"/>
  <c r="C9" i="31" s="1"/>
  <c r="B10" i="31"/>
  <c r="C10" i="31" s="1"/>
  <c r="B11" i="31"/>
  <c r="C11" i="31" s="1"/>
  <c r="B12" i="31"/>
  <c r="C12" i="31" s="1"/>
  <c r="B13" i="31"/>
  <c r="C13" i="31" s="1"/>
  <c r="C16" i="33" s="1"/>
  <c r="L16" i="33" s="1"/>
  <c r="B14" i="31"/>
  <c r="C14" i="31" s="1"/>
  <c r="C17" i="33" s="1"/>
  <c r="L17" i="33" s="1"/>
  <c r="B15" i="31"/>
  <c r="C15" i="31" s="1"/>
  <c r="B16" i="31"/>
  <c r="C16" i="31" s="1"/>
  <c r="F16" i="31" s="1"/>
  <c r="B17" i="31"/>
  <c r="C17" i="31" s="1"/>
  <c r="B18" i="31"/>
  <c r="C18" i="31" s="1"/>
  <c r="B19" i="31"/>
  <c r="C19" i="31" s="1"/>
  <c r="B20" i="31"/>
  <c r="C20" i="31" s="1"/>
  <c r="B21" i="31"/>
  <c r="C21" i="31" s="1"/>
  <c r="C24" i="33" s="1"/>
  <c r="L24" i="33" s="1"/>
  <c r="B6" i="31"/>
  <c r="C6" i="31" s="1"/>
  <c r="C9" i="33" s="1"/>
  <c r="B32" i="33" l="1"/>
  <c r="B24" i="33"/>
  <c r="B16" i="33"/>
  <c r="B44" i="33"/>
  <c r="B31" i="33"/>
  <c r="B23" i="33"/>
  <c r="B15" i="33"/>
  <c r="B37" i="33"/>
  <c r="K20" i="31"/>
  <c r="G27" i="31"/>
  <c r="I32" i="31"/>
  <c r="G35" i="33" s="1"/>
  <c r="G38" i="31"/>
  <c r="B30" i="33"/>
  <c r="F19" i="31"/>
  <c r="F11" i="31"/>
  <c r="I26" i="31"/>
  <c r="G29" i="33" s="1"/>
  <c r="K31" i="31"/>
  <c r="B29" i="33"/>
  <c r="B35" i="33"/>
  <c r="I18" i="31"/>
  <c r="G21" i="33" s="1"/>
  <c r="D10" i="31"/>
  <c r="D25" i="31"/>
  <c r="J34" i="31"/>
  <c r="E36" i="31"/>
  <c r="B28" i="33"/>
  <c r="B20" i="33"/>
  <c r="B12" i="33"/>
  <c r="C34" i="33"/>
  <c r="L34" i="33" s="1"/>
  <c r="K12" i="31"/>
  <c r="K17" i="31"/>
  <c r="F9" i="31"/>
  <c r="G24" i="31"/>
  <c r="G43" i="31"/>
  <c r="F35" i="31"/>
  <c r="B27" i="33"/>
  <c r="B19" i="33"/>
  <c r="B10" i="33"/>
  <c r="B34" i="33"/>
  <c r="B40" i="33"/>
  <c r="B26" i="33"/>
  <c r="B33" i="33"/>
  <c r="I15" i="31"/>
  <c r="G18" i="33" s="1"/>
  <c r="D41" i="31"/>
  <c r="B9" i="33"/>
  <c r="B25" i="33"/>
  <c r="B17" i="33"/>
  <c r="B38" i="33"/>
  <c r="B45" i="33"/>
  <c r="N9" i="33"/>
  <c r="C27" i="33"/>
  <c r="L27" i="33" s="1"/>
  <c r="N27" i="33" s="1"/>
  <c r="C23" i="33"/>
  <c r="L23" i="33" s="1"/>
  <c r="P23" i="33" s="1"/>
  <c r="C19" i="33"/>
  <c r="L19" i="33" s="1"/>
  <c r="C15" i="33"/>
  <c r="L15" i="33" s="1"/>
  <c r="Q15" i="33" s="1"/>
  <c r="C11" i="33"/>
  <c r="L11" i="33" s="1"/>
  <c r="N11" i="33" s="1"/>
  <c r="B11" i="33"/>
  <c r="C37" i="33"/>
  <c r="C30" i="33"/>
  <c r="L30" i="33" s="1"/>
  <c r="O30" i="33" s="1"/>
  <c r="C26" i="33"/>
  <c r="L26" i="33" s="1"/>
  <c r="Q26" i="33" s="1"/>
  <c r="C22" i="33"/>
  <c r="C18" i="33"/>
  <c r="L18" i="33" s="1"/>
  <c r="O18" i="33" s="1"/>
  <c r="C14" i="33"/>
  <c r="L14" i="33" s="1"/>
  <c r="N14" i="33" s="1"/>
  <c r="J28" i="31"/>
  <c r="C45" i="33"/>
  <c r="L45" i="33" s="1"/>
  <c r="O45" i="33" s="1"/>
  <c r="C29" i="33"/>
  <c r="L29" i="33" s="1"/>
  <c r="N29" i="33" s="1"/>
  <c r="C21" i="33"/>
  <c r="L21" i="33" s="1"/>
  <c r="O21" i="33" s="1"/>
  <c r="C13" i="33"/>
  <c r="L13" i="33" s="1"/>
  <c r="N13" i="33" s="1"/>
  <c r="C35" i="33"/>
  <c r="L35" i="33" s="1"/>
  <c r="P35" i="33" s="1"/>
  <c r="C44" i="33"/>
  <c r="L44" i="33" s="1"/>
  <c r="Q44" i="33" s="1"/>
  <c r="C40" i="33"/>
  <c r="L40" i="33" s="1"/>
  <c r="Q40" i="33" s="1"/>
  <c r="C28" i="33"/>
  <c r="L28" i="33" s="1"/>
  <c r="Q28" i="33" s="1"/>
  <c r="C20" i="33"/>
  <c r="L20" i="33" s="1"/>
  <c r="Q20" i="33" s="1"/>
  <c r="C12" i="33"/>
  <c r="C38" i="33"/>
  <c r="O9" i="33"/>
  <c r="P16" i="33"/>
  <c r="Q16" i="33"/>
  <c r="N16" i="33"/>
  <c r="O16" i="33"/>
  <c r="P34" i="33"/>
  <c r="Q34" i="33"/>
  <c r="N34" i="33"/>
  <c r="O34" i="33"/>
  <c r="N43" i="33"/>
  <c r="Q43" i="33"/>
  <c r="P43" i="33"/>
  <c r="O43" i="33"/>
  <c r="Q31" i="33"/>
  <c r="N31" i="33"/>
  <c r="O31" i="33"/>
  <c r="P31" i="33"/>
  <c r="O27" i="33"/>
  <c r="N19" i="33"/>
  <c r="O19" i="33"/>
  <c r="O15" i="33"/>
  <c r="N47" i="33"/>
  <c r="O47" i="33"/>
  <c r="N24" i="33"/>
  <c r="O24" i="33"/>
  <c r="Q23" i="33"/>
  <c r="N23" i="33"/>
  <c r="N33" i="33"/>
  <c r="O33" i="33"/>
  <c r="P42" i="33"/>
  <c r="Q42" i="33"/>
  <c r="N42" i="33"/>
  <c r="O42" i="33"/>
  <c r="N26" i="33"/>
  <c r="N10" i="33"/>
  <c r="O10" i="33"/>
  <c r="P10" i="33"/>
  <c r="Q10" i="33"/>
  <c r="P32" i="33"/>
  <c r="Q32" i="33"/>
  <c r="N32" i="33"/>
  <c r="O32" i="33"/>
  <c r="P30" i="33"/>
  <c r="N30" i="33"/>
  <c r="Q30" i="33"/>
  <c r="N36" i="33"/>
  <c r="O36" i="33"/>
  <c r="Q41" i="33"/>
  <c r="N41" i="33"/>
  <c r="O41" i="33"/>
  <c r="P41" i="33"/>
  <c r="N25" i="33"/>
  <c r="O25" i="33"/>
  <c r="N17" i="33"/>
  <c r="O17" i="33"/>
  <c r="P13" i="33"/>
  <c r="Q13" i="33"/>
  <c r="N39" i="33"/>
  <c r="Q39" i="33"/>
  <c r="O39" i="33"/>
  <c r="P39" i="33"/>
  <c r="E22" i="31"/>
  <c r="M6" i="31"/>
  <c r="D14" i="31"/>
  <c r="H29" i="31"/>
  <c r="E30" i="31"/>
  <c r="H40" i="31"/>
  <c r="D7" i="31"/>
  <c r="H21" i="31"/>
  <c r="H13" i="31"/>
  <c r="D28" i="31"/>
  <c r="E33" i="31"/>
  <c r="D39" i="31"/>
  <c r="J37" i="31"/>
  <c r="L6" i="31"/>
  <c r="N43" i="31"/>
  <c r="I10" i="31"/>
  <c r="G13" i="33" s="1"/>
  <c r="D9" i="31"/>
  <c r="G8" i="31"/>
  <c r="J7" i="31"/>
  <c r="D38" i="31"/>
  <c r="K33" i="31"/>
  <c r="D30" i="31"/>
  <c r="K25" i="31"/>
  <c r="L22" i="31"/>
  <c r="J6" i="31"/>
  <c r="N8" i="31"/>
  <c r="I7" i="31"/>
  <c r="G10" i="33" s="1"/>
  <c r="D43" i="31"/>
  <c r="N37" i="31"/>
  <c r="G34" i="31"/>
  <c r="H31" i="31"/>
  <c r="K30" i="31"/>
  <c r="N29" i="31"/>
  <c r="F29" i="31"/>
  <c r="G26" i="31"/>
  <c r="M24" i="31"/>
  <c r="H23" i="31"/>
  <c r="K22" i="31"/>
  <c r="L19" i="31"/>
  <c r="G18" i="31"/>
  <c r="M16" i="31"/>
  <c r="H15" i="31"/>
  <c r="I12" i="31"/>
  <c r="G15" i="33" s="1"/>
  <c r="F6" i="31"/>
  <c r="N6" i="31"/>
  <c r="G10" i="31"/>
  <c r="J9" i="31"/>
  <c r="M8" i="31"/>
  <c r="E8" i="31"/>
  <c r="H7" i="31"/>
  <c r="K43" i="31"/>
  <c r="N42" i="31"/>
  <c r="F42" i="31"/>
  <c r="I41" i="31"/>
  <c r="G43" i="33" s="1"/>
  <c r="L40" i="31"/>
  <c r="D40" i="31"/>
  <c r="G39" i="31"/>
  <c r="J38" i="31"/>
  <c r="M37" i="31"/>
  <c r="E37" i="31"/>
  <c r="H36" i="31"/>
  <c r="K35" i="31"/>
  <c r="N34" i="31"/>
  <c r="F34" i="31"/>
  <c r="I33" i="31"/>
  <c r="G36" i="33" s="1"/>
  <c r="L32" i="31"/>
  <c r="D32" i="31"/>
  <c r="G31" i="31"/>
  <c r="J30" i="31"/>
  <c r="M29" i="31"/>
  <c r="E29" i="31"/>
  <c r="H28" i="31"/>
  <c r="K27" i="31"/>
  <c r="N26" i="31"/>
  <c r="F26" i="31"/>
  <c r="I25" i="31"/>
  <c r="G28" i="33" s="1"/>
  <c r="L24" i="31"/>
  <c r="D24" i="31"/>
  <c r="G23" i="31"/>
  <c r="J22" i="31"/>
  <c r="M21" i="31"/>
  <c r="E21" i="31"/>
  <c r="H20" i="31"/>
  <c r="K19" i="31"/>
  <c r="N18" i="31"/>
  <c r="F18" i="31"/>
  <c r="I17" i="31"/>
  <c r="G20" i="33" s="1"/>
  <c r="L16" i="31"/>
  <c r="D16" i="31"/>
  <c r="G15" i="31"/>
  <c r="J14" i="31"/>
  <c r="M13" i="31"/>
  <c r="E13" i="31"/>
  <c r="H12" i="31"/>
  <c r="K11" i="31"/>
  <c r="E9" i="31"/>
  <c r="K7" i="31"/>
  <c r="K6" i="31"/>
  <c r="F40" i="31"/>
  <c r="M35" i="31"/>
  <c r="I31" i="31"/>
  <c r="G34" i="33" s="1"/>
  <c r="G29" i="31"/>
  <c r="F24" i="31"/>
  <c r="G6" i="31"/>
  <c r="K9" i="31"/>
  <c r="F8" i="31"/>
  <c r="L43" i="31"/>
  <c r="G42" i="31"/>
  <c r="J41" i="31"/>
  <c r="M40" i="31"/>
  <c r="E40" i="31"/>
  <c r="F37" i="31"/>
  <c r="L35" i="31"/>
  <c r="D35" i="31"/>
  <c r="E32" i="31"/>
  <c r="D27" i="31"/>
  <c r="N21" i="31"/>
  <c r="D19" i="31"/>
  <c r="J17" i="31"/>
  <c r="E16" i="31"/>
  <c r="K14" i="31"/>
  <c r="F13" i="31"/>
  <c r="L11" i="31"/>
  <c r="D11" i="31"/>
  <c r="E6" i="31"/>
  <c r="N10" i="31"/>
  <c r="F10" i="31"/>
  <c r="I9" i="31"/>
  <c r="G12" i="33" s="1"/>
  <c r="L8" i="31"/>
  <c r="D8" i="31"/>
  <c r="D11" i="33" s="1"/>
  <c r="H11" i="33" s="1"/>
  <c r="G7" i="31"/>
  <c r="J43" i="31"/>
  <c r="M42" i="31"/>
  <c r="E42" i="31"/>
  <c r="H41" i="31"/>
  <c r="K40" i="31"/>
  <c r="N39" i="31"/>
  <c r="F39" i="31"/>
  <c r="I38" i="31"/>
  <c r="G40" i="33" s="1"/>
  <c r="L37" i="31"/>
  <c r="D37" i="31"/>
  <c r="G36" i="31"/>
  <c r="J35" i="31"/>
  <c r="M34" i="31"/>
  <c r="E34" i="31"/>
  <c r="H33" i="31"/>
  <c r="K32" i="31"/>
  <c r="N31" i="31"/>
  <c r="F31" i="31"/>
  <c r="I30" i="31"/>
  <c r="G33" i="33" s="1"/>
  <c r="L29" i="31"/>
  <c r="D29" i="31"/>
  <c r="G28" i="31"/>
  <c r="J27" i="31"/>
  <c r="M26" i="31"/>
  <c r="E26" i="31"/>
  <c r="H25" i="31"/>
  <c r="K24" i="31"/>
  <c r="N23" i="31"/>
  <c r="F23" i="31"/>
  <c r="I22" i="31"/>
  <c r="G25" i="33" s="1"/>
  <c r="L21" i="31"/>
  <c r="D21" i="31"/>
  <c r="G20" i="31"/>
  <c r="J19" i="31"/>
  <c r="M18" i="31"/>
  <c r="E18" i="31"/>
  <c r="H17" i="31"/>
  <c r="K16" i="31"/>
  <c r="N15" i="31"/>
  <c r="F15" i="31"/>
  <c r="I14" i="31"/>
  <c r="G17" i="33" s="1"/>
  <c r="L13" i="31"/>
  <c r="D13" i="31"/>
  <c r="G12" i="31"/>
  <c r="J11" i="31"/>
  <c r="M43" i="31"/>
  <c r="L38" i="31"/>
  <c r="H34" i="31"/>
  <c r="L30" i="31"/>
  <c r="H26" i="31"/>
  <c r="I23" i="31"/>
  <c r="G26" i="33" s="1"/>
  <c r="H39" i="31"/>
  <c r="I36" i="31"/>
  <c r="G38" i="33" s="1"/>
  <c r="M32" i="31"/>
  <c r="L27" i="31"/>
  <c r="J25" i="31"/>
  <c r="E24" i="31"/>
  <c r="I20" i="31"/>
  <c r="G23" i="33" s="1"/>
  <c r="N13" i="31"/>
  <c r="H6" i="31"/>
  <c r="M10" i="31"/>
  <c r="E10" i="31"/>
  <c r="D13" i="33" s="1"/>
  <c r="H13" i="33" s="1"/>
  <c r="H9" i="31"/>
  <c r="K8" i="31"/>
  <c r="N7" i="31"/>
  <c r="F7" i="31"/>
  <c r="I43" i="31"/>
  <c r="G45" i="33" s="1"/>
  <c r="L42" i="31"/>
  <c r="D42" i="31"/>
  <c r="G41" i="31"/>
  <c r="J40" i="31"/>
  <c r="M39" i="31"/>
  <c r="E39" i="31"/>
  <c r="H38" i="31"/>
  <c r="K37" i="31"/>
  <c r="N36" i="31"/>
  <c r="F36" i="31"/>
  <c r="I35" i="31"/>
  <c r="L34" i="31"/>
  <c r="D34" i="31"/>
  <c r="G33" i="31"/>
  <c r="J32" i="31"/>
  <c r="M31" i="31"/>
  <c r="E31" i="31"/>
  <c r="H30" i="31"/>
  <c r="K29" i="31"/>
  <c r="N28" i="31"/>
  <c r="F28" i="31"/>
  <c r="I27" i="31"/>
  <c r="G30" i="33" s="1"/>
  <c r="L26" i="31"/>
  <c r="D26" i="31"/>
  <c r="G25" i="31"/>
  <c r="J24" i="31"/>
  <c r="M23" i="31"/>
  <c r="E23" i="31"/>
  <c r="H22" i="31"/>
  <c r="K21" i="31"/>
  <c r="N20" i="31"/>
  <c r="F20" i="31"/>
  <c r="I19" i="31"/>
  <c r="G22" i="33" s="1"/>
  <c r="L18" i="31"/>
  <c r="D18" i="31"/>
  <c r="D21" i="33" s="1"/>
  <c r="H21" i="33" s="1"/>
  <c r="G17" i="31"/>
  <c r="J16" i="31"/>
  <c r="M15" i="31"/>
  <c r="E15" i="31"/>
  <c r="H14" i="31"/>
  <c r="K13" i="31"/>
  <c r="N12" i="31"/>
  <c r="F12" i="31"/>
  <c r="I11" i="31"/>
  <c r="G14" i="33" s="1"/>
  <c r="E43" i="31"/>
  <c r="H42" i="31"/>
  <c r="K41" i="31"/>
  <c r="G37" i="31"/>
  <c r="F32" i="31"/>
  <c r="E27" i="31"/>
  <c r="N24" i="31"/>
  <c r="D22" i="31"/>
  <c r="H10" i="31"/>
  <c r="K38" i="31"/>
  <c r="J33" i="31"/>
  <c r="I28" i="31"/>
  <c r="G31" i="33" s="1"/>
  <c r="F21" i="31"/>
  <c r="I6" i="31"/>
  <c r="G9" i="33" s="1"/>
  <c r="L10" i="31"/>
  <c r="G9" i="31"/>
  <c r="J8" i="31"/>
  <c r="M7" i="31"/>
  <c r="E7" i="31"/>
  <c r="H43" i="31"/>
  <c r="K42" i="31"/>
  <c r="N41" i="31"/>
  <c r="F41" i="31"/>
  <c r="I40" i="31"/>
  <c r="G42" i="33" s="1"/>
  <c r="L39" i="31"/>
  <c r="M36" i="31"/>
  <c r="H35" i="31"/>
  <c r="K34" i="31"/>
  <c r="N33" i="31"/>
  <c r="F33" i="31"/>
  <c r="L31" i="31"/>
  <c r="D31" i="31"/>
  <c r="D34" i="33" s="1"/>
  <c r="H34" i="33" s="1"/>
  <c r="G30" i="31"/>
  <c r="J29" i="31"/>
  <c r="M28" i="31"/>
  <c r="E28" i="31"/>
  <c r="H27" i="31"/>
  <c r="K26" i="31"/>
  <c r="N25" i="31"/>
  <c r="F25" i="31"/>
  <c r="I24" i="31"/>
  <c r="G27" i="33" s="1"/>
  <c r="L23" i="31"/>
  <c r="D23" i="31"/>
  <c r="G22" i="31"/>
  <c r="J21" i="31"/>
  <c r="M20" i="31"/>
  <c r="E20" i="31"/>
  <c r="H19" i="31"/>
  <c r="K18" i="31"/>
  <c r="N17" i="31"/>
  <c r="F17" i="31"/>
  <c r="I16" i="31"/>
  <c r="G19" i="33" s="1"/>
  <c r="L15" i="31"/>
  <c r="D15" i="31"/>
  <c r="D18" i="33" s="1"/>
  <c r="H18" i="33" s="1"/>
  <c r="G14" i="31"/>
  <c r="J13" i="31"/>
  <c r="M12" i="31"/>
  <c r="E12" i="31"/>
  <c r="H11" i="31"/>
  <c r="K10" i="31"/>
  <c r="N9" i="31"/>
  <c r="I8" i="31"/>
  <c r="G11" i="33" s="1"/>
  <c r="L7" i="31"/>
  <c r="J42" i="31"/>
  <c r="M41" i="31"/>
  <c r="E41" i="31"/>
  <c r="K39" i="31"/>
  <c r="N38" i="31"/>
  <c r="F38" i="31"/>
  <c r="I37" i="31"/>
  <c r="G39" i="33" s="1"/>
  <c r="L36" i="31"/>
  <c r="D36" i="31"/>
  <c r="G35" i="31"/>
  <c r="M33" i="31"/>
  <c r="H32" i="31"/>
  <c r="N30" i="31"/>
  <c r="F30" i="31"/>
  <c r="I29" i="31"/>
  <c r="G32" i="33" s="1"/>
  <c r="L28" i="31"/>
  <c r="J26" i="31"/>
  <c r="M25" i="31"/>
  <c r="E25" i="31"/>
  <c r="H24" i="31"/>
  <c r="K23" i="31"/>
  <c r="N22" i="31"/>
  <c r="F22" i="31"/>
  <c r="I21" i="31"/>
  <c r="G24" i="33" s="1"/>
  <c r="L20" i="31"/>
  <c r="D20" i="31"/>
  <c r="G19" i="31"/>
  <c r="J18" i="31"/>
  <c r="M17" i="31"/>
  <c r="E17" i="31"/>
  <c r="H16" i="31"/>
  <c r="K15" i="31"/>
  <c r="N14" i="31"/>
  <c r="F14" i="31"/>
  <c r="I13" i="31"/>
  <c r="G16" i="33" s="1"/>
  <c r="L12" i="31"/>
  <c r="D12" i="31"/>
  <c r="G11" i="31"/>
  <c r="M9" i="31"/>
  <c r="F43" i="31"/>
  <c r="L41" i="31"/>
  <c r="G40" i="31"/>
  <c r="J39" i="31"/>
  <c r="M38" i="31"/>
  <c r="E38" i="31"/>
  <c r="H37" i="31"/>
  <c r="K36" i="31"/>
  <c r="N35" i="31"/>
  <c r="I34" i="31"/>
  <c r="G37" i="33" s="1"/>
  <c r="L33" i="31"/>
  <c r="D33" i="31"/>
  <c r="G32" i="31"/>
  <c r="J31" i="31"/>
  <c r="M30" i="31"/>
  <c r="K28" i="31"/>
  <c r="N27" i="31"/>
  <c r="F27" i="31"/>
  <c r="L25" i="31"/>
  <c r="M22" i="31"/>
  <c r="N19" i="31"/>
  <c r="L17" i="31"/>
  <c r="D17" i="31"/>
  <c r="G16" i="31"/>
  <c r="J15" i="31"/>
  <c r="M14" i="31"/>
  <c r="E14" i="31"/>
  <c r="N11" i="31"/>
  <c r="L9" i="31"/>
  <c r="I39" i="31"/>
  <c r="G41" i="33" s="1"/>
  <c r="J36" i="31"/>
  <c r="N32" i="31"/>
  <c r="M27" i="31"/>
  <c r="G21" i="31"/>
  <c r="J20" i="31"/>
  <c r="M19" i="31"/>
  <c r="E19" i="31"/>
  <c r="H18" i="31"/>
  <c r="N16" i="31"/>
  <c r="L14" i="31"/>
  <c r="G13" i="31"/>
  <c r="J12" i="31"/>
  <c r="M11" i="31"/>
  <c r="E11" i="31"/>
  <c r="J10" i="31"/>
  <c r="D6" i="31"/>
  <c r="N40" i="31"/>
  <c r="E35" i="31"/>
  <c r="O13" i="33" l="1"/>
  <c r="O35" i="33"/>
  <c r="N45" i="33"/>
  <c r="N35" i="33"/>
  <c r="O29" i="33"/>
  <c r="D43" i="33"/>
  <c r="H43" i="33" s="1"/>
  <c r="N21" i="33"/>
  <c r="P26" i="33"/>
  <c r="O26" i="33"/>
  <c r="O23" i="33"/>
  <c r="N15" i="33"/>
  <c r="P40" i="33"/>
  <c r="D32" i="33"/>
  <c r="H32" i="33" s="1"/>
  <c r="P15" i="33"/>
  <c r="O14" i="33"/>
  <c r="N18" i="33"/>
  <c r="N20" i="33"/>
  <c r="N44" i="33"/>
  <c r="P45" i="33"/>
  <c r="Q35" i="33"/>
  <c r="Q45" i="33"/>
  <c r="P20" i="33"/>
  <c r="O44" i="33"/>
  <c r="O20" i="33"/>
  <c r="P44" i="33"/>
  <c r="F15" i="33"/>
  <c r="P28" i="33"/>
  <c r="L22" i="33"/>
  <c r="D19" i="41"/>
  <c r="F31" i="33"/>
  <c r="O28" i="33"/>
  <c r="O11" i="33"/>
  <c r="O40" i="33"/>
  <c r="L38" i="33"/>
  <c r="F19" i="41"/>
  <c r="D9" i="33"/>
  <c r="H9" i="33" s="1"/>
  <c r="F34" i="33"/>
  <c r="N28" i="33"/>
  <c r="N40" i="33"/>
  <c r="L12" i="33"/>
  <c r="C19" i="41"/>
  <c r="L37" i="33"/>
  <c r="E19" i="41"/>
  <c r="D28" i="33"/>
  <c r="H28" i="33" s="1"/>
  <c r="F24" i="33"/>
  <c r="F23" i="33"/>
  <c r="D23" i="33"/>
  <c r="H23" i="33" s="1"/>
  <c r="F38" i="33"/>
  <c r="F29" i="33"/>
  <c r="D44" i="33"/>
  <c r="H44" i="33" s="1"/>
  <c r="F42" i="33"/>
  <c r="D42" i="33"/>
  <c r="H42" i="33" s="1"/>
  <c r="F33" i="33"/>
  <c r="F20" i="33"/>
  <c r="F41" i="33"/>
  <c r="D20" i="33"/>
  <c r="H20" i="33" s="1"/>
  <c r="F44" i="33"/>
  <c r="F16" i="33"/>
  <c r="F14" i="33"/>
  <c r="F28" i="33"/>
  <c r="D10" i="33"/>
  <c r="H10" i="33" s="1"/>
  <c r="D15" i="33"/>
  <c r="H15" i="33" s="1"/>
  <c r="F26" i="33"/>
  <c r="F13" i="33"/>
  <c r="F37" i="33"/>
  <c r="D29" i="33"/>
  <c r="H29" i="33" s="1"/>
  <c r="F39" i="33"/>
  <c r="D16" i="33"/>
  <c r="H16" i="33" s="1"/>
  <c r="F27" i="33"/>
  <c r="D22" i="33"/>
  <c r="H22" i="33" s="1"/>
  <c r="D27" i="33"/>
  <c r="H27" i="33" s="1"/>
  <c r="F25" i="33"/>
  <c r="D33" i="33"/>
  <c r="H33" i="33" s="1"/>
  <c r="F43" i="33"/>
  <c r="D39" i="33"/>
  <c r="H39" i="33" s="1"/>
  <c r="F36" i="33"/>
  <c r="D26" i="33"/>
  <c r="H26" i="33" s="1"/>
  <c r="F40" i="33"/>
  <c r="D14" i="33"/>
  <c r="H14" i="33" s="1"/>
  <c r="D30" i="33"/>
  <c r="H30" i="33" s="1"/>
  <c r="F22" i="33"/>
  <c r="D45" i="33"/>
  <c r="H45" i="33" s="1"/>
  <c r="D40" i="33"/>
  <c r="H40" i="33" s="1"/>
  <c r="D41" i="33"/>
  <c r="H41" i="33" s="1"/>
  <c r="F21" i="33"/>
  <c r="D37" i="33"/>
  <c r="H37" i="33" s="1"/>
  <c r="F11" i="33"/>
  <c r="D24" i="33"/>
  <c r="H24" i="33" s="1"/>
  <c r="F35" i="33"/>
  <c r="D35" i="33"/>
  <c r="H35" i="33" s="1"/>
  <c r="F45" i="33"/>
  <c r="D17" i="33"/>
  <c r="H17" i="33" s="1"/>
  <c r="D38" i="33"/>
  <c r="H38" i="33" s="1"/>
  <c r="D25" i="33"/>
  <c r="H25" i="33" s="1"/>
  <c r="F9" i="33"/>
  <c r="D31" i="33"/>
  <c r="H31" i="33" s="1"/>
  <c r="D36" i="33"/>
  <c r="H36" i="33" s="1"/>
  <c r="F18" i="33"/>
  <c r="F32" i="33"/>
  <c r="F19" i="33"/>
  <c r="F17" i="33"/>
  <c r="F12" i="33"/>
  <c r="F10" i="33"/>
  <c r="D19" i="33"/>
  <c r="H19" i="33" s="1"/>
  <c r="F30" i="33"/>
  <c r="D12" i="33"/>
  <c r="H12" i="33" s="1"/>
  <c r="J33" i="24"/>
  <c r="N37" i="33" l="1"/>
  <c r="O37" i="33"/>
  <c r="N38" i="33"/>
  <c r="O38" i="33"/>
  <c r="O12" i="33"/>
  <c r="N12" i="33"/>
  <c r="N22" i="33"/>
  <c r="O22" i="33"/>
  <c r="W26" i="24"/>
  <c r="W28" i="24"/>
  <c r="P18" i="24"/>
  <c r="X18" i="24" s="1"/>
  <c r="C33" i="24"/>
  <c r="S25" i="24" s="1"/>
  <c r="G439" i="28"/>
  <c r="G438" i="28"/>
  <c r="G437" i="28"/>
  <c r="G436" i="28"/>
  <c r="G435" i="28"/>
  <c r="G434" i="28"/>
  <c r="G433" i="28"/>
  <c r="G432" i="28"/>
  <c r="G431" i="28"/>
  <c r="G430" i="28"/>
  <c r="G429" i="28"/>
  <c r="G428" i="28"/>
  <c r="G427" i="28"/>
  <c r="G426" i="28"/>
  <c r="G425" i="28"/>
  <c r="G424" i="28"/>
  <c r="G423" i="28"/>
  <c r="G422" i="28"/>
  <c r="G421" i="28"/>
  <c r="G420" i="28"/>
  <c r="G419" i="28"/>
  <c r="G418" i="28"/>
  <c r="G417" i="28"/>
  <c r="G416" i="28"/>
  <c r="G415" i="28"/>
  <c r="G414" i="28"/>
  <c r="G413" i="28"/>
  <c r="G412" i="28"/>
  <c r="G411" i="28"/>
  <c r="G410" i="28"/>
  <c r="G409" i="28"/>
  <c r="G408" i="28"/>
  <c r="G407" i="28"/>
  <c r="G406" i="28"/>
  <c r="G405" i="28"/>
  <c r="G404" i="28"/>
  <c r="G403" i="28"/>
  <c r="G402" i="28"/>
  <c r="G401" i="28"/>
  <c r="G400" i="28"/>
  <c r="G399" i="28"/>
  <c r="G398" i="28"/>
  <c r="G397" i="28"/>
  <c r="G396" i="28"/>
  <c r="G395" i="28"/>
  <c r="G394" i="28"/>
  <c r="G393" i="28"/>
  <c r="G392" i="28"/>
  <c r="G391" i="28"/>
  <c r="G390" i="28"/>
  <c r="G389" i="28"/>
  <c r="G388" i="28"/>
  <c r="G387" i="28"/>
  <c r="G386" i="28"/>
  <c r="G385" i="28"/>
  <c r="G384" i="28"/>
  <c r="G383" i="28"/>
  <c r="G382" i="28"/>
  <c r="G381" i="28"/>
  <c r="G380" i="28"/>
  <c r="G379" i="28"/>
  <c r="G378" i="28"/>
  <c r="G377" i="28"/>
  <c r="G376" i="28"/>
  <c r="G375" i="28"/>
  <c r="G374" i="28"/>
  <c r="G373" i="28"/>
  <c r="G372" i="28"/>
  <c r="G371" i="28"/>
  <c r="G370" i="28"/>
  <c r="G369" i="28"/>
  <c r="G368" i="28"/>
  <c r="G367" i="28"/>
  <c r="G366" i="28"/>
  <c r="G365" i="28"/>
  <c r="G364" i="28"/>
  <c r="G363" i="28"/>
  <c r="G362" i="28"/>
  <c r="G361" i="28"/>
  <c r="G360" i="28"/>
  <c r="G359" i="28"/>
  <c r="G358" i="28"/>
  <c r="G357" i="28"/>
  <c r="G356" i="28"/>
  <c r="G355" i="28"/>
  <c r="G354" i="28"/>
  <c r="G353" i="28"/>
  <c r="G352" i="28"/>
  <c r="G351" i="28"/>
  <c r="G350" i="28"/>
  <c r="G349" i="28"/>
  <c r="G348" i="28"/>
  <c r="G347" i="28"/>
  <c r="G346" i="28"/>
  <c r="G345" i="28"/>
  <c r="G344" i="28"/>
  <c r="G343" i="28"/>
  <c r="G342" i="28"/>
  <c r="G341" i="28"/>
  <c r="G340" i="28"/>
  <c r="G339" i="28"/>
  <c r="G338" i="28"/>
  <c r="G337" i="28"/>
  <c r="G336" i="28"/>
  <c r="G335" i="28"/>
  <c r="G334" i="28"/>
  <c r="G333" i="28"/>
  <c r="G332" i="28"/>
  <c r="G331" i="28"/>
  <c r="G330" i="28"/>
  <c r="G329" i="28"/>
  <c r="G328" i="28"/>
  <c r="G327" i="28"/>
  <c r="G326" i="28"/>
  <c r="G325" i="28"/>
  <c r="G324" i="28"/>
  <c r="G323" i="28"/>
  <c r="G322" i="28"/>
  <c r="G321" i="28"/>
  <c r="G320" i="28"/>
  <c r="G319" i="28"/>
  <c r="G318" i="28"/>
  <c r="G317" i="28"/>
  <c r="G316" i="28"/>
  <c r="G315" i="28"/>
  <c r="G314" i="28"/>
  <c r="G313" i="28"/>
  <c r="G312" i="28"/>
  <c r="G311" i="28"/>
  <c r="G310" i="28"/>
  <c r="G309" i="28"/>
  <c r="G308" i="28"/>
  <c r="G307" i="28"/>
  <c r="G306" i="28"/>
  <c r="G305" i="28"/>
  <c r="G304" i="28"/>
  <c r="G303" i="28"/>
  <c r="G302" i="28"/>
  <c r="G301" i="28"/>
  <c r="G300" i="28"/>
  <c r="G299" i="28"/>
  <c r="G298" i="28"/>
  <c r="G297" i="28"/>
  <c r="G296" i="28"/>
  <c r="G295" i="28"/>
  <c r="G294" i="28"/>
  <c r="G293" i="28"/>
  <c r="G292" i="28"/>
  <c r="G291" i="28"/>
  <c r="G290" i="28"/>
  <c r="G289" i="28"/>
  <c r="G288" i="28"/>
  <c r="G287" i="28"/>
  <c r="G286" i="28"/>
  <c r="G285" i="28"/>
  <c r="G284" i="28"/>
  <c r="G283" i="28"/>
  <c r="G282" i="28"/>
  <c r="G281" i="28"/>
  <c r="G280" i="28"/>
  <c r="G279" i="28"/>
  <c r="G278" i="28"/>
  <c r="G277" i="28"/>
  <c r="G276" i="28"/>
  <c r="G275" i="28"/>
  <c r="G274" i="28"/>
  <c r="G273" i="28"/>
  <c r="G272" i="28"/>
  <c r="G271" i="28"/>
  <c r="G270" i="28"/>
  <c r="G269" i="28"/>
  <c r="G268" i="28"/>
  <c r="G267" i="28"/>
  <c r="G266" i="28"/>
  <c r="G265" i="28"/>
  <c r="G264" i="28"/>
  <c r="G263" i="28"/>
  <c r="G262" i="28"/>
  <c r="G261" i="28"/>
  <c r="G260" i="28"/>
  <c r="G259" i="28"/>
  <c r="G258" i="28"/>
  <c r="G257" i="28"/>
  <c r="G256" i="28"/>
  <c r="G255" i="28"/>
  <c r="G254" i="28"/>
  <c r="G253" i="28"/>
  <c r="G252" i="28"/>
  <c r="G251" i="28"/>
  <c r="G250" i="28"/>
  <c r="G249" i="28"/>
  <c r="G248" i="28"/>
  <c r="G247" i="28"/>
  <c r="G246" i="28"/>
  <c r="G245" i="28"/>
  <c r="G244" i="28"/>
  <c r="G243" i="28"/>
  <c r="G242" i="28"/>
  <c r="G241" i="28"/>
  <c r="G240" i="28"/>
  <c r="G239" i="28"/>
  <c r="G238" i="28"/>
  <c r="G237" i="28"/>
  <c r="G236" i="28"/>
  <c r="G235" i="28"/>
  <c r="G234" i="28"/>
  <c r="G233" i="28"/>
  <c r="G232" i="28"/>
  <c r="G231" i="28"/>
  <c r="G230" i="28"/>
  <c r="G229" i="28"/>
  <c r="G228" i="28"/>
  <c r="G227" i="28"/>
  <c r="G226" i="28"/>
  <c r="G225" i="28"/>
  <c r="G224" i="28"/>
  <c r="G223" i="28"/>
  <c r="G222" i="28"/>
  <c r="G221" i="28"/>
  <c r="G220" i="28"/>
  <c r="G219" i="28"/>
  <c r="G218" i="28"/>
  <c r="G217" i="28"/>
  <c r="G216" i="28"/>
  <c r="G215" i="28"/>
  <c r="G214" i="28"/>
  <c r="G213" i="28"/>
  <c r="G212" i="28"/>
  <c r="G211" i="28"/>
  <c r="G210" i="28"/>
  <c r="G209" i="28"/>
  <c r="G208" i="28"/>
  <c r="G207" i="28"/>
  <c r="G206" i="28"/>
  <c r="G205" i="28"/>
  <c r="G204" i="28"/>
  <c r="G203" i="28"/>
  <c r="G202" i="28"/>
  <c r="G201" i="28"/>
  <c r="G200" i="28"/>
  <c r="G199" i="28"/>
  <c r="G198" i="28"/>
  <c r="G197" i="28"/>
  <c r="G196" i="28"/>
  <c r="G195" i="28"/>
  <c r="G194" i="28"/>
  <c r="G193" i="28"/>
  <c r="G192" i="28"/>
  <c r="G191" i="28"/>
  <c r="G190" i="28"/>
  <c r="G189" i="28"/>
  <c r="G188" i="28"/>
  <c r="G187" i="28"/>
  <c r="G186" i="28"/>
  <c r="G185" i="28"/>
  <c r="G184" i="28"/>
  <c r="G183" i="28"/>
  <c r="G182" i="28"/>
  <c r="G181" i="28"/>
  <c r="G180" i="28"/>
  <c r="G179" i="28"/>
  <c r="G178" i="28"/>
  <c r="G177" i="28"/>
  <c r="G176" i="28"/>
  <c r="G175" i="28"/>
  <c r="G174" i="28"/>
  <c r="G173" i="28"/>
  <c r="G172" i="28"/>
  <c r="G171" i="28"/>
  <c r="G170" i="28"/>
  <c r="G169" i="28"/>
  <c r="G168" i="28"/>
  <c r="G167" i="28"/>
  <c r="G166" i="28"/>
  <c r="G165" i="28"/>
  <c r="G164" i="28"/>
  <c r="G163" i="28"/>
  <c r="G162" i="28"/>
  <c r="G161" i="28"/>
  <c r="G160" i="28"/>
  <c r="G159" i="28"/>
  <c r="G158" i="28"/>
  <c r="G157" i="28"/>
  <c r="G156" i="28"/>
  <c r="G155" i="28"/>
  <c r="G154" i="28"/>
  <c r="G153" i="28"/>
  <c r="G152" i="28"/>
  <c r="G151" i="28"/>
  <c r="G150" i="28"/>
  <c r="G149" i="28"/>
  <c r="G148" i="28"/>
  <c r="G147" i="28"/>
  <c r="G146" i="28"/>
  <c r="G145" i="28"/>
  <c r="G144" i="28"/>
  <c r="G143" i="28"/>
  <c r="G142" i="28"/>
  <c r="G141" i="28"/>
  <c r="G140" i="28"/>
  <c r="G139" i="28"/>
  <c r="G138" i="28"/>
  <c r="G137" i="28"/>
  <c r="G136" i="28"/>
  <c r="G135" i="28"/>
  <c r="G134" i="28"/>
  <c r="G133" i="28"/>
  <c r="G132" i="28"/>
  <c r="G131" i="28"/>
  <c r="G130" i="28"/>
  <c r="G129" i="28"/>
  <c r="G128" i="28"/>
  <c r="G127" i="28"/>
  <c r="G126" i="28"/>
  <c r="G125" i="28"/>
  <c r="G124" i="28"/>
  <c r="G123" i="28"/>
  <c r="G122" i="28"/>
  <c r="G121" i="28"/>
  <c r="G120" i="28"/>
  <c r="G119" i="28"/>
  <c r="G118" i="28"/>
  <c r="G117" i="28"/>
  <c r="G116" i="28"/>
  <c r="G115" i="28"/>
  <c r="G114" i="28"/>
  <c r="G113" i="28"/>
  <c r="G112" i="28"/>
  <c r="G111" i="28"/>
  <c r="G110" i="28"/>
  <c r="G109" i="28"/>
  <c r="G108" i="28"/>
  <c r="G107" i="28"/>
  <c r="G106" i="28"/>
  <c r="G105" i="28"/>
  <c r="G104" i="28"/>
  <c r="G103" i="28"/>
  <c r="G102" i="28"/>
  <c r="G101" i="28"/>
  <c r="G100" i="28"/>
  <c r="G99" i="28"/>
  <c r="G98" i="28"/>
  <c r="G97" i="28"/>
  <c r="G96" i="28"/>
  <c r="G95" i="28"/>
  <c r="G94" i="28"/>
  <c r="G93" i="28"/>
  <c r="G92" i="28"/>
  <c r="G91" i="28"/>
  <c r="G90" i="28"/>
  <c r="G89" i="28"/>
  <c r="G88" i="28"/>
  <c r="G87" i="28"/>
  <c r="G86" i="28"/>
  <c r="G85" i="28"/>
  <c r="G84" i="28"/>
  <c r="G83" i="28"/>
  <c r="G82" i="28"/>
  <c r="G81" i="28"/>
  <c r="G80" i="28"/>
  <c r="G79" i="28"/>
  <c r="G78" i="28"/>
  <c r="G77" i="28"/>
  <c r="G76" i="28"/>
  <c r="G75" i="28"/>
  <c r="G74" i="28"/>
  <c r="G73" i="28"/>
  <c r="G72" i="28"/>
  <c r="G71" i="28"/>
  <c r="G70" i="28"/>
  <c r="G69" i="28"/>
  <c r="G68" i="28"/>
  <c r="G67" i="28"/>
  <c r="G66" i="28"/>
  <c r="G65" i="28"/>
  <c r="G64" i="28"/>
  <c r="G63" i="28"/>
  <c r="G62" i="28"/>
  <c r="G61" i="28"/>
  <c r="G60" i="28"/>
  <c r="G59" i="28"/>
  <c r="G58" i="28"/>
  <c r="G57" i="28"/>
  <c r="G56" i="28"/>
  <c r="G55" i="28"/>
  <c r="G54" i="28"/>
  <c r="G53" i="28"/>
  <c r="G52" i="28"/>
  <c r="G51" i="28"/>
  <c r="G50" i="28"/>
  <c r="G49" i="28"/>
  <c r="G48" i="28"/>
  <c r="G47" i="28"/>
  <c r="G46" i="28"/>
  <c r="G45" i="28"/>
  <c r="G44" i="28"/>
  <c r="G43" i="28"/>
  <c r="G42" i="28"/>
  <c r="G41" i="28"/>
  <c r="G40"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G13" i="28"/>
  <c r="G12" i="28"/>
  <c r="G11" i="28"/>
  <c r="G10" i="28"/>
  <c r="G9" i="28"/>
  <c r="G8" i="28"/>
  <c r="G7" i="28"/>
  <c r="G6" i="28"/>
  <c r="G5" i="28"/>
  <c r="G4" i="28"/>
  <c r="G3" i="28"/>
  <c r="G2" i="28"/>
  <c r="P63" i="24"/>
  <c r="O63" i="24"/>
  <c r="W60" i="24"/>
  <c r="P60" i="24"/>
  <c r="X60" i="24" s="1"/>
  <c r="O60" i="24"/>
  <c r="W59" i="24"/>
  <c r="P59" i="24"/>
  <c r="O59" i="24"/>
  <c r="W58" i="24"/>
  <c r="P58" i="24"/>
  <c r="X58" i="24" s="1"/>
  <c r="O58" i="24"/>
  <c r="W57" i="24"/>
  <c r="P57" i="24"/>
  <c r="X57" i="24" s="1"/>
  <c r="O57" i="24"/>
  <c r="W56" i="24"/>
  <c r="P56" i="24"/>
  <c r="X56" i="24" s="1"/>
  <c r="O56" i="24"/>
  <c r="W55" i="24"/>
  <c r="P55" i="24"/>
  <c r="O55" i="24"/>
  <c r="W54" i="24"/>
  <c r="P54" i="24"/>
  <c r="X54" i="24" s="1"/>
  <c r="O54" i="24"/>
  <c r="P53" i="24"/>
  <c r="O53" i="24"/>
  <c r="P52" i="24"/>
  <c r="O52" i="24"/>
  <c r="P51" i="24"/>
  <c r="O51" i="24"/>
  <c r="P44" i="24"/>
  <c r="O44" i="24"/>
  <c r="W43" i="24"/>
  <c r="P43" i="24"/>
  <c r="X43" i="24" s="1"/>
  <c r="O43" i="24"/>
  <c r="W42" i="24"/>
  <c r="P42" i="24"/>
  <c r="X42" i="24" s="1"/>
  <c r="O42" i="24"/>
  <c r="S41" i="24"/>
  <c r="P41" i="24"/>
  <c r="O41" i="24"/>
  <c r="R35" i="24"/>
  <c r="C6" i="33" s="1"/>
  <c r="J35" i="24"/>
  <c r="C5" i="33" s="1"/>
  <c r="S53" i="24"/>
  <c r="R31" i="24"/>
  <c r="R32" i="24" s="1"/>
  <c r="R34" i="24" s="1"/>
  <c r="J32" i="24"/>
  <c r="P28" i="24"/>
  <c r="X28" i="24" s="1"/>
  <c r="O28" i="24"/>
  <c r="W27" i="24"/>
  <c r="P27" i="24"/>
  <c r="O27" i="24"/>
  <c r="T26" i="24"/>
  <c r="P26" i="24"/>
  <c r="X26" i="24" s="1"/>
  <c r="O26" i="24"/>
  <c r="W25" i="24"/>
  <c r="P25" i="24"/>
  <c r="X25" i="24" s="1"/>
  <c r="O25" i="24"/>
  <c r="T24" i="24"/>
  <c r="W24" i="24"/>
  <c r="P24" i="24"/>
  <c r="X24" i="24" s="1"/>
  <c r="O24" i="24"/>
  <c r="W23" i="24"/>
  <c r="P23" i="24"/>
  <c r="X23" i="24" s="1"/>
  <c r="O23" i="24"/>
  <c r="W22" i="24"/>
  <c r="P22" i="24"/>
  <c r="X22" i="24" s="1"/>
  <c r="O22" i="24"/>
  <c r="S21" i="24"/>
  <c r="W21" i="24"/>
  <c r="P21" i="24"/>
  <c r="O21" i="24"/>
  <c r="W20" i="24"/>
  <c r="P20" i="24"/>
  <c r="X20" i="24" s="1"/>
  <c r="O20" i="24"/>
  <c r="T19" i="24"/>
  <c r="W19" i="24"/>
  <c r="P19" i="24"/>
  <c r="X19" i="24" s="1"/>
  <c r="O19" i="24"/>
  <c r="W18" i="24"/>
  <c r="O18" i="24"/>
  <c r="X17" i="24"/>
  <c r="T17" i="24"/>
  <c r="S17" i="24"/>
  <c r="W17" i="24"/>
  <c r="P17" i="24"/>
  <c r="O17" i="24"/>
  <c r="W16" i="24"/>
  <c r="T16" i="24"/>
  <c r="P16" i="24"/>
  <c r="X16" i="24" s="1"/>
  <c r="O16" i="24"/>
  <c r="W15" i="24"/>
  <c r="P15" i="24"/>
  <c r="X15" i="24" s="1"/>
  <c r="O15" i="24"/>
  <c r="W14" i="24"/>
  <c r="P14" i="24"/>
  <c r="X14" i="24" s="1"/>
  <c r="O14" i="24"/>
  <c r="W13" i="24"/>
  <c r="P13" i="24"/>
  <c r="X13" i="24" s="1"/>
  <c r="O13" i="24"/>
  <c r="W12" i="24"/>
  <c r="P12" i="24"/>
  <c r="X12" i="24" s="1"/>
  <c r="O12" i="24"/>
  <c r="T11" i="24"/>
  <c r="S11" i="24"/>
  <c r="W11" i="24"/>
  <c r="P11" i="24"/>
  <c r="X11" i="24" s="1"/>
  <c r="O11" i="24"/>
  <c r="W10" i="24"/>
  <c r="P10" i="24"/>
  <c r="X10" i="24" s="1"/>
  <c r="O10" i="24"/>
  <c r="T9" i="24"/>
  <c r="W9" i="24"/>
  <c r="P9" i="24"/>
  <c r="X9" i="24" s="1"/>
  <c r="O9" i="24"/>
  <c r="W8" i="24"/>
  <c r="P8" i="24"/>
  <c r="X8" i="24" s="1"/>
  <c r="O8" i="24"/>
  <c r="T7" i="24"/>
  <c r="W7" i="24"/>
  <c r="P7" i="24"/>
  <c r="X7" i="24" s="1"/>
  <c r="O7" i="24"/>
  <c r="W6" i="24"/>
  <c r="P6" i="24"/>
  <c r="X6" i="24" s="1"/>
  <c r="O6" i="24"/>
  <c r="W5" i="24"/>
  <c r="P5" i="24"/>
  <c r="X5" i="24" s="1"/>
  <c r="O5" i="24"/>
  <c r="H29" i="41" l="1"/>
  <c r="G29" i="41"/>
  <c r="J42" i="33"/>
  <c r="J33" i="33"/>
  <c r="J18" i="33"/>
  <c r="J37" i="33"/>
  <c r="E28" i="41" s="1"/>
  <c r="S18" i="24"/>
  <c r="T21" i="24"/>
  <c r="K29" i="33"/>
  <c r="K35" i="33"/>
  <c r="K18" i="33"/>
  <c r="K21" i="33"/>
  <c r="K44" i="33"/>
  <c r="K25" i="33"/>
  <c r="K28" i="33"/>
  <c r="K15" i="33"/>
  <c r="K11" i="33"/>
  <c r="K20" i="33"/>
  <c r="K23" i="33"/>
  <c r="K27" i="33"/>
  <c r="K17" i="33"/>
  <c r="K41" i="33"/>
  <c r="K36" i="33"/>
  <c r="K10" i="33"/>
  <c r="K9" i="33"/>
  <c r="K26" i="33"/>
  <c r="K34" i="33"/>
  <c r="K42" i="33"/>
  <c r="K19" i="33"/>
  <c r="K38" i="33"/>
  <c r="F29" i="41" s="1"/>
  <c r="K33" i="33"/>
  <c r="K32" i="33"/>
  <c r="K39" i="33"/>
  <c r="K45" i="33"/>
  <c r="K14" i="33"/>
  <c r="K43" i="33"/>
  <c r="K16" i="33"/>
  <c r="K24" i="33"/>
  <c r="K12" i="33"/>
  <c r="K30" i="33"/>
  <c r="K22" i="33"/>
  <c r="D29" i="41" s="1"/>
  <c r="K31" i="33"/>
  <c r="K13" i="33"/>
  <c r="K37" i="33"/>
  <c r="K40" i="33"/>
  <c r="F21" i="41"/>
  <c r="J14" i="33"/>
  <c r="J17" i="33"/>
  <c r="J34" i="33"/>
  <c r="J15" i="33"/>
  <c r="J13" i="33"/>
  <c r="S6" i="24"/>
  <c r="T10" i="24"/>
  <c r="S12" i="24"/>
  <c r="T18" i="24"/>
  <c r="S20" i="24"/>
  <c r="S23" i="24"/>
  <c r="D22" i="41"/>
  <c r="J39" i="33"/>
  <c r="J20" i="33"/>
  <c r="J27" i="33"/>
  <c r="J41" i="33"/>
  <c r="J25" i="33"/>
  <c r="S16" i="24"/>
  <c r="S5" i="24"/>
  <c r="T5" i="24"/>
  <c r="S10" i="24"/>
  <c r="F22" i="41"/>
  <c r="J38" i="33"/>
  <c r="F28" i="41" s="1"/>
  <c r="T8" i="24"/>
  <c r="T20" i="24"/>
  <c r="T23" i="24"/>
  <c r="T25" i="24"/>
  <c r="D21" i="41"/>
  <c r="J45" i="33"/>
  <c r="J40" i="33"/>
  <c r="J23" i="33"/>
  <c r="J26" i="33"/>
  <c r="J30" i="33"/>
  <c r="C21" i="41"/>
  <c r="C28" i="41"/>
  <c r="J32" i="33"/>
  <c r="J29" i="33"/>
  <c r="J12" i="33"/>
  <c r="J11" i="33"/>
  <c r="E29" i="41"/>
  <c r="S22" i="24"/>
  <c r="C22" i="41"/>
  <c r="J28" i="33"/>
  <c r="J35" i="33"/>
  <c r="J43" i="33"/>
  <c r="J9" i="33"/>
  <c r="J44" i="33"/>
  <c r="S19" i="24"/>
  <c r="T22" i="24"/>
  <c r="R36" i="24"/>
  <c r="V5" i="24" s="1"/>
  <c r="E22" i="41"/>
  <c r="J36" i="33"/>
  <c r="J24" i="33"/>
  <c r="J10" i="33"/>
  <c r="J22" i="33"/>
  <c r="D28" i="41" s="1"/>
  <c r="E21" i="41"/>
  <c r="J31" i="33"/>
  <c r="J19" i="33"/>
  <c r="J16" i="33"/>
  <c r="J21" i="33"/>
  <c r="C29" i="41"/>
  <c r="J34" i="24"/>
  <c r="J36" i="24" s="1"/>
  <c r="T6" i="24"/>
  <c r="S7" i="24"/>
  <c r="S8" i="24"/>
  <c r="S9" i="24"/>
  <c r="T12" i="24"/>
  <c r="S13" i="24"/>
  <c r="S14" i="24"/>
  <c r="S15" i="24"/>
  <c r="T13" i="24"/>
  <c r="T14" i="24"/>
  <c r="T15" i="24"/>
  <c r="V55" i="24"/>
  <c r="V51" i="24"/>
  <c r="V58" i="24"/>
  <c r="V54" i="24"/>
  <c r="V53" i="24"/>
  <c r="V43" i="24"/>
  <c r="V52" i="24"/>
  <c r="V42" i="24"/>
  <c r="V21" i="24"/>
  <c r="V17" i="24"/>
  <c r="V25" i="24"/>
  <c r="V26" i="24"/>
  <c r="V12" i="24"/>
  <c r="V8" i="24"/>
  <c r="V15" i="24"/>
  <c r="V11" i="24"/>
  <c r="V22" i="24"/>
  <c r="V18" i="24"/>
  <c r="V6" i="24"/>
  <c r="X21" i="24"/>
  <c r="S27" i="24"/>
  <c r="T41" i="24"/>
  <c r="T27" i="24"/>
  <c r="T60" i="24"/>
  <c r="T56" i="24"/>
  <c r="T52" i="24"/>
  <c r="T42" i="24"/>
  <c r="S60" i="24"/>
  <c r="S56" i="24"/>
  <c r="S52" i="24"/>
  <c r="S42" i="24"/>
  <c r="S28" i="24"/>
  <c r="S24" i="24"/>
  <c r="T59" i="24"/>
  <c r="T55" i="24"/>
  <c r="T51" i="24"/>
  <c r="S59" i="24"/>
  <c r="S55" i="24"/>
  <c r="S51" i="24"/>
  <c r="T63" i="24"/>
  <c r="T58" i="24"/>
  <c r="T54" i="24"/>
  <c r="T44" i="24"/>
  <c r="S63" i="24"/>
  <c r="S58" i="24"/>
  <c r="S54" i="24"/>
  <c r="S44" i="24"/>
  <c r="S26" i="24"/>
  <c r="T57" i="24"/>
  <c r="T53" i="24"/>
  <c r="T43" i="24"/>
  <c r="S57" i="24"/>
  <c r="X27" i="24"/>
  <c r="T28" i="24"/>
  <c r="S43" i="24"/>
  <c r="X55" i="24"/>
  <c r="X59" i="24"/>
  <c r="V10" i="24" l="1"/>
  <c r="V19" i="24"/>
  <c r="V9" i="24"/>
  <c r="V56" i="24"/>
  <c r="V63" i="24"/>
  <c r="V14" i="24"/>
  <c r="V27" i="24"/>
  <c r="V13" i="24"/>
  <c r="V60" i="24"/>
  <c r="V41" i="24"/>
  <c r="V28" i="24"/>
  <c r="V16" i="24"/>
  <c r="V23" i="24"/>
  <c r="V57" i="24"/>
  <c r="V59" i="24"/>
  <c r="V7" i="24"/>
  <c r="V20" i="24"/>
  <c r="V24" i="24"/>
  <c r="V44" i="24"/>
  <c r="U51" i="24"/>
  <c r="U5" i="24"/>
  <c r="Y5" i="24" s="1"/>
  <c r="U26" i="24" l="1"/>
  <c r="Y26" i="24" s="1"/>
  <c r="U15" i="24"/>
  <c r="Y15" i="24" s="1"/>
  <c r="U63" i="24"/>
  <c r="U60" i="24"/>
  <c r="Y60" i="24" s="1"/>
  <c r="U17" i="24"/>
  <c r="Y17" i="24" s="1"/>
  <c r="U19" i="24"/>
  <c r="Y19" i="24" s="1"/>
  <c r="U58" i="24"/>
  <c r="Y58" i="24" s="1"/>
  <c r="U56" i="24"/>
  <c r="Y56" i="24" s="1"/>
  <c r="U9" i="24"/>
  <c r="Y9" i="24" s="1"/>
  <c r="U55" i="24"/>
  <c r="Y55" i="24" s="1"/>
  <c r="U12" i="24"/>
  <c r="Y12" i="24" s="1"/>
  <c r="U59" i="24"/>
  <c r="Y59" i="24" s="1"/>
  <c r="U54" i="24"/>
  <c r="Y54" i="24" s="1"/>
  <c r="U8" i="24"/>
  <c r="U13" i="24"/>
  <c r="Y13" i="24" s="1"/>
  <c r="U6" i="24"/>
  <c r="Y6" i="24" s="1"/>
  <c r="U10" i="24"/>
  <c r="Y10" i="24" s="1"/>
  <c r="U44" i="24"/>
  <c r="U57" i="24"/>
  <c r="Y57" i="24" s="1"/>
  <c r="U16" i="24"/>
  <c r="Y16" i="24" s="1"/>
  <c r="U14" i="24"/>
  <c r="Y14" i="24" s="1"/>
  <c r="U25" i="24"/>
  <c r="Y25" i="24" s="1"/>
  <c r="U28" i="24"/>
  <c r="Y28" i="24" s="1"/>
  <c r="U41" i="24"/>
  <c r="U53" i="24"/>
  <c r="U20" i="24"/>
  <c r="Y20" i="24" s="1"/>
  <c r="U21" i="24"/>
  <c r="Y21" i="24" s="1"/>
  <c r="U18" i="24"/>
  <c r="U11" i="24"/>
  <c r="Y11" i="24" s="1"/>
  <c r="U52" i="24"/>
  <c r="U7" i="24"/>
  <c r="Y7" i="24" s="1"/>
  <c r="U27" i="24"/>
  <c r="Y27" i="24" s="1"/>
  <c r="U43" i="24"/>
  <c r="Y43" i="24" s="1"/>
  <c r="U42" i="24"/>
  <c r="Y42" i="24" s="1"/>
  <c r="U24" i="24"/>
  <c r="Y24" i="24" s="1"/>
  <c r="U22" i="24"/>
  <c r="Y22" i="24" s="1"/>
  <c r="U23" i="24"/>
  <c r="Y23" i="24" s="1"/>
  <c r="W52" i="24" l="1"/>
  <c r="X52" i="24"/>
  <c r="Y52" i="24"/>
  <c r="Y8" i="24"/>
  <c r="Y18" i="24"/>
  <c r="X51" i="24"/>
  <c r="W51" i="24"/>
  <c r="Y51" i="24"/>
  <c r="W53" i="24"/>
  <c r="X53" i="24"/>
  <c r="Y53" i="24"/>
  <c r="X44" i="24"/>
  <c r="W44" i="24"/>
  <c r="Y44" i="24"/>
  <c r="X63" i="24"/>
  <c r="Y63" i="24"/>
  <c r="W63" i="24"/>
  <c r="X41" i="24"/>
  <c r="W41" i="24"/>
  <c r="Y41" i="24"/>
  <c r="F24" i="19" l="1"/>
  <c r="C11" i="19"/>
  <c r="C17" i="19" l="1"/>
  <c r="G24" i="19" s="1"/>
  <c r="D25" i="19"/>
  <c r="E25" i="19"/>
  <c r="E24" i="19"/>
  <c r="I48" i="33" l="1"/>
  <c r="H21" i="41"/>
  <c r="H22" i="41" s="1"/>
  <c r="H24" i="41"/>
  <c r="H26" i="41"/>
  <c r="H25" i="41"/>
  <c r="H23" i="41"/>
  <c r="H27" i="41"/>
  <c r="C16" i="17"/>
  <c r="E26" i="17" l="1"/>
  <c r="D4" i="20" s="1"/>
  <c r="E25" i="17"/>
  <c r="C17" i="17"/>
  <c r="I46" i="33"/>
  <c r="I47" i="33" s="1"/>
  <c r="F25" i="19"/>
  <c r="I28" i="33" l="1"/>
  <c r="H25" i="17"/>
  <c r="J48" i="33"/>
  <c r="H28" i="41" s="1"/>
  <c r="C4" i="20"/>
  <c r="I40" i="33"/>
  <c r="I35" i="33"/>
  <c r="I21" i="33"/>
  <c r="P21" i="33" s="1"/>
  <c r="Q21" i="33" s="1"/>
  <c r="I17" i="33"/>
  <c r="P17" i="33" s="1"/>
  <c r="Q17" i="33" s="1"/>
  <c r="I42" i="33"/>
  <c r="G21" i="41"/>
  <c r="G22" i="41" s="1"/>
  <c r="I11" i="33"/>
  <c r="P11" i="33" s="1"/>
  <c r="Q11" i="33" s="1"/>
  <c r="I39" i="33"/>
  <c r="I26" i="33"/>
  <c r="I15" i="33"/>
  <c r="I10" i="33"/>
  <c r="I14" i="33"/>
  <c r="P14" i="33" s="1"/>
  <c r="Q14" i="33" s="1"/>
  <c r="I38" i="33"/>
  <c r="I20" i="33"/>
  <c r="I31" i="33"/>
  <c r="I25" i="33"/>
  <c r="P25" i="33" s="1"/>
  <c r="Q25" i="33" s="1"/>
  <c r="I22" i="33"/>
  <c r="I45" i="33"/>
  <c r="I9" i="33"/>
  <c r="P9" i="33" s="1"/>
  <c r="Q9" i="33" s="1"/>
  <c r="I32" i="33"/>
  <c r="I16" i="33"/>
  <c r="I30" i="33"/>
  <c r="I41" i="33"/>
  <c r="I29" i="33"/>
  <c r="P29" i="33" s="1"/>
  <c r="Q29" i="33" s="1"/>
  <c r="I23" i="33"/>
  <c r="I27" i="33"/>
  <c r="P27" i="33" s="1"/>
  <c r="Q27" i="33" s="1"/>
  <c r="I24" i="33"/>
  <c r="P24" i="33" s="1"/>
  <c r="Q24" i="33" s="1"/>
  <c r="I37" i="33"/>
  <c r="I44" i="33"/>
  <c r="I12" i="33"/>
  <c r="I18" i="33"/>
  <c r="P18" i="33" s="1"/>
  <c r="Q18" i="33" s="1"/>
  <c r="I43" i="33"/>
  <c r="I19" i="33"/>
  <c r="P19" i="33" s="1"/>
  <c r="Q19" i="33" s="1"/>
  <c r="G27" i="41"/>
  <c r="G24" i="41"/>
  <c r="G26" i="41"/>
  <c r="G23" i="41"/>
  <c r="G25" i="41"/>
  <c r="I13" i="33"/>
  <c r="I36" i="33"/>
  <c r="P36" i="33" s="1"/>
  <c r="Q36" i="33" s="1"/>
  <c r="I33" i="33"/>
  <c r="P33" i="33" s="1"/>
  <c r="Q33" i="33" s="1"/>
  <c r="I34" i="33"/>
  <c r="G25" i="19"/>
  <c r="G26" i="17"/>
  <c r="G20" i="41" s="1"/>
  <c r="H46" i="33" l="1"/>
  <c r="H48" i="33"/>
  <c r="P48" i="33" s="1"/>
  <c r="Q48" i="33" s="1"/>
  <c r="H20" i="41"/>
  <c r="C24" i="41"/>
  <c r="C26" i="41"/>
  <c r="C25" i="41"/>
  <c r="C27" i="41"/>
  <c r="C23" i="41"/>
  <c r="P12" i="33"/>
  <c r="Q12" i="33" s="1"/>
  <c r="F27" i="41"/>
  <c r="F24" i="41"/>
  <c r="F26" i="41"/>
  <c r="F23" i="41"/>
  <c r="F25" i="41"/>
  <c r="P38" i="33"/>
  <c r="Q38" i="33" s="1"/>
  <c r="E24" i="41"/>
  <c r="E26" i="41"/>
  <c r="E23" i="41"/>
  <c r="E25" i="41"/>
  <c r="E27" i="41"/>
  <c r="P37" i="33"/>
  <c r="Q37" i="33" s="1"/>
  <c r="D26" i="41"/>
  <c r="D23" i="41"/>
  <c r="D25" i="41"/>
  <c r="D27" i="41"/>
  <c r="D24" i="41"/>
  <c r="P22" i="33"/>
  <c r="Q22" i="33" s="1"/>
  <c r="D6" i="20"/>
  <c r="C6" i="20"/>
  <c r="H24" i="19"/>
  <c r="H25" i="19"/>
  <c r="H47" i="33" l="1"/>
  <c r="E12" i="20"/>
  <c r="C12" i="20"/>
  <c r="I24" i="19"/>
  <c r="J24" i="19" s="1"/>
  <c r="I25" i="19"/>
  <c r="J25" i="19" s="1"/>
  <c r="I25" i="17"/>
  <c r="D12" i="20" l="1"/>
  <c r="F12" i="20"/>
  <c r="F26" i="17"/>
  <c r="J46" i="33" s="1"/>
  <c r="E13" i="20" l="1"/>
  <c r="C13" i="20"/>
  <c r="J47" i="33"/>
  <c r="P46" i="33"/>
  <c r="Q46" i="33" s="1"/>
  <c r="D5" i="20"/>
  <c r="D7" i="20" s="1"/>
  <c r="C5" i="20"/>
  <c r="C7" i="20" s="1"/>
  <c r="H26" i="17"/>
  <c r="J25" i="17"/>
  <c r="D13" i="20" l="1"/>
  <c r="D14" i="20" s="1"/>
  <c r="C14" i="20"/>
  <c r="F13" i="20"/>
  <c r="F14" i="20" s="1"/>
  <c r="E14" i="20"/>
  <c r="I26" i="17"/>
  <c r="J26" i="17" s="1"/>
  <c r="G28" i="41"/>
  <c r="P47" i="33"/>
  <c r="Q47"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1" authorId="0" shapeId="0" xr:uid="{00000000-0006-0000-0B00-000001000000}">
      <text>
        <r>
          <rPr>
            <sz val="9"/>
            <color indexed="81"/>
            <rFont val="Tahoma"/>
            <family val="2"/>
          </rPr>
          <t xml:space="preserve">
100% of time from biofilter.</t>
        </r>
      </text>
    </comment>
    <comment ref="T1" authorId="0" shapeId="0" xr:uid="{00000000-0006-0000-0B00-000002000000}">
      <text>
        <r>
          <rPr>
            <sz val="9"/>
            <color indexed="81"/>
            <rFont val="Tahoma"/>
            <family val="2"/>
          </rPr>
          <t xml:space="preserve">
This is just a working column now.
If we use 100% negative flow, the new emissions of the ASP on positive air will be zero. 
Since when Ecology did the measurements a biofilter cover was not present over the ASP, its emissions were uncontrolled. The fluxes previously estimated for the ASP will be now diverted to the engineered biofilter. Therefore they will be reduced by 95%.</t>
        </r>
      </text>
    </comment>
    <comment ref="J8" authorId="0" shapeId="0" xr:uid="{00000000-0006-0000-0B00-000003000000}">
      <text>
        <r>
          <rPr>
            <b/>
            <sz val="9"/>
            <color indexed="81"/>
            <rFont val="Tahoma"/>
            <family val="2"/>
          </rPr>
          <t>Author:</t>
        </r>
        <r>
          <rPr>
            <sz val="9"/>
            <color indexed="81"/>
            <rFont val="Tahoma"/>
            <family val="2"/>
          </rPr>
          <t xml:space="preserve">
The equipment blank also had 3.8 ug/m3</t>
        </r>
      </text>
    </comment>
    <comment ref="J31" authorId="0" shapeId="0" xr:uid="{00000000-0006-0000-0B00-000004000000}">
      <text>
        <r>
          <rPr>
            <sz val="9"/>
            <color indexed="81"/>
            <rFont val="Tahoma"/>
            <family val="2"/>
          </rPr>
          <t xml:space="preserve">
10.8 liters/min is the median value of "Airflow measurement in passively aerated compost" by Yu et al (2005).</t>
        </r>
      </text>
    </comment>
    <comment ref="R31" authorId="0" shapeId="0" xr:uid="{00000000-0006-0000-0B00-000005000000}">
      <text>
        <r>
          <rPr>
            <sz val="9"/>
            <color indexed="81"/>
            <rFont val="Tahoma"/>
            <family val="2"/>
          </rPr>
          <t xml:space="preserve">
9.8 liters/min is the last value of Table 1 in "Airflow measurement in passively aerated compost" by Yu et al (2005).</t>
        </r>
      </text>
    </comment>
    <comment ref="C33" authorId="0" shapeId="0" xr:uid="{00000000-0006-0000-0B00-000006000000}">
      <text>
        <r>
          <rPr>
            <sz val="9"/>
            <color indexed="81"/>
            <rFont val="Tahoma"/>
            <family val="2"/>
          </rPr>
          <t xml:space="preserve">
8640 cfm from "ECS_Exhaust Air Design Estimates for Lenz CASP Phase I.pdf"</t>
        </r>
      </text>
    </comment>
    <comment ref="A63" authorId="0" shapeId="0" xr:uid="{00000000-0006-0000-0B00-000007000000}">
      <text>
        <r>
          <rPr>
            <sz val="9"/>
            <color indexed="81"/>
            <rFont val="Tahoma"/>
            <family val="2"/>
          </rPr>
          <t xml:space="preserve">
Consider 1100 ug/m3 on "Mass Bed Middle E" as an outlier and exclude 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E00-000001000000}">
      <text>
        <r>
          <rPr>
            <sz val="9"/>
            <color indexed="81"/>
            <rFont val="Tahoma"/>
            <family val="2"/>
          </rPr>
          <t xml:space="preserve">
Future WAC from https://apps.leg.wa.gov/WAC/default.aspx?cite=173-460-150</t>
        </r>
      </text>
    </comment>
  </commentList>
</comments>
</file>

<file path=xl/sharedStrings.xml><?xml version="1.0" encoding="utf-8"?>
<sst xmlns="http://schemas.openxmlformats.org/spreadsheetml/2006/main" count="5309" uniqueCount="2112">
  <si>
    <t>tpy waste</t>
  </si>
  <si>
    <t>Current scenario</t>
  </si>
  <si>
    <t>Future scenario</t>
  </si>
  <si>
    <t>1 ton =</t>
  </si>
  <si>
    <t>lb</t>
  </si>
  <si>
    <t>Windrow</t>
  </si>
  <si>
    <t>Units</t>
  </si>
  <si>
    <t>lb/wet ton</t>
  </si>
  <si>
    <t>%</t>
  </si>
  <si>
    <t>Assumptions</t>
  </si>
  <si>
    <t>Calculations</t>
  </si>
  <si>
    <t>Value</t>
  </si>
  <si>
    <t>Total</t>
  </si>
  <si>
    <t>Control efficiency positive flow (biofilter cover 1-foot)</t>
  </si>
  <si>
    <t>PTE</t>
  </si>
  <si>
    <t>t/y VOC</t>
  </si>
  <si>
    <t>lb-VOC/wet-ton/day</t>
  </si>
  <si>
    <t>CASP uncontrolled VOC EF</t>
  </si>
  <si>
    <t>Biofilter VOC EF after emissions control</t>
  </si>
  <si>
    <t>Stockpiling</t>
  </si>
  <si>
    <t>Control efficiency negative flow (engineered biofilter)</t>
  </si>
  <si>
    <t>Enclosed stockpile under negative air to biofilter</t>
  </si>
  <si>
    <t>CASP VOC EF after emissions control (compost blanket)</t>
  </si>
  <si>
    <t>CASP uncontrolled NH3 EF</t>
  </si>
  <si>
    <t>lb-NH3/wet-ton/day</t>
  </si>
  <si>
    <t>Biofilter NH3 EF after emissions control</t>
  </si>
  <si>
    <t>t/y NH3</t>
  </si>
  <si>
    <t>Stockpiling max retention time</t>
  </si>
  <si>
    <t>days</t>
  </si>
  <si>
    <t>Stockpiling VOC EF</t>
  </si>
  <si>
    <t>CASP NH3 EF after emissions control (compost blanket)</t>
  </si>
  <si>
    <t>Stockpiling NH3 EF</t>
  </si>
  <si>
    <t>lb NH3</t>
  </si>
  <si>
    <t>Biofilter</t>
  </si>
  <si>
    <t>lb VOC</t>
  </si>
  <si>
    <t>lb-VOC/wet-ton</t>
  </si>
  <si>
    <t>Emission Source</t>
  </si>
  <si>
    <t>Covered ASPs/Biofilter</t>
  </si>
  <si>
    <t>Windrows</t>
  </si>
  <si>
    <t>Increase in Potential VOC Emissions (tpy)</t>
  </si>
  <si>
    <t>Facility-wide Potential VOC Emissions (tpy)</t>
  </si>
  <si>
    <t>Project and Facility-wide VOC Emissions</t>
  </si>
  <si>
    <t>Ecology Testing at the Lenz Facility for Vocs.</t>
  </si>
  <si>
    <t># days</t>
  </si>
  <si>
    <t>Assume&gt;</t>
  </si>
  <si>
    <t>Emissions</t>
  </si>
  <si>
    <t>Current Actual</t>
  </si>
  <si>
    <t>ASP Biofilter</t>
  </si>
  <si>
    <t>Tipping &amp; 
ASP Biofilter</t>
  </si>
  <si>
    <t>Tipping &amp; 
ASP Biofilter Dup</t>
  </si>
  <si>
    <t>Fresh ASP</t>
  </si>
  <si>
    <t>7-Day ASP</t>
  </si>
  <si>
    <t>Finished</t>
  </si>
  <si>
    <t>Mas Bed
NE Corner</t>
  </si>
  <si>
    <t>Mas Bed
NW Corner</t>
  </si>
  <si>
    <t>Mass Bed
Middle W</t>
  </si>
  <si>
    <t>Mass Bed
Middle S</t>
  </si>
  <si>
    <t>Mass Bed
Middle E</t>
  </si>
  <si>
    <t>TAP?</t>
  </si>
  <si>
    <t>HAP?</t>
  </si>
  <si>
    <t>VOC?</t>
  </si>
  <si>
    <t>ASP on
positive
Air</t>
  </si>
  <si>
    <t>Mass Bed</t>
  </si>
  <si>
    <t>CAS No</t>
  </si>
  <si>
    <t>ug/m3</t>
  </si>
  <si>
    <t>t/y</t>
  </si>
  <si>
    <t>115-07-1</t>
  </si>
  <si>
    <t>Propene</t>
  </si>
  <si>
    <t>74-87-3</t>
  </si>
  <si>
    <t>Chloromthane</t>
  </si>
  <si>
    <t>yes</t>
  </si>
  <si>
    <t>75-71-8</t>
  </si>
  <si>
    <t>Dichlorodifluoromethane</t>
  </si>
  <si>
    <t>106-99-0</t>
  </si>
  <si>
    <t>1,3-Butadiene</t>
  </si>
  <si>
    <t>75-05-8</t>
  </si>
  <si>
    <t>Acetonitrile</t>
  </si>
  <si>
    <t>75-09-2</t>
  </si>
  <si>
    <t>Methylene Chloride</t>
  </si>
  <si>
    <t>64-17-5</t>
  </si>
  <si>
    <t>Ethanol</t>
  </si>
  <si>
    <t>108-05-4</t>
  </si>
  <si>
    <t>Vinyl Acetate</t>
  </si>
  <si>
    <t>110-54-3</t>
  </si>
  <si>
    <t>n-Hexane</t>
  </si>
  <si>
    <t>67-64-1</t>
  </si>
  <si>
    <t>Acetone</t>
  </si>
  <si>
    <t>71-43-2</t>
  </si>
  <si>
    <t>Benzene</t>
  </si>
  <si>
    <t>75-69-4</t>
  </si>
  <si>
    <t>Trichlorofluoromethane</t>
  </si>
  <si>
    <t>108-10-1</t>
  </si>
  <si>
    <t>4-Methyl-2-pentanone</t>
  </si>
  <si>
    <t>108-88-3</t>
  </si>
  <si>
    <t>Toluene</t>
  </si>
  <si>
    <t>100-41-4</t>
  </si>
  <si>
    <t>Ethylbenzene</t>
  </si>
  <si>
    <t>78-93-3</t>
  </si>
  <si>
    <t>2-Butanone (MEK)</t>
  </si>
  <si>
    <t>100-42-5</t>
  </si>
  <si>
    <t>Styrene</t>
  </si>
  <si>
    <t>141-78-6</t>
  </si>
  <si>
    <t>Ethyl Acetate</t>
  </si>
  <si>
    <t>no</t>
  </si>
  <si>
    <t>142-82-5</t>
  </si>
  <si>
    <t>n-Heptane</t>
  </si>
  <si>
    <t>111-63-9</t>
  </si>
  <si>
    <t>n-Octane</t>
  </si>
  <si>
    <t>179601-23-1</t>
  </si>
  <si>
    <t>m,p-Xylenes</t>
  </si>
  <si>
    <t>111-84-2</t>
  </si>
  <si>
    <t>n-Nonane</t>
  </si>
  <si>
    <t>80-56-8</t>
  </si>
  <si>
    <t>alpha-Pinene</t>
  </si>
  <si>
    <t>5989-27-5</t>
  </si>
  <si>
    <t>d-Limonene</t>
  </si>
  <si>
    <t>TVOC as Toluene</t>
  </si>
  <si>
    <t>Flow from Mass Bed</t>
  </si>
  <si>
    <t>m3/min</t>
  </si>
  <si>
    <t>&lt;&lt;Ecology tests at West and East Side compost facility</t>
  </si>
  <si>
    <t>Flow from Finished area</t>
  </si>
  <si>
    <t>m3/s</t>
  </si>
  <si>
    <t>Flow</t>
  </si>
  <si>
    <t>m2</t>
  </si>
  <si>
    <t>typical area of flux chamber</t>
  </si>
  <si>
    <t>velocity</t>
  </si>
  <si>
    <t>m/s</t>
  </si>
  <si>
    <t>Mass bed area (ft2)</t>
  </si>
  <si>
    <t>Finished area (ft2)</t>
  </si>
  <si>
    <t>Total flow from mass bed</t>
  </si>
  <si>
    <t>Ecology Testing for Sulfur compounds</t>
  </si>
  <si>
    <t>463-58-1</t>
  </si>
  <si>
    <t>Carbonyle Sulfide</t>
  </si>
  <si>
    <t>74-93-1</t>
  </si>
  <si>
    <t>Methyl Mercaptan</t>
  </si>
  <si>
    <t>75-18-3</t>
  </si>
  <si>
    <t>Dimethyl Sulfide</t>
  </si>
  <si>
    <t>75-15-0</t>
  </si>
  <si>
    <t>Carbon Disulfide</t>
  </si>
  <si>
    <t>Ecology Testing for Aldehydes</t>
  </si>
  <si>
    <t>50-00-0</t>
  </si>
  <si>
    <t>Formaldehyde</t>
  </si>
  <si>
    <t>75-07-0</t>
  </si>
  <si>
    <t>Acetaldehyde</t>
  </si>
  <si>
    <t>123-38-6</t>
  </si>
  <si>
    <t>Propionaldehyde</t>
  </si>
  <si>
    <t>123-72-8</t>
  </si>
  <si>
    <t>Butyraldehyde</t>
  </si>
  <si>
    <t>100-52-7</t>
  </si>
  <si>
    <t>Benzaldehyde</t>
  </si>
  <si>
    <t>590-86-3</t>
  </si>
  <si>
    <t>Isovaleraldehyde</t>
  </si>
  <si>
    <t>110-62-3</t>
  </si>
  <si>
    <t>Valeraldehyde</t>
  </si>
  <si>
    <t>529-20-4</t>
  </si>
  <si>
    <t>o-Tolualdehyde</t>
  </si>
  <si>
    <t>66-25-1</t>
  </si>
  <si>
    <t>n-Hexaldehyde</t>
  </si>
  <si>
    <t>5779-94-2</t>
  </si>
  <si>
    <t>2,5-Dimethylbenzaldehyde</t>
  </si>
  <si>
    <t>64-19-7</t>
  </si>
  <si>
    <t>67-56-1</t>
  </si>
  <si>
    <t>67-63-0</t>
  </si>
  <si>
    <t>76-22-2</t>
  </si>
  <si>
    <t>78-92-2</t>
  </si>
  <si>
    <t>79-09-4</t>
  </si>
  <si>
    <t>91-20-3</t>
  </si>
  <si>
    <t>Naphthalene</t>
  </si>
  <si>
    <t>7664-41-7</t>
  </si>
  <si>
    <t>Ammonia</t>
  </si>
  <si>
    <t>CAS</t>
  </si>
  <si>
    <t>Chemical_Name</t>
  </si>
  <si>
    <t>TAC?</t>
  </si>
  <si>
    <t>100-00-5</t>
  </si>
  <si>
    <t>p-Nitrochlorobenzene</t>
  </si>
  <si>
    <t>Yes</t>
  </si>
  <si>
    <t>No</t>
  </si>
  <si>
    <t>100-01-6</t>
  </si>
  <si>
    <t>p-Nitroaniline</t>
  </si>
  <si>
    <t>100-02-7</t>
  </si>
  <si>
    <t>4-Nitrophenol</t>
  </si>
  <si>
    <t>100-37-8</t>
  </si>
  <si>
    <t>Diethylaminoethanol, 2-</t>
  </si>
  <si>
    <t>Ethyl benzene</t>
  </si>
  <si>
    <t>100-44-7</t>
  </si>
  <si>
    <t>Benzyl chloride</t>
  </si>
  <si>
    <t>100-61-8</t>
  </si>
  <si>
    <t>N-Methyl aniline</t>
  </si>
  <si>
    <t>100-63-0</t>
  </si>
  <si>
    <t>Phenylhydrazine</t>
  </si>
  <si>
    <t>100-74-3</t>
  </si>
  <si>
    <t>N-Ethylmorpholine</t>
  </si>
  <si>
    <t>10025-67-9</t>
  </si>
  <si>
    <t>Sulfur monochloride</t>
  </si>
  <si>
    <t>10025-87-3</t>
  </si>
  <si>
    <t>Phosphorus oxychloride</t>
  </si>
  <si>
    <t>10026-13-8</t>
  </si>
  <si>
    <t>Phosphorus pentachloride</t>
  </si>
  <si>
    <t>10035-10-6</t>
  </si>
  <si>
    <t>Hydrogen bromide</t>
  </si>
  <si>
    <t>10049-04-4</t>
  </si>
  <si>
    <t>Chlorine dioxide</t>
  </si>
  <si>
    <t>101-14-4</t>
  </si>
  <si>
    <t>4,4-Methylene bis(2-chloroaniline)</t>
  </si>
  <si>
    <t>101-68-8</t>
  </si>
  <si>
    <t>Methylene bis(phenyl isocyanate)(Methylene diphenyl diisocyanate MDI)</t>
  </si>
  <si>
    <t>101-77-9</t>
  </si>
  <si>
    <t>4,4'-Methylene dianiline</t>
  </si>
  <si>
    <t>101-80-4</t>
  </si>
  <si>
    <t>4,4'-Diaminodiphenyl ether</t>
  </si>
  <si>
    <t>101-84-8</t>
  </si>
  <si>
    <t>Phenyl ether</t>
  </si>
  <si>
    <t>101-90-6</t>
  </si>
  <si>
    <t>Diglycidyl resorcinol ether</t>
  </si>
  <si>
    <t>10102-43-9</t>
  </si>
  <si>
    <t>Nitric oxide</t>
  </si>
  <si>
    <t>102-54-5</t>
  </si>
  <si>
    <t>Dicyclopentadienyl iron</t>
  </si>
  <si>
    <t>102-81-8</t>
  </si>
  <si>
    <t>2-N-Dibutylaminoethanol</t>
  </si>
  <si>
    <t>10210-68-1</t>
  </si>
  <si>
    <t>Cobalt carbonyl as Co</t>
  </si>
  <si>
    <t>10294-33-4</t>
  </si>
  <si>
    <t>Boron tribromide</t>
  </si>
  <si>
    <t>105-46-4</t>
  </si>
  <si>
    <t>sec-Butyl acetate</t>
  </si>
  <si>
    <t>105-60-2</t>
  </si>
  <si>
    <t>Caprolactum, dusts</t>
  </si>
  <si>
    <t>No*</t>
  </si>
  <si>
    <t>delisted hap</t>
  </si>
  <si>
    <t>10595-95-6</t>
  </si>
  <si>
    <t>N-Nitrosomethylethylamine</t>
  </si>
  <si>
    <t>106-35-4</t>
  </si>
  <si>
    <t>Ethyl butyl ketone</t>
  </si>
  <si>
    <t>106-42-3</t>
  </si>
  <si>
    <t>p-Xylenes</t>
  </si>
  <si>
    <t>106-44-5</t>
  </si>
  <si>
    <t>p-Cresol</t>
  </si>
  <si>
    <t>106-46-7</t>
  </si>
  <si>
    <t>1,4-Dichlorobenzene(p-Dichlorobenzene)</t>
  </si>
  <si>
    <t>106-49-0</t>
  </si>
  <si>
    <t>p-Toluidine</t>
  </si>
  <si>
    <t>106-50-3</t>
  </si>
  <si>
    <t>p-Phenylenediamine</t>
  </si>
  <si>
    <t>106-51-4</t>
  </si>
  <si>
    <t>Quinone (1,4-Cyclohexadienedione)</t>
  </si>
  <si>
    <t>106-87-6</t>
  </si>
  <si>
    <t>Vinyl cyclohexene dioxide</t>
  </si>
  <si>
    <t>106-88-7</t>
  </si>
  <si>
    <t>1,2-Epoxybutane (1,2-Butylene oxide)</t>
  </si>
  <si>
    <t>106-89-8</t>
  </si>
  <si>
    <t>Epichlorohydrin (1-Chloro-2,3-epoxypropane)</t>
  </si>
  <si>
    <t>106-92-3</t>
  </si>
  <si>
    <t>Allyl glycidyl ether (AGE)</t>
  </si>
  <si>
    <t>106-93-4</t>
  </si>
  <si>
    <t>Ethylene dibromide (1,2-dibromoethane)</t>
  </si>
  <si>
    <t>106-97-8</t>
  </si>
  <si>
    <t>Butane</t>
  </si>
  <si>
    <t>107-02-8</t>
  </si>
  <si>
    <t>Acrolein</t>
  </si>
  <si>
    <t>107-05-1</t>
  </si>
  <si>
    <t>Allyl chloride</t>
  </si>
  <si>
    <t>107-06-2</t>
  </si>
  <si>
    <t>Ethylene dichloride (1,2-Dichloroethane)</t>
  </si>
  <si>
    <t>107-07-3</t>
  </si>
  <si>
    <t>Ethylene chlorohydrin</t>
  </si>
  <si>
    <t>107-13-1</t>
  </si>
  <si>
    <t>Acrylonitrile</t>
  </si>
  <si>
    <t>107-15-3</t>
  </si>
  <si>
    <t>Ethylene diamine</t>
  </si>
  <si>
    <t>107-18-6</t>
  </si>
  <si>
    <t>Allyl alchohol</t>
  </si>
  <si>
    <t>107-19-7</t>
  </si>
  <si>
    <t>Propargyl alcohol</t>
  </si>
  <si>
    <t>107-20-0</t>
  </si>
  <si>
    <t>Chloroacetaldehyde</t>
  </si>
  <si>
    <t>107-21-1</t>
  </si>
  <si>
    <t>Ethylene glycol</t>
  </si>
  <si>
    <t>107-30-2</t>
  </si>
  <si>
    <t>Chloromethyl methyl ether</t>
  </si>
  <si>
    <t>107-31-3</t>
  </si>
  <si>
    <t>Methyl formate</t>
  </si>
  <si>
    <t>107-41-5</t>
  </si>
  <si>
    <t>Hexylene glycol</t>
  </si>
  <si>
    <t>107-49-3</t>
  </si>
  <si>
    <t>TEPP</t>
  </si>
  <si>
    <t>107-66-4</t>
  </si>
  <si>
    <t>Dibutyl phosphate</t>
  </si>
  <si>
    <t>107-87-9</t>
  </si>
  <si>
    <t>2-Pentanone  (Methyl propyl ketone)</t>
  </si>
  <si>
    <t>107-98-2</t>
  </si>
  <si>
    <t>Propylene glycol mono-methyl ether</t>
  </si>
  <si>
    <t>108-03-2</t>
  </si>
  <si>
    <t>1-Nitropropane</t>
  </si>
  <si>
    <t>Vinyl acetate</t>
  </si>
  <si>
    <t>Methyl isobutyl ketone (MIBK; Hexone)</t>
  </si>
  <si>
    <t>108-11-2</t>
  </si>
  <si>
    <t>Methyl isobutyl carbinol</t>
  </si>
  <si>
    <t>108-18-9</t>
  </si>
  <si>
    <t>Diisopropylamine</t>
  </si>
  <si>
    <t>108-20-3</t>
  </si>
  <si>
    <t>Isopropyl ether</t>
  </si>
  <si>
    <t>108-21-4</t>
  </si>
  <si>
    <t>Isopropyl acetate</t>
  </si>
  <si>
    <t>108-24-7</t>
  </si>
  <si>
    <t>Acetic anhydride</t>
  </si>
  <si>
    <t>108-31-6</t>
  </si>
  <si>
    <t>Maleic anhydride</t>
  </si>
  <si>
    <t>108-38-3</t>
  </si>
  <si>
    <t>m-Xylenes</t>
  </si>
  <si>
    <t>108-39-4</t>
  </si>
  <si>
    <t>m-Cresol</t>
  </si>
  <si>
    <t>108-43-0</t>
  </si>
  <si>
    <t>Chlorophenols</t>
  </si>
  <si>
    <t>108-44-1</t>
  </si>
  <si>
    <t>m-Toluidine</t>
  </si>
  <si>
    <t>108-46-3</t>
  </si>
  <si>
    <t>Resorcinol</t>
  </si>
  <si>
    <t>108-83-8</t>
  </si>
  <si>
    <t>Diisobutyl ketone</t>
  </si>
  <si>
    <t>108-84-9</t>
  </si>
  <si>
    <t>sec-Hexyl acetate</t>
  </si>
  <si>
    <t>108-87-2</t>
  </si>
  <si>
    <t>Methylcyclohexane</t>
  </si>
  <si>
    <t>108-90-7</t>
  </si>
  <si>
    <t>Chlorobenzene</t>
  </si>
  <si>
    <t>108-91-8</t>
  </si>
  <si>
    <t>Cyclohexylamine</t>
  </si>
  <si>
    <t>108-93-0</t>
  </si>
  <si>
    <t>Cyclohexanol</t>
  </si>
  <si>
    <t>108-94-1</t>
  </si>
  <si>
    <t>Cyclohexanone</t>
  </si>
  <si>
    <t>108-95-2</t>
  </si>
  <si>
    <t>Phenol</t>
  </si>
  <si>
    <t>108-98-5</t>
  </si>
  <si>
    <t>Phenyl mercaptan</t>
  </si>
  <si>
    <t>109-59-1</t>
  </si>
  <si>
    <t>Isopropoxyethanol</t>
  </si>
  <si>
    <t>109-60-4</t>
  </si>
  <si>
    <t>n-Propyl acetate</t>
  </si>
  <si>
    <t>109-66-0</t>
  </si>
  <si>
    <t>Pentane</t>
  </si>
  <si>
    <t>109-73-9</t>
  </si>
  <si>
    <t>n-Butylamine</t>
  </si>
  <si>
    <t>109-79-5</t>
  </si>
  <si>
    <t>Butyl mercaptan</t>
  </si>
  <si>
    <t>109-86-4</t>
  </si>
  <si>
    <t>Methyl cellosolve (2-Methoxyethanol)</t>
  </si>
  <si>
    <t>109-87-5</t>
  </si>
  <si>
    <t>Methylal</t>
  </si>
  <si>
    <t>109-89-7</t>
  </si>
  <si>
    <t>Diethylamine</t>
  </si>
  <si>
    <t>109-94-4</t>
  </si>
  <si>
    <t>Ethyl formate</t>
  </si>
  <si>
    <t>109-99-9</t>
  </si>
  <si>
    <t>Tetrahydrofuran</t>
  </si>
  <si>
    <t>110-12-3</t>
  </si>
  <si>
    <t>Methyl isoamyl ketone</t>
  </si>
  <si>
    <t>110-19-0</t>
  </si>
  <si>
    <t>Isobutyl acetate</t>
  </si>
  <si>
    <t>110-43-0</t>
  </si>
  <si>
    <t>Methyl n-amyl ketone</t>
  </si>
  <si>
    <t>110-49-6</t>
  </si>
  <si>
    <t>2-Methoxyethyl acetate</t>
  </si>
  <si>
    <t>Hexane (n-Hexane)</t>
  </si>
  <si>
    <t>n-Valeraldehyde</t>
  </si>
  <si>
    <t>110-80-5</t>
  </si>
  <si>
    <t>2-Ethoxyethanol (Cellosolve)</t>
  </si>
  <si>
    <t>110-82-7</t>
  </si>
  <si>
    <t>Cyclohexane</t>
  </si>
  <si>
    <t>110-83-8</t>
  </si>
  <si>
    <t>Cyclohexene</t>
  </si>
  <si>
    <t>110-86-1</t>
  </si>
  <si>
    <t>Pyridine</t>
  </si>
  <si>
    <t>110-91-8</t>
  </si>
  <si>
    <t>Morpholine</t>
  </si>
  <si>
    <t>111-15-9</t>
  </si>
  <si>
    <t>2-Ethoxyethyl acetate</t>
  </si>
  <si>
    <t>111-30-8</t>
  </si>
  <si>
    <t>Glutaraldehyde</t>
  </si>
  <si>
    <t>111-40-0</t>
  </si>
  <si>
    <t>Diethylenetriamine (DETA)</t>
  </si>
  <si>
    <t>111-42-2</t>
  </si>
  <si>
    <t>Diethanolamine</t>
  </si>
  <si>
    <t>111-44-4</t>
  </si>
  <si>
    <t>Dichloroethyl ether (Bis(2-chloroethyl)ether)</t>
  </si>
  <si>
    <t>111-65-9</t>
  </si>
  <si>
    <t>Octane</t>
  </si>
  <si>
    <t>111-76-2</t>
  </si>
  <si>
    <t>2-Butoxyethanol (Butyl cellosolve; Ethylene glycol monobutyl ether)</t>
  </si>
  <si>
    <t>Nonane</t>
  </si>
  <si>
    <t>1120-71-4</t>
  </si>
  <si>
    <t>1,3-Propane sultone</t>
  </si>
  <si>
    <t>114-26-1</t>
  </si>
  <si>
    <t>Propoxur (Baygon)</t>
  </si>
  <si>
    <t>115-29-7</t>
  </si>
  <si>
    <t>Endosulfan</t>
  </si>
  <si>
    <t>115-86-6</t>
  </si>
  <si>
    <t>Triphenyl phosphate</t>
  </si>
  <si>
    <t>115-90-2</t>
  </si>
  <si>
    <t>Fensulfothion</t>
  </si>
  <si>
    <t>117-79-3</t>
  </si>
  <si>
    <t>2-Aminoanthraquinone</t>
  </si>
  <si>
    <t>117-81-7</t>
  </si>
  <si>
    <t>Bis(2-ethylhexyl)phthalate (DEHP)</t>
  </si>
  <si>
    <t>118-52-5</t>
  </si>
  <si>
    <t>1,3-Dichloro-5,5-dimethyl hydantoin</t>
  </si>
  <si>
    <t>118-74-1</t>
  </si>
  <si>
    <t>Hexachlorobenzene</t>
  </si>
  <si>
    <t>118-96-7</t>
  </si>
  <si>
    <t>2,4,6-Trinitrotoluene</t>
  </si>
  <si>
    <t>1189-85-1</t>
  </si>
  <si>
    <t>tert-Butyl chromate, as CrO3</t>
  </si>
  <si>
    <t>119-90-4</t>
  </si>
  <si>
    <t>3,3-Dimethoxybenzidine (ortol-dianisidine)</t>
  </si>
  <si>
    <t>119-93-7</t>
  </si>
  <si>
    <t>3,3'-Dimethyl benzidine</t>
  </si>
  <si>
    <t>120-80-9</t>
  </si>
  <si>
    <t>Catechol</t>
  </si>
  <si>
    <t>120-82-1</t>
  </si>
  <si>
    <t>1,2,4-Trichlorobenzene</t>
  </si>
  <si>
    <t>12079-65-1</t>
  </si>
  <si>
    <t>Manganese cyclopentadienyl tricarbonyl</t>
  </si>
  <si>
    <t>121-14-2</t>
  </si>
  <si>
    <t>2,4-Dinitrotoluene</t>
  </si>
  <si>
    <t>121-44-8</t>
  </si>
  <si>
    <t>Triethylamine</t>
  </si>
  <si>
    <t>121-45-9</t>
  </si>
  <si>
    <t>Trimethyl phosphite</t>
  </si>
  <si>
    <t>121-69-7</t>
  </si>
  <si>
    <t>N,N-Dimethylaniline (N-N-Diethyl aniline)</t>
  </si>
  <si>
    <t>121-75-5</t>
  </si>
  <si>
    <t>Malathion</t>
  </si>
  <si>
    <t>121-82-4</t>
  </si>
  <si>
    <t>Cyclonite</t>
  </si>
  <si>
    <t>12108-13-3</t>
  </si>
  <si>
    <t>Methylcyclopentadienyl manganese tricarbonyl</t>
  </si>
  <si>
    <t>12125-02-9</t>
  </si>
  <si>
    <t>Ammonium chloride fumes</t>
  </si>
  <si>
    <t>122-39-4</t>
  </si>
  <si>
    <t>Diphenylamine</t>
  </si>
  <si>
    <t>122-60-1</t>
  </si>
  <si>
    <t>Phenyl glycidyl ether</t>
  </si>
  <si>
    <t>122-66-7</t>
  </si>
  <si>
    <t>1,2-Diphenyl hydrazine</t>
  </si>
  <si>
    <t>123-19-3</t>
  </si>
  <si>
    <t>Dipropyl ketone</t>
  </si>
  <si>
    <t>123-31-9</t>
  </si>
  <si>
    <t>Hydroquinone</t>
  </si>
  <si>
    <t>123-42-2</t>
  </si>
  <si>
    <t>Diacetone alcohol</t>
  </si>
  <si>
    <t>123-51-3</t>
  </si>
  <si>
    <t>Isoamyl alcohol</t>
  </si>
  <si>
    <t>123-86-4</t>
  </si>
  <si>
    <t>n-Butyl acetate</t>
  </si>
  <si>
    <t>123-91-1</t>
  </si>
  <si>
    <t>1,4-Dioxane (1,4-Diethylene oxide)</t>
  </si>
  <si>
    <t>123-92-2</t>
  </si>
  <si>
    <t>Isoamyl acetate</t>
  </si>
  <si>
    <t>124-40-3</t>
  </si>
  <si>
    <t>Dimethylamine</t>
  </si>
  <si>
    <t>126-73-8</t>
  </si>
  <si>
    <t>Tributyl phosphate</t>
  </si>
  <si>
    <t>126-85-2</t>
  </si>
  <si>
    <t>Nitrogen mustard N-oxide</t>
  </si>
  <si>
    <t>126-98-7</t>
  </si>
  <si>
    <t>Methylacrylonitrile</t>
  </si>
  <si>
    <t>126-99-8</t>
  </si>
  <si>
    <t>b-Chloroprene</t>
  </si>
  <si>
    <t>12604-58-9</t>
  </si>
  <si>
    <t>Ferrovanadium dust</t>
  </si>
  <si>
    <t>127-18-4</t>
  </si>
  <si>
    <t>Perchloroethylene (tetrachloroethylene)</t>
  </si>
  <si>
    <t>127-19-5</t>
  </si>
  <si>
    <t>Dimethylacetamide</t>
  </si>
  <si>
    <t>128-37-0</t>
  </si>
  <si>
    <t>2,6-Ditert.butyl-p-cresol</t>
  </si>
  <si>
    <t>129-15-7</t>
  </si>
  <si>
    <t>2-Methyl-1-nitroanthraquinone</t>
  </si>
  <si>
    <t>1300-73-8</t>
  </si>
  <si>
    <t>Xylidine</t>
  </si>
  <si>
    <t>1303-86-2</t>
  </si>
  <si>
    <t>Boron oxide</t>
  </si>
  <si>
    <t>1303-96-4</t>
  </si>
  <si>
    <t>Borate (anhydrous and pentahydrate)</t>
  </si>
  <si>
    <t>1304-82-1</t>
  </si>
  <si>
    <t>Bismuth telluride</t>
  </si>
  <si>
    <t>1305-62-0</t>
  </si>
  <si>
    <t>Calcium hydroxide</t>
  </si>
  <si>
    <t>1305-78-8</t>
  </si>
  <si>
    <t>Calcium oxide</t>
  </si>
  <si>
    <t>1309-37-1</t>
  </si>
  <si>
    <t>Iron oxide fumes, Fe2O3 as Fe</t>
  </si>
  <si>
    <t>1309-48-4</t>
  </si>
  <si>
    <t>Magnesium oxide fumes</t>
  </si>
  <si>
    <t>1309-64-4</t>
  </si>
  <si>
    <t>Antimony trioxide, as Sb</t>
  </si>
  <si>
    <t>131-11-3</t>
  </si>
  <si>
    <t>Dimethyl phthalate</t>
  </si>
  <si>
    <t>1310-58-3</t>
  </si>
  <si>
    <t>Potassium hydroxide</t>
  </si>
  <si>
    <t>1310-73-2</t>
  </si>
  <si>
    <t>Sodium hydroxide</t>
  </si>
  <si>
    <t>13121-70-5</t>
  </si>
  <si>
    <t>Cyhexatin</t>
  </si>
  <si>
    <t>1314-13-2</t>
  </si>
  <si>
    <t>Zinc oxide, fumes</t>
  </si>
  <si>
    <t>1314-20-1</t>
  </si>
  <si>
    <t>Thorium dioxide</t>
  </si>
  <si>
    <t>1314-62-1</t>
  </si>
  <si>
    <t>Vanadium, as V2O5</t>
  </si>
  <si>
    <t>1314-80-3</t>
  </si>
  <si>
    <t>Phosphorus pentasulfide</t>
  </si>
  <si>
    <t>1319-77-3</t>
  </si>
  <si>
    <t>Cresols/cresylic acid and compounds</t>
  </si>
  <si>
    <t>132-64-9</t>
  </si>
  <si>
    <t>Dibenzofurans</t>
  </si>
  <si>
    <t>1321-64-8</t>
  </si>
  <si>
    <t>Pentachloronaphthalene</t>
  </si>
  <si>
    <t>1321-65-9</t>
  </si>
  <si>
    <t>Trichloronaphthalene</t>
  </si>
  <si>
    <t>1321-74-0</t>
  </si>
  <si>
    <t>Divinyl benzene</t>
  </si>
  <si>
    <t>133-06-2</t>
  </si>
  <si>
    <t>Captan</t>
  </si>
  <si>
    <t>133-90-4</t>
  </si>
  <si>
    <t>Chloramben</t>
  </si>
  <si>
    <t>1330-20-7</t>
  </si>
  <si>
    <t>Xylenes</t>
  </si>
  <si>
    <t>1332-21-4</t>
  </si>
  <si>
    <t>Asbestos</t>
  </si>
  <si>
    <t>1333-86-4</t>
  </si>
  <si>
    <t>Carbon black</t>
  </si>
  <si>
    <t>1335-87-1</t>
  </si>
  <si>
    <t>Hexachloronaphthalene</t>
  </si>
  <si>
    <t>1335-88-2</t>
  </si>
  <si>
    <t>Tetrachloronaphthalene</t>
  </si>
  <si>
    <t>1336-36-3</t>
  </si>
  <si>
    <t>Polychlorinated biphenyls (arochlors) (PCBs)</t>
  </si>
  <si>
    <t>1338-23-4</t>
  </si>
  <si>
    <t>Methyl ethyl ketone peroxide</t>
  </si>
  <si>
    <t>134-32-7</t>
  </si>
  <si>
    <t>1-Napthylamine</t>
  </si>
  <si>
    <t>13463-40-6</t>
  </si>
  <si>
    <t>Iron pentacarbonyl, as Fe</t>
  </si>
  <si>
    <t>13494-80-9</t>
  </si>
  <si>
    <t>Tellurium &amp; compounds as Te</t>
  </si>
  <si>
    <t>135-20-6</t>
  </si>
  <si>
    <t>Cupferron</t>
  </si>
  <si>
    <t>135-88-6</t>
  </si>
  <si>
    <t>N-Phenyl-2-napthylamine</t>
  </si>
  <si>
    <t>13530-65-9</t>
  </si>
  <si>
    <t>Zinc chromates</t>
  </si>
  <si>
    <t>13552-44-8</t>
  </si>
  <si>
    <t>4,4-Methylenedianiline dihydrochloride</t>
  </si>
  <si>
    <t>136-78-7</t>
  </si>
  <si>
    <t>Sesone</t>
  </si>
  <si>
    <t>137-05-3</t>
  </si>
  <si>
    <t>Methyl 2-cyanoacrylate</t>
  </si>
  <si>
    <t>137-26-8</t>
  </si>
  <si>
    <t>Thirum</t>
  </si>
  <si>
    <t>13765-19-0</t>
  </si>
  <si>
    <t>Calcium chromate, anhydrous</t>
  </si>
  <si>
    <t>138-22-7</t>
  </si>
  <si>
    <t>n-Butyl lactate</t>
  </si>
  <si>
    <t>13838-16-9</t>
  </si>
  <si>
    <t>Enflurane</t>
  </si>
  <si>
    <t>139-65-1</t>
  </si>
  <si>
    <t>4,4'-Thiodianiline</t>
  </si>
  <si>
    <t>139-91-3</t>
  </si>
  <si>
    <t>5-(Morpholinomethyl)-3-(amino)-2-oxazolidinone(furaltudone)</t>
  </si>
  <si>
    <t>1395-21-7</t>
  </si>
  <si>
    <t>Subtilisins</t>
  </si>
  <si>
    <t>140-88-5</t>
  </si>
  <si>
    <t>Ethyl acrylate</t>
  </si>
  <si>
    <t>141-32-2</t>
  </si>
  <si>
    <t>Butyl acrylate</t>
  </si>
  <si>
    <t>141-43-5</t>
  </si>
  <si>
    <t>Ethanolamine (Monethanol amine)</t>
  </si>
  <si>
    <t>141-66-2</t>
  </si>
  <si>
    <t>Dicrotophos</t>
  </si>
  <si>
    <t>Ethyl acetate</t>
  </si>
  <si>
    <t>141-79-7</t>
  </si>
  <si>
    <t>Mesityl oxide</t>
  </si>
  <si>
    <t>142-64-3</t>
  </si>
  <si>
    <t>Piperazine dihydrochloride</t>
  </si>
  <si>
    <t>Heptane (n-Heptane)</t>
  </si>
  <si>
    <t>144-62-7</t>
  </si>
  <si>
    <t>Oxalic acid</t>
  </si>
  <si>
    <t>14484-64-1</t>
  </si>
  <si>
    <t>Ferbam</t>
  </si>
  <si>
    <t>1477-55-0</t>
  </si>
  <si>
    <t>m-Xylene a,a'-diamine (Benzenedimethanamine)</t>
  </si>
  <si>
    <t>148-01-6</t>
  </si>
  <si>
    <t>Dinitolmide</t>
  </si>
  <si>
    <t>14977-61-8</t>
  </si>
  <si>
    <t>Chromyl chloride</t>
  </si>
  <si>
    <t>150-76-5</t>
  </si>
  <si>
    <t>4-Methoxyphenol</t>
  </si>
  <si>
    <t>151-56-4</t>
  </si>
  <si>
    <t>Ethylene imine (Aziridine)</t>
  </si>
  <si>
    <t>151-67-7</t>
  </si>
  <si>
    <t>Halothane</t>
  </si>
  <si>
    <t>156-62-7</t>
  </si>
  <si>
    <t>Calcium cyanamide</t>
  </si>
  <si>
    <t>1563-66-2</t>
  </si>
  <si>
    <t>Carbofuran</t>
  </si>
  <si>
    <t>1582-09-8</t>
  </si>
  <si>
    <t>Trifluralin</t>
  </si>
  <si>
    <t>1615-80-1</t>
  </si>
  <si>
    <t>1,2-Diethylhydrazine</t>
  </si>
  <si>
    <t>16219-75-3</t>
  </si>
  <si>
    <t>Ethylidene norbornene</t>
  </si>
  <si>
    <t>1634-04-4</t>
  </si>
  <si>
    <t>Methyl tert butyl ether</t>
  </si>
  <si>
    <t>16752-77-5</t>
  </si>
  <si>
    <t>Methomyl</t>
  </si>
  <si>
    <t>16842-03-8</t>
  </si>
  <si>
    <t>Cobalt hydrocarbonyl</t>
  </si>
  <si>
    <t>1694-09-3</t>
  </si>
  <si>
    <t>Benzyl violet 4b</t>
  </si>
  <si>
    <t>16984-48-8</t>
  </si>
  <si>
    <t>Fluorides, as F</t>
  </si>
  <si>
    <t>1746-01-6</t>
  </si>
  <si>
    <t>2,3,7,8-Tetrachlorodibenzi-p-dioxin (2,3,7,8-TCDD)</t>
  </si>
  <si>
    <t>17702-41-9</t>
  </si>
  <si>
    <t>Decaborane</t>
  </si>
  <si>
    <t>17804-35-2</t>
  </si>
  <si>
    <t>Benomyl</t>
  </si>
  <si>
    <t>1836-75-5</t>
  </si>
  <si>
    <t>Nitrofen</t>
  </si>
  <si>
    <t>189-55-9</t>
  </si>
  <si>
    <t>1,2:7,8-Dibenzopyrene (dibenzo(a,i)pyrene)</t>
  </si>
  <si>
    <t>189-64-0</t>
  </si>
  <si>
    <t>Dibenzo(a,h)pyrene</t>
  </si>
  <si>
    <t>191-30-0</t>
  </si>
  <si>
    <t>Dibenzo(a,l)pyrene</t>
  </si>
  <si>
    <t>1912-24-9</t>
  </si>
  <si>
    <t>Atrazine</t>
  </si>
  <si>
    <t>1918-02-1</t>
  </si>
  <si>
    <t>Picloram</t>
  </si>
  <si>
    <t>192-65-4</t>
  </si>
  <si>
    <t>Dibenzo(a,e)pyrene</t>
  </si>
  <si>
    <t>19287-45-7</t>
  </si>
  <si>
    <t>Diborane</t>
  </si>
  <si>
    <t>1929-82-4</t>
  </si>
  <si>
    <t>Nitrapyrin</t>
  </si>
  <si>
    <t>193-39-5</t>
  </si>
  <si>
    <t>Indeno (1,2,3-cd)pyrene</t>
  </si>
  <si>
    <t>19408-74-3</t>
  </si>
  <si>
    <t>1,2,3,7,8,9-Hexachloro-dibenzo-o-dioxin (1:2 mixture)</t>
  </si>
  <si>
    <t>19624-22-7</t>
  </si>
  <si>
    <t>Pentaborane</t>
  </si>
  <si>
    <t>2039-87-4</t>
  </si>
  <si>
    <t>o-Chlorostyrene</t>
  </si>
  <si>
    <t>205-82-3</t>
  </si>
  <si>
    <t>Benzo(j)fluoranthene</t>
  </si>
  <si>
    <t>205-99-2</t>
  </si>
  <si>
    <t>Benzo(b)fluoranthene</t>
  </si>
  <si>
    <t>207-08-9</t>
  </si>
  <si>
    <t>Benzo(k)fluoranthene</t>
  </si>
  <si>
    <t>20816-12-0</t>
  </si>
  <si>
    <t>Osmium tetroxide as Os</t>
  </si>
  <si>
    <t>2104-64-5</t>
  </si>
  <si>
    <t>EPN</t>
  </si>
  <si>
    <t>21087-64-9</t>
  </si>
  <si>
    <t>Metribuzine</t>
  </si>
  <si>
    <t>21351-79-1</t>
  </si>
  <si>
    <t>Cesium hydroxide</t>
  </si>
  <si>
    <t>2179-59-1</t>
  </si>
  <si>
    <t>Allyl propyl disulfide</t>
  </si>
  <si>
    <t>22224-92-6</t>
  </si>
  <si>
    <t>Fenamiphos</t>
  </si>
  <si>
    <t>2234-13-1</t>
  </si>
  <si>
    <t>Octachloronaphthalene</t>
  </si>
  <si>
    <t>2238-07-5</t>
  </si>
  <si>
    <t>Diglycidyl ether</t>
  </si>
  <si>
    <t>224-42-0</t>
  </si>
  <si>
    <t>Dibenz(a,j)acridine</t>
  </si>
  <si>
    <t>226-36-8</t>
  </si>
  <si>
    <t>Dibenz(a,h)acridine</t>
  </si>
  <si>
    <t>2385-85-5</t>
  </si>
  <si>
    <t>Mirex</t>
  </si>
  <si>
    <t>2425-06-1</t>
  </si>
  <si>
    <t>Captafol</t>
  </si>
  <si>
    <t>2426-08-6</t>
  </si>
  <si>
    <t>n-Butyl glycidyl ether (BGE)</t>
  </si>
  <si>
    <t>2465-27-2</t>
  </si>
  <si>
    <t>Auramine (technical grade)</t>
  </si>
  <si>
    <t>25013-15-4</t>
  </si>
  <si>
    <t>Vinyl toluene</t>
  </si>
  <si>
    <t>25167-82-2</t>
  </si>
  <si>
    <t>Trichlorophenol (mixed)</t>
  </si>
  <si>
    <t>25551-13-7</t>
  </si>
  <si>
    <t>Trimethyl benzene</t>
  </si>
  <si>
    <t>2551-62-4</t>
  </si>
  <si>
    <t>Sulfur hexafluoride</t>
  </si>
  <si>
    <t>25639-42-3</t>
  </si>
  <si>
    <t>Methylcyclohexanol</t>
  </si>
  <si>
    <t>26140-60-3</t>
  </si>
  <si>
    <t>Terphenyls</t>
  </si>
  <si>
    <t>2646-17-5</t>
  </si>
  <si>
    <t>Oil orange SS</t>
  </si>
  <si>
    <t>26628-22-8</t>
  </si>
  <si>
    <t>Sodium azide</t>
  </si>
  <si>
    <t>26952-21-6</t>
  </si>
  <si>
    <t>Isocytl alcohol</t>
  </si>
  <si>
    <t>2698-41-1</t>
  </si>
  <si>
    <t>o-Chlorobenzylidene malononitrile</t>
  </si>
  <si>
    <t>2699-79-8</t>
  </si>
  <si>
    <t>Sulfuryl fluoride</t>
  </si>
  <si>
    <t>28434-86-8</t>
  </si>
  <si>
    <t>3,3'-dichloro-4,4'-diaminodiphenyl ether</t>
  </si>
  <si>
    <t>287-92-3</t>
  </si>
  <si>
    <t>Cyclopentane</t>
  </si>
  <si>
    <t>29191-52-4</t>
  </si>
  <si>
    <t>Anisidine (o-,p-isomers)</t>
  </si>
  <si>
    <t>2921-88-2</t>
  </si>
  <si>
    <t>Chloropyrifos</t>
  </si>
  <si>
    <t>2971-90-6</t>
  </si>
  <si>
    <t>Clopidol</t>
  </si>
  <si>
    <t>298-00-0</t>
  </si>
  <si>
    <t>Methyl parathion</t>
  </si>
  <si>
    <t>298-02-2</t>
  </si>
  <si>
    <t>Phorate</t>
  </si>
  <si>
    <t>298-04-4</t>
  </si>
  <si>
    <t>Disulfuton</t>
  </si>
  <si>
    <t>299-84-3</t>
  </si>
  <si>
    <t>Ronnel</t>
  </si>
  <si>
    <t>299-86-5</t>
  </si>
  <si>
    <t>Crufomate</t>
  </si>
  <si>
    <t>300-76-5</t>
  </si>
  <si>
    <t>Naled</t>
  </si>
  <si>
    <t>301-04-2</t>
  </si>
  <si>
    <t>Lead acetate</t>
  </si>
  <si>
    <t>302-01-2</t>
  </si>
  <si>
    <t>Hydrazine</t>
  </si>
  <si>
    <t>302-70-5</t>
  </si>
  <si>
    <t>Nitrogen mustard N-oxide hydro-chloride</t>
  </si>
  <si>
    <t>3068-88-0</t>
  </si>
  <si>
    <t>B-Butyrolactone</t>
  </si>
  <si>
    <t>309-00-2</t>
  </si>
  <si>
    <t>Aldrin</t>
  </si>
  <si>
    <t>314-40-9</t>
  </si>
  <si>
    <t>Bromacil</t>
  </si>
  <si>
    <t>319-84-6</t>
  </si>
  <si>
    <t>Hexachlorocyclohexane (Lindane) Alpha (BHC)</t>
  </si>
  <si>
    <t>319-85-7</t>
  </si>
  <si>
    <t>Hexachlorocyclohexane (Lindane) Beta (BHC)</t>
  </si>
  <si>
    <t>330-54-1</t>
  </si>
  <si>
    <t>Diuron</t>
  </si>
  <si>
    <t>333-41-5</t>
  </si>
  <si>
    <t>Diazinon</t>
  </si>
  <si>
    <t>3333-52-6</t>
  </si>
  <si>
    <t>Tetramethyl succinonitrile</t>
  </si>
  <si>
    <t>334-88-3</t>
  </si>
  <si>
    <t>Diazomethane</t>
  </si>
  <si>
    <t>3383-96-8</t>
  </si>
  <si>
    <t>Temephos</t>
  </si>
  <si>
    <t>34465-46-8</t>
  </si>
  <si>
    <t>1,2,3,6,7,8-Hexachloro-dibenzo-o-dioxin (1:2 mixture)</t>
  </si>
  <si>
    <t>34590-94-8</t>
  </si>
  <si>
    <t>Dipropylene glycol methyl ether</t>
  </si>
  <si>
    <t>353-50-4</t>
  </si>
  <si>
    <t>Carbonyl fluoride</t>
  </si>
  <si>
    <t>35400-43-2</t>
  </si>
  <si>
    <t>Sulprofos</t>
  </si>
  <si>
    <t>3547-04-4</t>
  </si>
  <si>
    <t>DDE (p,p'-Dichlorodiphenyldichloroethylene)</t>
  </si>
  <si>
    <t>3687-31-8</t>
  </si>
  <si>
    <t>Lead arsenate, as Pb2(AsO4)2</t>
  </si>
  <si>
    <t>3689-24-5</t>
  </si>
  <si>
    <t>Sulfotep</t>
  </si>
  <si>
    <t>3697-24-3</t>
  </si>
  <si>
    <t>5-Methylchrysene</t>
  </si>
  <si>
    <t>3761-53-3</t>
  </si>
  <si>
    <t>Ponceau MX</t>
  </si>
  <si>
    <t>3825-26-1</t>
  </si>
  <si>
    <t>Ammonium perfluorooctanoate</t>
  </si>
  <si>
    <t>4016-14-2</t>
  </si>
  <si>
    <t>Isopropyl glycidyl ether (IGE)</t>
  </si>
  <si>
    <t>4098-71-9</t>
  </si>
  <si>
    <t>Isophorone diisocyanate</t>
  </si>
  <si>
    <t>4170-30-3</t>
  </si>
  <si>
    <t>Crotonaldehyde</t>
  </si>
  <si>
    <t>420-04-2</t>
  </si>
  <si>
    <t>Cyanamide</t>
  </si>
  <si>
    <t>43102</t>
  </si>
  <si>
    <t>Naphtha (Rubber solvents)</t>
  </si>
  <si>
    <t>43103</t>
  </si>
  <si>
    <t>Hexane, other isomers</t>
  </si>
  <si>
    <t>43106</t>
  </si>
  <si>
    <t>TAC</t>
  </si>
  <si>
    <t>43110</t>
  </si>
  <si>
    <t>Dioxins and furans</t>
  </si>
  <si>
    <t>43111</t>
  </si>
  <si>
    <t>Furium (nitrofuran group)</t>
  </si>
  <si>
    <t>43112</t>
  </si>
  <si>
    <t>Isopropyl oils</t>
  </si>
  <si>
    <t>43114</t>
  </si>
  <si>
    <t>Nitrofurans furazolidone</t>
  </si>
  <si>
    <t>43116</t>
  </si>
  <si>
    <t>Polyaromatic hydrocarbons (PAH)</t>
  </si>
  <si>
    <t>460-19-5</t>
  </si>
  <si>
    <t>Cyanogen</t>
  </si>
  <si>
    <t>463-51-4</t>
  </si>
  <si>
    <t>Ketene</t>
  </si>
  <si>
    <t>Carbonyl sulfide</t>
  </si>
  <si>
    <t>4685-14-7</t>
  </si>
  <si>
    <t>Paraquat</t>
  </si>
  <si>
    <t>479-45-8</t>
  </si>
  <si>
    <t>Tetryl</t>
  </si>
  <si>
    <t>50-29-3</t>
  </si>
  <si>
    <t>DDT (1,1,1 Trichloro-2,2-Bis-(p-chlorophenyl)ethane)</t>
  </si>
  <si>
    <t>50-32-8</t>
  </si>
  <si>
    <t>Benzo(a)pyrene</t>
  </si>
  <si>
    <t>504-29-0</t>
  </si>
  <si>
    <t>2-Aminopyridine</t>
  </si>
  <si>
    <t>506-77-4</t>
  </si>
  <si>
    <t>Cyanogen chloride</t>
  </si>
  <si>
    <t>509-14-8</t>
  </si>
  <si>
    <t>Tetranitromethane</t>
  </si>
  <si>
    <t>51-28-5</t>
  </si>
  <si>
    <t>2,4-Dinitrophenol</t>
  </si>
  <si>
    <t>51-79-6</t>
  </si>
  <si>
    <t>Urethan (Ethyl carbamate)</t>
  </si>
  <si>
    <t>510-15-6</t>
  </si>
  <si>
    <t>Chlorobenzilate</t>
  </si>
  <si>
    <t>5124-30-1</t>
  </si>
  <si>
    <t>Methylene bis(4-cyclo-hexylisocyanate; cyclohexane)</t>
  </si>
  <si>
    <t>5216-25-1</t>
  </si>
  <si>
    <t>P(p)(alpha, alpha, alpha) Tetra-chlorotoluene</t>
  </si>
  <si>
    <t>528-29-0</t>
  </si>
  <si>
    <t>Dinitrobenzene</t>
  </si>
  <si>
    <t>53-70-3</t>
  </si>
  <si>
    <t>Dibenz(a,h)anthracene</t>
  </si>
  <si>
    <t>53-96-3</t>
  </si>
  <si>
    <t>2-Acetylaminofluorene</t>
  </si>
  <si>
    <t>531-82-8</t>
  </si>
  <si>
    <t>N-(4-(5-Nitro-2-furyl)-2-thiazolyl)acetamide</t>
  </si>
  <si>
    <t>532-27-4</t>
  </si>
  <si>
    <t>a-Chloroacetophenone</t>
  </si>
  <si>
    <t>534-52-1</t>
  </si>
  <si>
    <t>Dinitro-o-cresol and compounds</t>
  </si>
  <si>
    <t>54-11-5</t>
  </si>
  <si>
    <t>Nicotine</t>
  </si>
  <si>
    <t>540-59-0</t>
  </si>
  <si>
    <t>1,2-Dichloroethylene</t>
  </si>
  <si>
    <t>540-73-8</t>
  </si>
  <si>
    <t>1,2-Dimethylhydrazine</t>
  </si>
  <si>
    <t>540-84-1</t>
  </si>
  <si>
    <t>2,2,4-Trimethylpentane</t>
  </si>
  <si>
    <t>540-88-5</t>
  </si>
  <si>
    <t>tert-Butyl acetate</t>
  </si>
  <si>
    <t>541-85-5</t>
  </si>
  <si>
    <t>Ethyl amyl ketone</t>
  </si>
  <si>
    <t>542-75-6</t>
  </si>
  <si>
    <t>1,3-Dichloropropene</t>
  </si>
  <si>
    <t>542-88-1</t>
  </si>
  <si>
    <t>Bis(chloromethyl)ether and tech chloromethyl methyl ether</t>
  </si>
  <si>
    <t>542-92-7</t>
  </si>
  <si>
    <t>Cyclopentadiene</t>
  </si>
  <si>
    <t>55-18-5</t>
  </si>
  <si>
    <t>N-Nitrosodiethylamine(diethylnitrosoamine)(DEN)</t>
  </si>
  <si>
    <t>55-38-9</t>
  </si>
  <si>
    <t>Fenthion</t>
  </si>
  <si>
    <t>55-63-0</t>
  </si>
  <si>
    <t>Nitroglycerin</t>
  </si>
  <si>
    <t>552-30-7</t>
  </si>
  <si>
    <t>Trimellitic anhydride</t>
  </si>
  <si>
    <t>555-84-9</t>
  </si>
  <si>
    <t>1-(5-Nitrofurfurylidene)amino)-2-imidazolidinone</t>
  </si>
  <si>
    <t>556-52-5</t>
  </si>
  <si>
    <t>Glycidol</t>
  </si>
  <si>
    <t>55720-99-5</t>
  </si>
  <si>
    <t>Chlorinated diphenyl oxide (Hexachlorophenyl ether)</t>
  </si>
  <si>
    <t>55738-54-0</t>
  </si>
  <si>
    <t>Trans-2((Dimethylamino)methylimino)-5-(2-(5-nitro-2-furyl)vinyl-1,3,4-ox</t>
  </si>
  <si>
    <t>558-13-4</t>
  </si>
  <si>
    <t>Carbon tetrabromide</t>
  </si>
  <si>
    <t>56-23-5</t>
  </si>
  <si>
    <t>Carbon tetrachloride</t>
  </si>
  <si>
    <t>56-38-2</t>
  </si>
  <si>
    <t>Parathion</t>
  </si>
  <si>
    <t>56-55-3</t>
  </si>
  <si>
    <t>Benzo(a)anthracene</t>
  </si>
  <si>
    <t>563-12-2</t>
  </si>
  <si>
    <t>Ethion</t>
  </si>
  <si>
    <t>563-80-4</t>
  </si>
  <si>
    <t>Methyl isopropyl ketone</t>
  </si>
  <si>
    <t>57-12-5</t>
  </si>
  <si>
    <t>Cyanide and compounds</t>
  </si>
  <si>
    <t>57-14-7</t>
  </si>
  <si>
    <t>1,1-Dimethylhydrazine</t>
  </si>
  <si>
    <t>57-24-9</t>
  </si>
  <si>
    <t>Strychnine</t>
  </si>
  <si>
    <t>57-57-8</t>
  </si>
  <si>
    <t>b-Propiolactone</t>
  </si>
  <si>
    <t>57-74-9</t>
  </si>
  <si>
    <t>Chlordane</t>
  </si>
  <si>
    <t>5714-22-7</t>
  </si>
  <si>
    <t>Sulfur pentafluoride</t>
  </si>
  <si>
    <t>58-89-9</t>
  </si>
  <si>
    <t>Hexachlorocyclohexane (Lindane) Gamma(BHC)</t>
  </si>
  <si>
    <t>583-60-8</t>
  </si>
  <si>
    <t>o-Methylcyclohexanone</t>
  </si>
  <si>
    <t>584-84-9</t>
  </si>
  <si>
    <t>Toluene-2,4-diisocyanate (TDI)</t>
  </si>
  <si>
    <t>59-87-0</t>
  </si>
  <si>
    <t>Nitrofurazone</t>
  </si>
  <si>
    <t>59-89-2</t>
  </si>
  <si>
    <t>N-Nitrosomorpholine</t>
  </si>
  <si>
    <t>591-78-6</t>
  </si>
  <si>
    <t>2-Hexanone (MBK) (Methyl n-butyl ketone)</t>
  </si>
  <si>
    <t>592-62-1</t>
  </si>
  <si>
    <t>Methyl azoxymethyl acetate</t>
  </si>
  <si>
    <t>593-60-2</t>
  </si>
  <si>
    <t>Vinyl bromide</t>
  </si>
  <si>
    <t>59355-75-8</t>
  </si>
  <si>
    <t>Methyl acetylene-propadiene mixture (MAPP)</t>
  </si>
  <si>
    <t>594-42-3</t>
  </si>
  <si>
    <t>Perchloromethyl mercaptan</t>
  </si>
  <si>
    <t>594-72-9</t>
  </si>
  <si>
    <t>1,1-Dichloro-1-nitroethane</t>
  </si>
  <si>
    <t>60-11-7</t>
  </si>
  <si>
    <t>Dimethyl aminoazobenzene</t>
  </si>
  <si>
    <t>60-29-7</t>
  </si>
  <si>
    <t>Ethyl ether</t>
  </si>
  <si>
    <t>60-34-4</t>
  </si>
  <si>
    <t>Methyl hydrazine</t>
  </si>
  <si>
    <t>60-35-5</t>
  </si>
  <si>
    <t>Acetamide</t>
  </si>
  <si>
    <t>60-57-1</t>
  </si>
  <si>
    <t>Dieldrin</t>
  </si>
  <si>
    <t>600-25-9</t>
  </si>
  <si>
    <t>1-Chloro-1-nitropropane</t>
  </si>
  <si>
    <t>602-87-9</t>
  </si>
  <si>
    <t>5-Nitroacenaphthene</t>
  </si>
  <si>
    <t>603-34-9</t>
  </si>
  <si>
    <t>Triphenyl amine</t>
  </si>
  <si>
    <t>61-82-5</t>
  </si>
  <si>
    <t>Amitrole</t>
  </si>
  <si>
    <t>613-35-4</t>
  </si>
  <si>
    <t>N,N-Diacetylbenzidine</t>
  </si>
  <si>
    <t>615-53-2</t>
  </si>
  <si>
    <t>N-Nitroso-n-methylurethane</t>
  </si>
  <si>
    <t>62-53-3</t>
  </si>
  <si>
    <t>Aniline and compounds</t>
  </si>
  <si>
    <t>62-73-7</t>
  </si>
  <si>
    <t>Dichlorvos</t>
  </si>
  <si>
    <t>62-74-8</t>
  </si>
  <si>
    <t>Sodium fluoroacetate</t>
  </si>
  <si>
    <t>62-75-9</t>
  </si>
  <si>
    <t>N-Nitrosodimethylamine</t>
  </si>
  <si>
    <t>621-64-1</t>
  </si>
  <si>
    <t>N-Nitrosodi-n-propylamine</t>
  </si>
  <si>
    <t>624-83-9</t>
  </si>
  <si>
    <t>Methyl isocyanate</t>
  </si>
  <si>
    <t>626-17-5</t>
  </si>
  <si>
    <t>m-Phtalodinitrile</t>
  </si>
  <si>
    <t>626-38-0</t>
  </si>
  <si>
    <t>sec-Amyl acetate</t>
  </si>
  <si>
    <t>627-13-4</t>
  </si>
  <si>
    <t>n-Propyl nitrate</t>
  </si>
  <si>
    <t>628-63-7</t>
  </si>
  <si>
    <t>n-Amyl acetate</t>
  </si>
  <si>
    <t>628-96-6</t>
  </si>
  <si>
    <t>Ethylene glycol dinitrate</t>
  </si>
  <si>
    <t>63-25-2</t>
  </si>
  <si>
    <t>Carbaryl</t>
  </si>
  <si>
    <t>63-92-3</t>
  </si>
  <si>
    <t>Phenoxybenzamine hydrochloride</t>
  </si>
  <si>
    <t>636-21-5</t>
  </si>
  <si>
    <t>o-Toluidine hydrochloride</t>
  </si>
  <si>
    <t>638-21-1</t>
  </si>
  <si>
    <t>Phenylphosphine</t>
  </si>
  <si>
    <t>Ethyl alcohol (Ethanol)</t>
  </si>
  <si>
    <t>64-18-6</t>
  </si>
  <si>
    <t>Formic acid (methanoic acid)</t>
  </si>
  <si>
    <t>Acetic Acid</t>
  </si>
  <si>
    <t>64-67-5</t>
  </si>
  <si>
    <t>Diethyl sulfate</t>
  </si>
  <si>
    <t>64091-91-4</t>
  </si>
  <si>
    <t>4-(Methylnitrosamino)-1-(3-pyridyl)-1-butanone</t>
  </si>
  <si>
    <t>6423-43-4</t>
  </si>
  <si>
    <t>Propylene glycol dinitrate</t>
  </si>
  <si>
    <t>Methyl alcohol (Methanol)</t>
  </si>
  <si>
    <t>Isopropyl alcohol (Isopropanol)</t>
  </si>
  <si>
    <t>67-66-3</t>
  </si>
  <si>
    <t>Chloroform</t>
  </si>
  <si>
    <t>67-72-1</t>
  </si>
  <si>
    <t>Hexachloroethane</t>
  </si>
  <si>
    <t>68-11-1</t>
  </si>
  <si>
    <t>Thioglycolic acid</t>
  </si>
  <si>
    <t>68-12-2</t>
  </si>
  <si>
    <t>Dimethylformamide</t>
  </si>
  <si>
    <t>680-31-9</t>
  </si>
  <si>
    <t>Hexamethylphosphoramide</t>
  </si>
  <si>
    <t>681-84-5</t>
  </si>
  <si>
    <t>Methyl silicate</t>
  </si>
  <si>
    <t>684-16-2</t>
  </si>
  <si>
    <t>Hexafluoroacetone</t>
  </si>
  <si>
    <t>684-93-5</t>
  </si>
  <si>
    <t>N-Nitroso-N-methylurea (NMU)</t>
  </si>
  <si>
    <t>68476-85-7</t>
  </si>
  <si>
    <t>Liquified petroleum gas</t>
  </si>
  <si>
    <t>6923-22-4</t>
  </si>
  <si>
    <t>Monocrotophos</t>
  </si>
  <si>
    <t>696-28-6</t>
  </si>
  <si>
    <t>Dichlorophenylarsine (arsenic group)</t>
  </si>
  <si>
    <t>71-23-8</t>
  </si>
  <si>
    <t>n-Propyl alcohol</t>
  </si>
  <si>
    <t>71-36-3</t>
  </si>
  <si>
    <t>n-Butyl alcohol</t>
  </si>
  <si>
    <t>71-55-6</t>
  </si>
  <si>
    <t>1,1,1-Trichloroethane (Methyl chloroform)</t>
  </si>
  <si>
    <t>72-20-8</t>
  </si>
  <si>
    <t>Endrin</t>
  </si>
  <si>
    <t>72-43-5</t>
  </si>
  <si>
    <t>Methoxychlor</t>
  </si>
  <si>
    <t>74-83-9</t>
  </si>
  <si>
    <t>Methyl bromide (Bromomethane)</t>
  </si>
  <si>
    <t>Methyl chloride (Chloromethane)</t>
  </si>
  <si>
    <t>74-88-4</t>
  </si>
  <si>
    <t>Methyl iodide (Iodomethane)</t>
  </si>
  <si>
    <t>74-89-5</t>
  </si>
  <si>
    <t>Methylamine</t>
  </si>
  <si>
    <t>74-90-8</t>
  </si>
  <si>
    <t>Hydrogen cyanide</t>
  </si>
  <si>
    <t>Methyl mercaptan</t>
  </si>
  <si>
    <t>74-96-4</t>
  </si>
  <si>
    <t>Ethyl bromide</t>
  </si>
  <si>
    <t>74-97-5</t>
  </si>
  <si>
    <t>Chlorobromomethane</t>
  </si>
  <si>
    <t>74-99-7</t>
  </si>
  <si>
    <t>Methyl acetylene</t>
  </si>
  <si>
    <t>7429-90-5</t>
  </si>
  <si>
    <t>Aluminum (alkyls and soluble salts)</t>
  </si>
  <si>
    <t>7439-92-1</t>
  </si>
  <si>
    <t>Lead and compounds</t>
  </si>
  <si>
    <t>7439-96-5</t>
  </si>
  <si>
    <t>Manganese and compounds</t>
  </si>
  <si>
    <t>7439-97-6</t>
  </si>
  <si>
    <t>Mercury and compounds</t>
  </si>
  <si>
    <t>7439-98-7</t>
  </si>
  <si>
    <t>Molybdenum and compounds</t>
  </si>
  <si>
    <t>7440-02-0</t>
  </si>
  <si>
    <t>Nickel and compounds</t>
  </si>
  <si>
    <t>7440-06-4</t>
  </si>
  <si>
    <t>Platinum (metals, soluble salts as Pt)</t>
  </si>
  <si>
    <t>7440-16-6</t>
  </si>
  <si>
    <t>Rhodium and compounds</t>
  </si>
  <si>
    <t>7440-22-4</t>
  </si>
  <si>
    <t>Silver, metals and soluble compounds</t>
  </si>
  <si>
    <t>7440-25-7</t>
  </si>
  <si>
    <t>Tantalum, metals &amp; oxide dusts</t>
  </si>
  <si>
    <t>7440-28-0</t>
  </si>
  <si>
    <t>Thallium, soluble compounds, Tl</t>
  </si>
  <si>
    <t>7440-31-5</t>
  </si>
  <si>
    <t>Tin and compounds</t>
  </si>
  <si>
    <t>7440-33-7</t>
  </si>
  <si>
    <t>Tungsten and compounds</t>
  </si>
  <si>
    <t>7440-36-0</t>
  </si>
  <si>
    <t>Antimony and compounds</t>
  </si>
  <si>
    <t>7440-38-2</t>
  </si>
  <si>
    <t>Arsenic and inorganic arsenic compounds</t>
  </si>
  <si>
    <t>7440-39-3</t>
  </si>
  <si>
    <t>Barium, soluble compounds Ba</t>
  </si>
  <si>
    <t>7440-41-7</t>
  </si>
  <si>
    <t>Beryllium and compounds</t>
  </si>
  <si>
    <t>7440-43-9</t>
  </si>
  <si>
    <t>Cadmium and compounds</t>
  </si>
  <si>
    <t>7440-47-3</t>
  </si>
  <si>
    <t>Chromium and compounds</t>
  </si>
  <si>
    <t>7440-48-4</t>
  </si>
  <si>
    <t>Cobalt and compounds</t>
  </si>
  <si>
    <t>7440-50-8</t>
  </si>
  <si>
    <t>Copper (dust, mist and fumes)</t>
  </si>
  <si>
    <t>7440-58-6</t>
  </si>
  <si>
    <t>Hafnium</t>
  </si>
  <si>
    <t>7440-61-1</t>
  </si>
  <si>
    <t>Uranium and compounds</t>
  </si>
  <si>
    <t>7440-65-5</t>
  </si>
  <si>
    <t>Yttrium, metal and compounds as Y</t>
  </si>
  <si>
    <t>7440-67-7</t>
  </si>
  <si>
    <t>Zirconium compounds. as Zr</t>
  </si>
  <si>
    <t>7440-74-6</t>
  </si>
  <si>
    <t>Indium, &amp; compounds as In</t>
  </si>
  <si>
    <t>7446-27-7</t>
  </si>
  <si>
    <t>Lead phosphate</t>
  </si>
  <si>
    <t>75-00-3</t>
  </si>
  <si>
    <t>Ethyl chloride (Chloroethane)</t>
  </si>
  <si>
    <t>75-01-4</t>
  </si>
  <si>
    <t>Vinyl chloride</t>
  </si>
  <si>
    <t>75-04-7</t>
  </si>
  <si>
    <t>Ethylamine</t>
  </si>
  <si>
    <t>75-08-1</t>
  </si>
  <si>
    <t>Ethyl mercaptan</t>
  </si>
  <si>
    <t>Dichloromethane (Methylene chloride)</t>
  </si>
  <si>
    <t>75-12-7</t>
  </si>
  <si>
    <t>Formamide</t>
  </si>
  <si>
    <t>Carbon disulfide</t>
  </si>
  <si>
    <t>75-21-8</t>
  </si>
  <si>
    <t>Ethylene oxide</t>
  </si>
  <si>
    <t>75-25-2</t>
  </si>
  <si>
    <t>Bromoform</t>
  </si>
  <si>
    <t>75-31-0</t>
  </si>
  <si>
    <t>Isopropylamine</t>
  </si>
  <si>
    <t>75-34-3</t>
  </si>
  <si>
    <t>Ethylidene dichloride (1,1-Dichloroethane)</t>
  </si>
  <si>
    <t>75-35-4</t>
  </si>
  <si>
    <t>Vinylidine chloride (1,1-Dichloroethylene)</t>
  </si>
  <si>
    <t>75-43-4</t>
  </si>
  <si>
    <t>Dichlorofluoromethane</t>
  </si>
  <si>
    <t>75-44-5</t>
  </si>
  <si>
    <t>Phosgene</t>
  </si>
  <si>
    <t>75-45-6</t>
  </si>
  <si>
    <t>Chlorodifluoromethane (Freon 22 propellant)</t>
  </si>
  <si>
    <t>75-47-8</t>
  </si>
  <si>
    <t>Iodoform</t>
  </si>
  <si>
    <t>75-50-3</t>
  </si>
  <si>
    <t>Trimethylamine</t>
  </si>
  <si>
    <t>75-52-5</t>
  </si>
  <si>
    <t>Nitromethane</t>
  </si>
  <si>
    <t>75-55-8</t>
  </si>
  <si>
    <t>1,2-Propylene imine (2-Methyl aziridine)</t>
  </si>
  <si>
    <t>75-56-9</t>
  </si>
  <si>
    <t>Propylene oxide</t>
  </si>
  <si>
    <t>75-61-6</t>
  </si>
  <si>
    <t>Diflourodibromomethane</t>
  </si>
  <si>
    <t>75-63-8</t>
  </si>
  <si>
    <t>Trifluorobromomethane</t>
  </si>
  <si>
    <t>75-65-0</t>
  </si>
  <si>
    <t>tert-Butyl alcohol</t>
  </si>
  <si>
    <t>Trichlorofluoromethane (CFC-11)</t>
  </si>
  <si>
    <t>75-74-1</t>
  </si>
  <si>
    <t>Tetramethyl lead, as Pb</t>
  </si>
  <si>
    <t>75-99-0</t>
  </si>
  <si>
    <t>2,2-Dichloropropionic acid</t>
  </si>
  <si>
    <t>7550-45-0</t>
  </si>
  <si>
    <t>Titanium tetrachloride</t>
  </si>
  <si>
    <t>7553-56-2</t>
  </si>
  <si>
    <t>Iodine</t>
  </si>
  <si>
    <t>7572-29-4</t>
  </si>
  <si>
    <t>Dichloroacetylene</t>
  </si>
  <si>
    <t>7580-67-8</t>
  </si>
  <si>
    <t>Lithium hydride</t>
  </si>
  <si>
    <t>759-73-9</t>
  </si>
  <si>
    <t>N-Nitroso-n-ethylurea (NEU)</t>
  </si>
  <si>
    <t>76-03-9</t>
  </si>
  <si>
    <t>Trichloroacetic acid</t>
  </si>
  <si>
    <t>76-06-2</t>
  </si>
  <si>
    <t>Chloropicrin</t>
  </si>
  <si>
    <t>76-11-9</t>
  </si>
  <si>
    <t>1,1,1,2-Tetrachloro-2,2-difluoroethane</t>
  </si>
  <si>
    <t>76-12-0</t>
  </si>
  <si>
    <t>1,1,2,2-Tetrachloro-1,2-difluoroethane</t>
  </si>
  <si>
    <t>76-13-1</t>
  </si>
  <si>
    <t>1,1,2-Trichloro-1,2,2-trifluoroethane</t>
  </si>
  <si>
    <t>76-14-2</t>
  </si>
  <si>
    <t>Dichlorotetrafluoroethane (CFC-114)</t>
  </si>
  <si>
    <t>76-15-3</t>
  </si>
  <si>
    <t>Chloropentafluoroethane</t>
  </si>
  <si>
    <t>Camphor, synthetic</t>
  </si>
  <si>
    <t>76-44-8</t>
  </si>
  <si>
    <t>Heptachlor</t>
  </si>
  <si>
    <t>7616-94-6</t>
  </si>
  <si>
    <t>Perchloryl fluoride</t>
  </si>
  <si>
    <t>7631-90-5</t>
  </si>
  <si>
    <t>Sodium bisulfite</t>
  </si>
  <si>
    <t>764-41-0</t>
  </si>
  <si>
    <t>1,4-Dichloro-2-butene</t>
  </si>
  <si>
    <t>7646-85-7</t>
  </si>
  <si>
    <t>Zinc chloride fumes</t>
  </si>
  <si>
    <t>7647-01-0</t>
  </si>
  <si>
    <t>Hydrochloric acid (Hydrogen chloride)</t>
  </si>
  <si>
    <t>765-34-4</t>
  </si>
  <si>
    <t>Glyciadaldehyde</t>
  </si>
  <si>
    <t>7664-38-2</t>
  </si>
  <si>
    <t>Phosphoric acid</t>
  </si>
  <si>
    <t>7664-39-3</t>
  </si>
  <si>
    <t>Hydrogen fluoride (Hydrofluoric acid)</t>
  </si>
  <si>
    <t>Ammonia (NH3)</t>
  </si>
  <si>
    <t>7664-93-9</t>
  </si>
  <si>
    <t>Sulfuric acid</t>
  </si>
  <si>
    <t>76737-07-2</t>
  </si>
  <si>
    <t>Boron trifloluoride</t>
  </si>
  <si>
    <t>768-52-5</t>
  </si>
  <si>
    <t>N-Isopropylaniline</t>
  </si>
  <si>
    <t>7681-57-4</t>
  </si>
  <si>
    <t>Sodium metabisulfite</t>
  </si>
  <si>
    <t>7697-37-2</t>
  </si>
  <si>
    <t>Nitric acid</t>
  </si>
  <si>
    <t>77-47-4</t>
  </si>
  <si>
    <t>Hexachlorocyclopentadiene</t>
  </si>
  <si>
    <t>77-73-6</t>
  </si>
  <si>
    <t>Dicyclopentadiene</t>
  </si>
  <si>
    <t>77-78-1</t>
  </si>
  <si>
    <t>Dimethyl sulfate</t>
  </si>
  <si>
    <t>7719-09-7</t>
  </si>
  <si>
    <t>Thionyl chloride</t>
  </si>
  <si>
    <t>7719-12-2</t>
  </si>
  <si>
    <t>Phosphorus trichloride</t>
  </si>
  <si>
    <t>7722-84-1</t>
  </si>
  <si>
    <t>Hydrogen peroxide</t>
  </si>
  <si>
    <t>7722-88-5</t>
  </si>
  <si>
    <t>Tetrasodium pyrophosphate</t>
  </si>
  <si>
    <t>7723-14-0</t>
  </si>
  <si>
    <t>Phosphorus</t>
  </si>
  <si>
    <t>7726-95-6</t>
  </si>
  <si>
    <t>Bromine</t>
  </si>
  <si>
    <t>7758-97-6</t>
  </si>
  <si>
    <t>Lead chromate, as Cr</t>
  </si>
  <si>
    <t>7773-06-0</t>
  </si>
  <si>
    <t>Ammonium sulfamate</t>
  </si>
  <si>
    <t>7782-41-4</t>
  </si>
  <si>
    <t>Fluorine</t>
  </si>
  <si>
    <t>7782-49-2</t>
  </si>
  <si>
    <t>Selenium and compounds</t>
  </si>
  <si>
    <t>7782-50-5</t>
  </si>
  <si>
    <t>Chlorine</t>
  </si>
  <si>
    <t>7782-65-2</t>
  </si>
  <si>
    <t>Germanium tetrahydride</t>
  </si>
  <si>
    <t>7783-06-4</t>
  </si>
  <si>
    <t>Hydrogen sulfide</t>
  </si>
  <si>
    <t>7783-07-5</t>
  </si>
  <si>
    <t>Hydrogen selenide, as Se</t>
  </si>
  <si>
    <t>7783-41-7</t>
  </si>
  <si>
    <t>Oxygen difluoride</t>
  </si>
  <si>
    <t>7783-54-2</t>
  </si>
  <si>
    <t>Nitrogen trifluoride</t>
  </si>
  <si>
    <t>7783-60-0</t>
  </si>
  <si>
    <t>Sulfur tetrafluoride</t>
  </si>
  <si>
    <t>7783-79-1</t>
  </si>
  <si>
    <t>Selenium hexafluoride, as Se</t>
  </si>
  <si>
    <t>7783-80-4</t>
  </si>
  <si>
    <t>Tellurium hexafluoride, as Te</t>
  </si>
  <si>
    <t>7784-42-1</t>
  </si>
  <si>
    <t>Arsine</t>
  </si>
  <si>
    <t>Arsine is a HAP, but is not separately listed; it is included with aresenic and compounds (7440-38-2)</t>
  </si>
  <si>
    <t>7786-34-7</t>
  </si>
  <si>
    <t>Mevinphos</t>
  </si>
  <si>
    <t>7789-06-2</t>
  </si>
  <si>
    <t>Strontium Chromate</t>
  </si>
  <si>
    <t>7789-30-2</t>
  </si>
  <si>
    <t>Bromine pentafluoride</t>
  </si>
  <si>
    <t>7790-91-2</t>
  </si>
  <si>
    <t>Chlorine trifluoride</t>
  </si>
  <si>
    <t>78-00-2</t>
  </si>
  <si>
    <t>Tetraethyl lead, as Pb</t>
  </si>
  <si>
    <t>78-10-4</t>
  </si>
  <si>
    <t>Ethyl silicate</t>
  </si>
  <si>
    <t>78-30-8</t>
  </si>
  <si>
    <t>Triorthocresyl phosphate</t>
  </si>
  <si>
    <t>78-34-2</t>
  </si>
  <si>
    <t>Dioxathion</t>
  </si>
  <si>
    <t>78-59-1</t>
  </si>
  <si>
    <t>Isophorone</t>
  </si>
  <si>
    <t>78-83-1</t>
  </si>
  <si>
    <t>Isobutyl alcohol</t>
  </si>
  <si>
    <t>78-87-5</t>
  </si>
  <si>
    <t>Propylene dichloride (1,2-Dichloropropane)</t>
  </si>
  <si>
    <t>sec-Butyl alcohol</t>
  </si>
  <si>
    <t>2-Butanone (MEK; Methyl ethyl ketone)</t>
  </si>
  <si>
    <t>7803-51-2</t>
  </si>
  <si>
    <t>Phosphine</t>
  </si>
  <si>
    <t>7803-52-3</t>
  </si>
  <si>
    <t>Stibine</t>
  </si>
  <si>
    <t>7803-62-5</t>
  </si>
  <si>
    <t>Silicon tetrahydride (Silane)</t>
  </si>
  <si>
    <t>79-00-5</t>
  </si>
  <si>
    <t>1,1,2,-Trichloroethane</t>
  </si>
  <si>
    <t>79-01-6</t>
  </si>
  <si>
    <t>Trichloroethylene</t>
  </si>
  <si>
    <t>79-04-9</t>
  </si>
  <si>
    <t>Chloroacetyl chloride</t>
  </si>
  <si>
    <t>79-06-1</t>
  </si>
  <si>
    <t>Acrylamide</t>
  </si>
  <si>
    <t>Proprionic acid</t>
  </si>
  <si>
    <t>79-10-7</t>
  </si>
  <si>
    <t>Acrylic acid</t>
  </si>
  <si>
    <t>79-11-8</t>
  </si>
  <si>
    <t>Chloroacetic acid</t>
  </si>
  <si>
    <t>79-20-9</t>
  </si>
  <si>
    <t>Methyl acetate</t>
  </si>
  <si>
    <t>79-24-3</t>
  </si>
  <si>
    <t>Nitroethane</t>
  </si>
  <si>
    <t>79-27-6</t>
  </si>
  <si>
    <t>Acetylene tetrabromide</t>
  </si>
  <si>
    <t>79-34-5</t>
  </si>
  <si>
    <t>1,1,2,2-Tetrachloroethane</t>
  </si>
  <si>
    <t>79-41-4</t>
  </si>
  <si>
    <t>Methacrylic acid</t>
  </si>
  <si>
    <t>79-44-7</t>
  </si>
  <si>
    <t>Dimethyl carbamoyl chloride</t>
  </si>
  <si>
    <t>79-46-9</t>
  </si>
  <si>
    <t>2-Nitropropane</t>
  </si>
  <si>
    <t>794-93-4</t>
  </si>
  <si>
    <t>Panfuran S (dihydroxymethyl-furatrizine)</t>
  </si>
  <si>
    <t>80-62-6</t>
  </si>
  <si>
    <t>Methyl methacrylate</t>
  </si>
  <si>
    <t>8001-35-2</t>
  </si>
  <si>
    <t>Toxaphene (Chlorinated camphene)</t>
  </si>
  <si>
    <t>8001-58-9</t>
  </si>
  <si>
    <t>Creosote</t>
  </si>
  <si>
    <t>8002-74-2</t>
  </si>
  <si>
    <t>Parafin wax fumes</t>
  </si>
  <si>
    <t>8003-34-7</t>
  </si>
  <si>
    <t>Pyrethrum</t>
  </si>
  <si>
    <t>8006-64-2</t>
  </si>
  <si>
    <t>Turpentine</t>
  </si>
  <si>
    <t>8012-95-1</t>
  </si>
  <si>
    <t>Paraffin oil (Oil mist, mineral)</t>
  </si>
  <si>
    <t>8022-00-2</t>
  </si>
  <si>
    <t>Methyl demeton</t>
  </si>
  <si>
    <t>8030-30-6</t>
  </si>
  <si>
    <t>8032-32-4</t>
  </si>
  <si>
    <t>VM &amp; P Naphtha</t>
  </si>
  <si>
    <t>8052-42-4</t>
  </si>
  <si>
    <t>Asphalt (petroleum) fumes</t>
  </si>
  <si>
    <t>8065-48-3</t>
  </si>
  <si>
    <t>Demeton</t>
  </si>
  <si>
    <t>81-81-2</t>
  </si>
  <si>
    <t>Warfarin</t>
  </si>
  <si>
    <t>7439-89-6</t>
  </si>
  <si>
    <t>Iron salts, soluble as Fe</t>
  </si>
  <si>
    <t>81106</t>
  </si>
  <si>
    <t>Cotton dust, raw</t>
  </si>
  <si>
    <t>81108</t>
  </si>
  <si>
    <t>Welding fumes</t>
  </si>
  <si>
    <t>81111</t>
  </si>
  <si>
    <t>Fibrous glass dust</t>
  </si>
  <si>
    <t>81113</t>
  </si>
  <si>
    <t>Primary aluminum smelter uncontrolled roof vent PAH emissions</t>
  </si>
  <si>
    <t>82-68-8</t>
  </si>
  <si>
    <t>Pentachloronitrobenzene (quintobenzene)</t>
  </si>
  <si>
    <t>822-06-0</t>
  </si>
  <si>
    <t>Hexamethylene diisocyanate</t>
  </si>
  <si>
    <t>83-26-1</t>
  </si>
  <si>
    <t>Pindone</t>
  </si>
  <si>
    <t>83-79-4</t>
  </si>
  <si>
    <t>Rotenone</t>
  </si>
  <si>
    <t>838-88-0</t>
  </si>
  <si>
    <t>4,4'-Methylenebis(2-Methylaniline)</t>
  </si>
  <si>
    <t>84-66-2</t>
  </si>
  <si>
    <t>Diethyl phthalate</t>
  </si>
  <si>
    <t>84-74-2</t>
  </si>
  <si>
    <t>Dibutyl phthalate</t>
  </si>
  <si>
    <t>85-00-7</t>
  </si>
  <si>
    <t>Diquat</t>
  </si>
  <si>
    <t>85-44-9</t>
  </si>
  <si>
    <t>Phthalic anhydride</t>
  </si>
  <si>
    <t>86-30-6</t>
  </si>
  <si>
    <t>N-Nitrosodiphenylamine</t>
  </si>
  <si>
    <t>86-50-0</t>
  </si>
  <si>
    <t>Azinphos-methyl</t>
  </si>
  <si>
    <t>86-88-4</t>
  </si>
  <si>
    <t>ANTU</t>
  </si>
  <si>
    <t>87-68-3</t>
  </si>
  <si>
    <t>Hexachlorobutadiene</t>
  </si>
  <si>
    <t>87-86-5</t>
  </si>
  <si>
    <t>Pentachlorophenol</t>
  </si>
  <si>
    <t>88-06-2</t>
  </si>
  <si>
    <t>2,4,6-Trichlorophenol</t>
  </si>
  <si>
    <t>88-72-2</t>
  </si>
  <si>
    <t>Nitrotoluene</t>
  </si>
  <si>
    <t>88-89-1</t>
  </si>
  <si>
    <t>Picric acid</t>
  </si>
  <si>
    <t>89-72-5</t>
  </si>
  <si>
    <t>o-sec-Butylphenol</t>
  </si>
  <si>
    <t>90-04-0</t>
  </si>
  <si>
    <t>o-Anisidine</t>
  </si>
  <si>
    <t>91-22-5</t>
  </si>
  <si>
    <t>Quinoline</t>
  </si>
  <si>
    <t>91-94-1</t>
  </si>
  <si>
    <t>3,3-Dichlorobenzidine</t>
  </si>
  <si>
    <t>92-52-4</t>
  </si>
  <si>
    <t>Biphenyl</t>
  </si>
  <si>
    <t>92-67-1</t>
  </si>
  <si>
    <t>4-Aminobiphenyl</t>
  </si>
  <si>
    <t>92-84-2</t>
  </si>
  <si>
    <t>Phenothiazine</t>
  </si>
  <si>
    <t>92-87-5</t>
  </si>
  <si>
    <t>Benzidine and compounds</t>
  </si>
  <si>
    <t>92-93-3</t>
  </si>
  <si>
    <t>4-Nitrobiphenyl</t>
  </si>
  <si>
    <t>924-16-3</t>
  </si>
  <si>
    <t>N-Nitrosodi-n-butylamine</t>
  </si>
  <si>
    <t>93-76-5</t>
  </si>
  <si>
    <t>2,4,5-T</t>
  </si>
  <si>
    <t>94-36-0</t>
  </si>
  <si>
    <t>Benzoyl peroxide</t>
  </si>
  <si>
    <t>94-75-7</t>
  </si>
  <si>
    <t>2,4-D, salts and esters (2,4 Dichlorophenoxy acetic acid)</t>
  </si>
  <si>
    <t>944-22-9</t>
  </si>
  <si>
    <t>Fonofos</t>
  </si>
  <si>
    <t>95-13-6</t>
  </si>
  <si>
    <t>Indene</t>
  </si>
  <si>
    <t>95-47-6</t>
  </si>
  <si>
    <t>o-Xylenes</t>
  </si>
  <si>
    <t>95-48-7</t>
  </si>
  <si>
    <t>o-Cresol</t>
  </si>
  <si>
    <t>95-49-8</t>
  </si>
  <si>
    <t>o-Chlorotoluene</t>
  </si>
  <si>
    <t>95-50-1</t>
  </si>
  <si>
    <t>o-Dichlorobenzene</t>
  </si>
  <si>
    <t>95-53-4</t>
  </si>
  <si>
    <t>o-Toluidine</t>
  </si>
  <si>
    <t>95-80-7</t>
  </si>
  <si>
    <t>2,4-Toluene diamine (2,4-Diamino toluene)</t>
  </si>
  <si>
    <t>95-95-4</t>
  </si>
  <si>
    <t>2,4,5-Trichlorophenol</t>
  </si>
  <si>
    <t>96-09-3</t>
  </si>
  <si>
    <t>Styrene oxide</t>
  </si>
  <si>
    <t>96-12-8</t>
  </si>
  <si>
    <t>1,2-Dibromo-3-chloropropane</t>
  </si>
  <si>
    <t>96-18-4</t>
  </si>
  <si>
    <t>1,2,3-Trichloropropane</t>
  </si>
  <si>
    <t>96-22-0</t>
  </si>
  <si>
    <t>Diethyl ketone</t>
  </si>
  <si>
    <t>96-33-3</t>
  </si>
  <si>
    <t>Methyl acrylate</t>
  </si>
  <si>
    <t>96-45-7</t>
  </si>
  <si>
    <t>Ethylene thiourea</t>
  </si>
  <si>
    <t>96-69-5</t>
  </si>
  <si>
    <t>4,4-Thiobis(6-tert, butyl-m-cresol)</t>
  </si>
  <si>
    <t>97-56-3</t>
  </si>
  <si>
    <t>o-Aminoazotoluene</t>
  </si>
  <si>
    <t>97-77-8</t>
  </si>
  <si>
    <t>Disulfiram</t>
  </si>
  <si>
    <t>98-00-0</t>
  </si>
  <si>
    <t>Furfuryl alcohol</t>
  </si>
  <si>
    <t>98-00-1</t>
  </si>
  <si>
    <t>98-01-1</t>
  </si>
  <si>
    <t>Furfural</t>
  </si>
  <si>
    <t>98-07-7</t>
  </si>
  <si>
    <t>Benzotrichloride</t>
  </si>
  <si>
    <t>98-51-1</t>
  </si>
  <si>
    <t>p-tert-Butyltoluene</t>
  </si>
  <si>
    <t>98-82-8</t>
  </si>
  <si>
    <t>Cumene (Isopropylbenzene)</t>
  </si>
  <si>
    <t>98-83-9</t>
  </si>
  <si>
    <t>a-Methyl styrene</t>
  </si>
  <si>
    <t>98-86-2</t>
  </si>
  <si>
    <t>Acetophenone</t>
  </si>
  <si>
    <t>98-95-3</t>
  </si>
  <si>
    <t>Nitrobenzene</t>
  </si>
  <si>
    <t>999-61-1</t>
  </si>
  <si>
    <t>2-Hydroxypropyl acrylate</t>
  </si>
  <si>
    <t>CE</t>
  </si>
  <si>
    <t>Coke oven Emissions (CE)</t>
  </si>
  <si>
    <t>FMF</t>
  </si>
  <si>
    <t>Fine Mineral Fibers (FMF)</t>
  </si>
  <si>
    <t>GLYET</t>
  </si>
  <si>
    <t>Glycol ethers</t>
  </si>
  <si>
    <t>POM</t>
  </si>
  <si>
    <t>Polycyclic Organic Matter (POM)</t>
  </si>
  <si>
    <t>RD</t>
  </si>
  <si>
    <t>Radionuclides, including RaDon (RD)</t>
  </si>
  <si>
    <t>Common Name</t>
  </si>
  <si>
    <t>CAS #</t>
  </si>
  <si>
    <t>Averaging Period</t>
  </si>
  <si>
    <t>ASIL (ug/m3)</t>
  </si>
  <si>
    <t>SQER (lb/avg per)</t>
  </si>
  <si>
    <t>De Minimis (lb/avg per)</t>
  </si>
  <si>
    <t>year</t>
  </si>
  <si>
    <t>24-hr</t>
  </si>
  <si>
    <t>Actinomycin D</t>
  </si>
  <si>
    <t>50-76-0</t>
  </si>
  <si>
    <t>Alar (daminsozide)</t>
  </si>
  <si>
    <t>1596-84-5</t>
  </si>
  <si>
    <t>3-Amino-9-ethylcarbazole hydrochloride</t>
  </si>
  <si>
    <t>6109-97-3</t>
  </si>
  <si>
    <t>2-Amino-3-methyl-9H-pyrido[2,3-b]indole</t>
  </si>
  <si>
    <t>68006-83-7</t>
  </si>
  <si>
    <t>1-Amino-2-methylanthraquinone</t>
  </si>
  <si>
    <t>82-28-0</t>
  </si>
  <si>
    <t>2-Amino-3-methylimidazo-[4,5-f]quinoline</t>
  </si>
  <si>
    <t>76180-96-6</t>
  </si>
  <si>
    <t>2-Amino-5-(5-nitro-2-furyl)-1,3,4-thiadiazol</t>
  </si>
  <si>
    <t>712-68-5</t>
  </si>
  <si>
    <t>A-alpha-c(2-amino-9h-pyrido[2,3-b]indole)</t>
  </si>
  <si>
    <t>26148-68-5</t>
  </si>
  <si>
    <t>Ammonium bisulfate</t>
  </si>
  <si>
    <t>7803-63-6</t>
  </si>
  <si>
    <t>1-hr</t>
  </si>
  <si>
    <t>Aniline</t>
  </si>
  <si>
    <t>o-Anisidine hydrochloride</t>
  </si>
  <si>
    <t>134-29-2</t>
  </si>
  <si>
    <t>Antimony trioxide</t>
  </si>
  <si>
    <t>Aramite</t>
  </si>
  <si>
    <t>140-57-8</t>
  </si>
  <si>
    <t>Tris(1-aziridinyl)phosphine sulfide</t>
  </si>
  <si>
    <t>52-24-4</t>
  </si>
  <si>
    <t>Arsenic &amp; inorganic arsenic compounds, NOS</t>
  </si>
  <si>
    <t>—</t>
  </si>
  <si>
    <t>Asbestos (fibers/cubic centimeter)</t>
  </si>
  <si>
    <t>Actinolite asbestos (fibers/cubic centimeter)</t>
  </si>
  <si>
    <t>12172-67-7</t>
  </si>
  <si>
    <t>Amosite asbestos (fibers/cubic centimeter)</t>
  </si>
  <si>
    <t>12172-73-5</t>
  </si>
  <si>
    <t>Anthophylite asbestos (fibers/cubic centimeter)</t>
  </si>
  <si>
    <t>17068-78-9</t>
  </si>
  <si>
    <t>Chrysotile asbestos (fibers/cubic centimeter)</t>
  </si>
  <si>
    <t>12001-29-5</t>
  </si>
  <si>
    <t>Crocidolite asbestos (fibers/cubic centimeter)</t>
  </si>
  <si>
    <t>12001-28-4</t>
  </si>
  <si>
    <t>Libby amphibole asbestos and amphiboles, NOS (fibers/cubic centimeter)</t>
  </si>
  <si>
    <t>Tremolite asbestos (fibers/cubic centimeter)</t>
  </si>
  <si>
    <t>14567-73-8</t>
  </si>
  <si>
    <t>Auramine</t>
  </si>
  <si>
    <t>492-80-8</t>
  </si>
  <si>
    <t>Azaserine</t>
  </si>
  <si>
    <t>115-02-6</t>
  </si>
  <si>
    <t>Azathioprine</t>
  </si>
  <si>
    <t>446-86-6</t>
  </si>
  <si>
    <t>Azobenzene</t>
  </si>
  <si>
    <t>103-33-3</t>
  </si>
  <si>
    <t>Barium chromate</t>
  </si>
  <si>
    <t>10294-40-3</t>
  </si>
  <si>
    <t>Benz[a]anthracene</t>
  </si>
  <si>
    <t>Benzidine</t>
  </si>
  <si>
    <t>Benzo[a]pyrene</t>
  </si>
  <si>
    <t>Benzo[b]fluoranthene</t>
  </si>
  <si>
    <t>Benzo[j]fluoranthene</t>
  </si>
  <si>
    <t>Benzo[k]fluoranthene</t>
  </si>
  <si>
    <t>Benzyl violet 4B</t>
  </si>
  <si>
    <t>Beryllium &amp; compounds, NOS</t>
  </si>
  <si>
    <t>Beryllium oxide</t>
  </si>
  <si>
    <t>1304-56-9</t>
  </si>
  <si>
    <t>Beryllium sulfate</t>
  </si>
  <si>
    <t>13510-49-1</t>
  </si>
  <si>
    <t>beta-Butyrolactone</t>
  </si>
  <si>
    <t>beta-Propiolactone</t>
  </si>
  <si>
    <t>Bis(2-chloroethyl) ether</t>
  </si>
  <si>
    <t>Bis(chloromethyl) ether</t>
  </si>
  <si>
    <t>Boron &amp; compounds, NOS</t>
  </si>
  <si>
    <t>Bromobenzene</t>
  </si>
  <si>
    <t>108-86-1</t>
  </si>
  <si>
    <t>Bromodichloromethane</t>
  </si>
  <si>
    <t>75-27-4</t>
  </si>
  <si>
    <t>Bromomethane (methyl bromide)</t>
  </si>
  <si>
    <t>1-Bromopropane</t>
  </si>
  <si>
    <t>106-94-5</t>
  </si>
  <si>
    <t>Butylated hydroxyanisole</t>
  </si>
  <si>
    <t>25013-16-5</t>
  </si>
  <si>
    <t>C.I. basic red 9 monohydrochloride</t>
  </si>
  <si>
    <t>569-61-9</t>
  </si>
  <si>
    <t>Cadmium &amp; compounds, NOS</t>
  </si>
  <si>
    <t>Caprolactam</t>
  </si>
  <si>
    <t>Carbon monoxide</t>
  </si>
  <si>
    <t>630-08-0</t>
  </si>
  <si>
    <t>Cerium oxide</t>
  </si>
  <si>
    <t>1306-38-3</t>
  </si>
  <si>
    <t>Chlorambucil</t>
  </si>
  <si>
    <t>305-03-3</t>
  </si>
  <si>
    <t>Chlordecone</t>
  </si>
  <si>
    <t>143-50-0</t>
  </si>
  <si>
    <t>Chlorendic acid</t>
  </si>
  <si>
    <t>115-28-6</t>
  </si>
  <si>
    <t>Chlorinated paraffins</t>
  </si>
  <si>
    <t>108171-26-2</t>
  </si>
  <si>
    <t>1-Chloro-1,1-difluoroethane</t>
  </si>
  <si>
    <t>75-68-3</t>
  </si>
  <si>
    <t>3-Chloro-2-methyl-1-propene</t>
  </si>
  <si>
    <t>563-47-3</t>
  </si>
  <si>
    <t>2-Chloroacetophenone</t>
  </si>
  <si>
    <t>Chloroalkanes C10-13 (chlorinated paraffins)</t>
  </si>
  <si>
    <t>85535-84-8</t>
  </si>
  <si>
    <t>Chlorodifluoromethane (Freon 22)</t>
  </si>
  <si>
    <t>Chloroethane (ethyl chloride)</t>
  </si>
  <si>
    <t>Chloromethane (methyl chloride)</t>
  </si>
  <si>
    <t>4-Chloro-o-phenylenediamine</t>
  </si>
  <si>
    <t>95-83-0</t>
  </si>
  <si>
    <t>p-Chloro-o-toluidine</t>
  </si>
  <si>
    <t>95-69-2</t>
  </si>
  <si>
    <t>Chloroprene</t>
  </si>
  <si>
    <t>Chlorothalonil</t>
  </si>
  <si>
    <t>1897-45-6</t>
  </si>
  <si>
    <t>Chlorozotocin</t>
  </si>
  <si>
    <t>54749-90-5</t>
  </si>
  <si>
    <t>Chromic trioxide</t>
  </si>
  <si>
    <t>1333-82-0</t>
  </si>
  <si>
    <t>Chromic(VI) acid</t>
  </si>
  <si>
    <t>7738-94-5</t>
  </si>
  <si>
    <t>Chromium(III), insoluble particulates, NOS</t>
  </si>
  <si>
    <t>Chromium(III), soluble particulates, NOS</t>
  </si>
  <si>
    <t>Chromium(VI) &amp; compounds, NOS</t>
  </si>
  <si>
    <t>Chrysene</t>
  </si>
  <si>
    <t>218-01-9</t>
  </si>
  <si>
    <t>Cinnamyl anthranilate</t>
  </si>
  <si>
    <t>87-29-6</t>
  </si>
  <si>
    <t>Cobalt and compounds, NOS</t>
  </si>
  <si>
    <t>Coke oven emissions</t>
  </si>
  <si>
    <t>Copper &amp; compounds</t>
  </si>
  <si>
    <t>p-Cresidine</t>
  </si>
  <si>
    <t>120-71-8</t>
  </si>
  <si>
    <t>Cresols (mixture), including m-cresol, o-cresol, p-cresol</t>
  </si>
  <si>
    <t>m-Cresol (3-methylphenol)</t>
  </si>
  <si>
    <t>o-Cresol (2-methylphenol)</t>
  </si>
  <si>
    <t>p-Cresol (4-methylphenol)</t>
  </si>
  <si>
    <t>Cumene</t>
  </si>
  <si>
    <t>Cyclophosphamide (anhydrous)</t>
  </si>
  <si>
    <t>50-18-0</t>
  </si>
  <si>
    <t>Cyclophosphamide (hydrated)</t>
  </si>
  <si>
    <t>6055-19-2</t>
  </si>
  <si>
    <t>D &amp; C red no. 9</t>
  </si>
  <si>
    <t>Dacarbazine</t>
  </si>
  <si>
    <t>Dantron</t>
  </si>
  <si>
    <t>117-10-2</t>
  </si>
  <si>
    <t>Di(2-ethylhexl)phthalate</t>
  </si>
  <si>
    <t>2,4-Diaminoanisole</t>
  </si>
  <si>
    <t>615-05-4</t>
  </si>
  <si>
    <t>2,4-Diaminoanisole sulfate</t>
  </si>
  <si>
    <t>39156-41-7</t>
  </si>
  <si>
    <t>2,4-Diaminotoluene (2,4-toluene diamine)</t>
  </si>
  <si>
    <t>Dibenz[a,h]acridine</t>
  </si>
  <si>
    <t>Dibenz[a,h]anthracene</t>
  </si>
  <si>
    <t>Dibenz[a,j]acridine</t>
  </si>
  <si>
    <t>Dibenzo[a,e]pyrene</t>
  </si>
  <si>
    <t>Dibenzo[a,h]pyrene</t>
  </si>
  <si>
    <t>Dibenzo[a,i]pyrene</t>
  </si>
  <si>
    <t>Dibenzo[a,l]pyrene</t>
  </si>
  <si>
    <t>7H-Dibenzo[c,g]carbazole</t>
  </si>
  <si>
    <t>194-59-2</t>
  </si>
  <si>
    <t>1,2-Dibromo-3-chloropropane (DBCP)</t>
  </si>
  <si>
    <t>Tris(2,3-dibromopropyl)phosphate</t>
  </si>
  <si>
    <t>126-72-7</t>
  </si>
  <si>
    <t>1,4-Dichlorobenzene</t>
  </si>
  <si>
    <t>3,3'-Dichlorobenzidine</t>
  </si>
  <si>
    <t>DDD (dichlorodiphenyldichloroethane)</t>
  </si>
  <si>
    <t>72-54-8</t>
  </si>
  <si>
    <t>DDE (dichlorodiphenyldichloroethylene)</t>
  </si>
  <si>
    <t>72-55-9</t>
  </si>
  <si>
    <t>DDT(dichlorodiphenyltrichloroethane)</t>
  </si>
  <si>
    <t>1,1-Dichloroethane (ethylidene dichloride)</t>
  </si>
  <si>
    <t>trans-1,2-Dichloroethene</t>
  </si>
  <si>
    <t>156-60-5</t>
  </si>
  <si>
    <t>1,1-Dichloroethylene (1,1-DCE)</t>
  </si>
  <si>
    <t>Dichloromethane</t>
  </si>
  <si>
    <t>1,2-Dichloropropane (propylene dichloride)</t>
  </si>
  <si>
    <t>2,3-Dichloropropene</t>
  </si>
  <si>
    <t>78-88-6</t>
  </si>
  <si>
    <t>Dichlorvos (DDVP)</t>
  </si>
  <si>
    <t>Diesel engine exhaust, particulate</t>
  </si>
  <si>
    <t>Diethylstilbestrol</t>
  </si>
  <si>
    <t>56-53-1</t>
  </si>
  <si>
    <t>1,1-Difluoroethane</t>
  </si>
  <si>
    <t>75-37-6</t>
  </si>
  <si>
    <t>Dihydrosafrole</t>
  </si>
  <si>
    <t>94-58-6</t>
  </si>
  <si>
    <t>4-Dimethylaminoazobenzene</t>
  </si>
  <si>
    <t>trans-2[(dimethylamino)-methylimino]-5-[2-(5-nitro-2-furyl)-vinyl]-1,3,4-oxadiazole</t>
  </si>
  <si>
    <t>7,12-Dimethylbenz[a]anthracene</t>
  </si>
  <si>
    <t>57-97-6</t>
  </si>
  <si>
    <t>Dimethylvinylchloride</t>
  </si>
  <si>
    <t>513-37-1</t>
  </si>
  <si>
    <t>1,6-Dinitropyrene</t>
  </si>
  <si>
    <t>42397-64-8</t>
  </si>
  <si>
    <t>1,8-Dinitropyrene</t>
  </si>
  <si>
    <t>42397-65-9</t>
  </si>
  <si>
    <t>1,4-Dioxane</t>
  </si>
  <si>
    <t>1,2-Diphenylhydrazine (hydrazobenzene)</t>
  </si>
  <si>
    <t>Direct black 38</t>
  </si>
  <si>
    <t>1937-37-7</t>
  </si>
  <si>
    <t>Direct blue 6</t>
  </si>
  <si>
    <t>2602-46-2</t>
  </si>
  <si>
    <t>Direct brown 95</t>
  </si>
  <si>
    <t>16071-86-6</t>
  </si>
  <si>
    <t>Disperse blue 1</t>
  </si>
  <si>
    <t>2475-45-8</t>
  </si>
  <si>
    <t>Disulfoton</t>
  </si>
  <si>
    <t>Epichlorohydrin</t>
  </si>
  <si>
    <t>1,2-Epoxybutane</t>
  </si>
  <si>
    <t>Estradiol 17B</t>
  </si>
  <si>
    <t>50-28-2</t>
  </si>
  <si>
    <t>Ethyl carbamate (urethane)</t>
  </si>
  <si>
    <t>Ethylene dibromide (EDB, 1,2-dibromoethane)</t>
  </si>
  <si>
    <t>Ethylene dichloride (EDC, 1,2-dichloroethane)</t>
  </si>
  <si>
    <t>Ethylene glycol monobutyl ether</t>
  </si>
  <si>
    <t>Ethylene glycol monoethyl ether (2-ethoxyethanol)</t>
  </si>
  <si>
    <t>Ethylene glycol monoethyl ether acetate</t>
  </si>
  <si>
    <t>Ethylene glycol monomethyl ether (2-methoxyethanol)</t>
  </si>
  <si>
    <t>Ethylene glycol monomethyl ether acetate</t>
  </si>
  <si>
    <t>Ethyleneimine</t>
  </si>
  <si>
    <t>Ferric sulfate</t>
  </si>
  <si>
    <t>10028-22-5</t>
  </si>
  <si>
    <t>Fluorides (fluoride containing chemicals), NOS</t>
  </si>
  <si>
    <t>Fluorine gas F2</t>
  </si>
  <si>
    <t>Furmecyclox</t>
  </si>
  <si>
    <t>60568-05-0</t>
  </si>
  <si>
    <t>Furylfuramide</t>
  </si>
  <si>
    <t>3688-53-7</t>
  </si>
  <si>
    <t>Glu-P-1</t>
  </si>
  <si>
    <t>67730-11-4</t>
  </si>
  <si>
    <t>Glu-P-2</t>
  </si>
  <si>
    <t>67730-10-3</t>
  </si>
  <si>
    <t>Guthion (azinphos-methyl)</t>
  </si>
  <si>
    <t>Gyromitrin</t>
  </si>
  <si>
    <t>16568-02-8</t>
  </si>
  <si>
    <t>HC blue 1</t>
  </si>
  <si>
    <t>2784-94-3</t>
  </si>
  <si>
    <t>Heptachlor epoxide</t>
  </si>
  <si>
    <t>1024-57-3</t>
  </si>
  <si>
    <t>Heptachlorodibenzo-p-dioxin, NOS</t>
  </si>
  <si>
    <t>37871-00-4</t>
  </si>
  <si>
    <t>Hexachlorocyclohexane</t>
  </si>
  <si>
    <t>608-73-1</t>
  </si>
  <si>
    <t>alpha-Hexachlorocyclohexane</t>
  </si>
  <si>
    <t>beta-Hexachlorocyclohexane</t>
  </si>
  <si>
    <t>gamma-Hexachlorocyclohexane (lindane)</t>
  </si>
  <si>
    <t>Hexachlorodibenzo-p-dioxins, NOS</t>
  </si>
  <si>
    <t>2-Hexanone</t>
  </si>
  <si>
    <t>Hydrazine sulfate</t>
  </si>
  <si>
    <t>10034-93-2</t>
  </si>
  <si>
    <t>Hydrogen chloride</t>
  </si>
  <si>
    <t>Hydrogen fluoride</t>
  </si>
  <si>
    <t>Indeno[1,2,3-cd]pyrene</t>
  </si>
  <si>
    <t>Isopropyl alcohol</t>
  </si>
  <si>
    <t>Lasiocarpine</t>
  </si>
  <si>
    <t>303-34-4</t>
  </si>
  <si>
    <t>Lead &amp; compounds, NOS</t>
  </si>
  <si>
    <t>Lead chromate oxide</t>
  </si>
  <si>
    <t>18454-12-1</t>
  </si>
  <si>
    <t>Lead chromate</t>
  </si>
  <si>
    <t>Lead subacetate</t>
  </si>
  <si>
    <t>1335-32-6</t>
  </si>
  <si>
    <t>Manganese &amp; compounds</t>
  </si>
  <si>
    <t>Melphalan</t>
  </si>
  <si>
    <t>148-82-3</t>
  </si>
  <si>
    <t>Mercury, elemental</t>
  </si>
  <si>
    <t>Diethyl mercury</t>
  </si>
  <si>
    <t>627-44-1</t>
  </si>
  <si>
    <t>Dimethyl mercury</t>
  </si>
  <si>
    <t>593-74-8</t>
  </si>
  <si>
    <t>Methyl alchohol (methanol)</t>
  </si>
  <si>
    <t>3-Methylcholanthrene</t>
  </si>
  <si>
    <t>56-49-5</t>
  </si>
  <si>
    <t>4,4'-Methylenebis(2-chloroaniline) (MOCA)</t>
  </si>
  <si>
    <t>4,4'-Methylenebis(2-methylaniline)</t>
  </si>
  <si>
    <t>4,4'-Methylenebis(N,N'-dimethyl)aniline</t>
  </si>
  <si>
    <t>101-61-1</t>
  </si>
  <si>
    <t>4,4'-Methylenedianiline</t>
  </si>
  <si>
    <t>4,4'-Methylenedianiline dihydrochloride</t>
  </si>
  <si>
    <t>Methylene diphenyl diisocyanate (MDI)</t>
  </si>
  <si>
    <t>Methyl ethyl ketone</t>
  </si>
  <si>
    <t>Methyl isobutyl ketone (MIBK, hexone)</t>
  </si>
  <si>
    <t>Methyl methanesulfonate</t>
  </si>
  <si>
    <t>66-27-3</t>
  </si>
  <si>
    <t>N-Methyl-N-nitro-N-nitrosoguanidine</t>
  </si>
  <si>
    <t>70-25-7</t>
  </si>
  <si>
    <t>Methyl tert-butyl ether</t>
  </si>
  <si>
    <t>Methylthiouracil</t>
  </si>
  <si>
    <t>56-04-2</t>
  </si>
  <si>
    <t>Michler's ketone</t>
  </si>
  <si>
    <t>90-94-8</t>
  </si>
  <si>
    <t>Mitomycin C</t>
  </si>
  <si>
    <t>50-07-7</t>
  </si>
  <si>
    <t>Monocrotaline</t>
  </si>
  <si>
    <t>315-22-0</t>
  </si>
  <si>
    <t>N,N-Dimethylformamide</t>
  </si>
  <si>
    <t>2-Naphthylamine</t>
  </si>
  <si>
    <t>91-59-8</t>
  </si>
  <si>
    <t>Nickel &amp; compounds, NOS</t>
  </si>
  <si>
    <t>Nickel acetate</t>
  </si>
  <si>
    <t>373-02-4</t>
  </si>
  <si>
    <t>Nickel carbonate</t>
  </si>
  <si>
    <t>3333-67-3</t>
  </si>
  <si>
    <t>Nickel carbonate hydroxide</t>
  </si>
  <si>
    <t>12607-70-4</t>
  </si>
  <si>
    <t>Nickel carbonyl</t>
  </si>
  <si>
    <t>13463-39-3</t>
  </si>
  <si>
    <t>Nickel chloride</t>
  </si>
  <si>
    <t>7718-54-9</t>
  </si>
  <si>
    <t>Nickel hydroxide</t>
  </si>
  <si>
    <t>12054-48-7</t>
  </si>
  <si>
    <t>Nickel nitrate hexahydrate</t>
  </si>
  <si>
    <t>13478-00-7</t>
  </si>
  <si>
    <t>Nickel oxide (nickel monoxide, nickel(II) oxide)</t>
  </si>
  <si>
    <t>1313-99-1</t>
  </si>
  <si>
    <t>Nickel oxide black (nickel sesquioxide, nickel(III) oxide)</t>
  </si>
  <si>
    <t>1314-06-3</t>
  </si>
  <si>
    <t>Nickel refinery dust</t>
  </si>
  <si>
    <t>Nickel subsulfide</t>
  </si>
  <si>
    <t>12035-72-2</t>
  </si>
  <si>
    <t>Nickel sulfate</t>
  </si>
  <si>
    <t>7786-81-4</t>
  </si>
  <si>
    <t>Nickel sulfate hexahydrate</t>
  </si>
  <si>
    <t>10101-97-0</t>
  </si>
  <si>
    <t>Nickel sulfide</t>
  </si>
  <si>
    <t>11113-75-0</t>
  </si>
  <si>
    <t>Nickelocene</t>
  </si>
  <si>
    <t>1271-28-9</t>
  </si>
  <si>
    <t>Nifurthiazole</t>
  </si>
  <si>
    <t>3570-75-0</t>
  </si>
  <si>
    <t>Nitrilotriacetic acid</t>
  </si>
  <si>
    <t>139-13-9</t>
  </si>
  <si>
    <t>Nitrilotriacetic acid, trisodium salt monohydrate</t>
  </si>
  <si>
    <t>18662-53-8</t>
  </si>
  <si>
    <t>2-Nitrofluorene</t>
  </si>
  <si>
    <t>607-57-8</t>
  </si>
  <si>
    <t>1-[(5-Nitrofurfurylidene)-amino]-2-imidazolidinone</t>
  </si>
  <si>
    <t>555-84-0</t>
  </si>
  <si>
    <t>N-[4-(5-nitro-2-furyl)-2-thiazolyl]-acetamide</t>
  </si>
  <si>
    <t>Nitrogen dioxide</t>
  </si>
  <si>
    <t>10102-44-0</t>
  </si>
  <si>
    <t>1-Nitropyrene</t>
  </si>
  <si>
    <t>5522-43-0</t>
  </si>
  <si>
    <t>4-Nitropyrene</t>
  </si>
  <si>
    <t>57835-92-4</t>
  </si>
  <si>
    <t>6-Nitrochrysene</t>
  </si>
  <si>
    <t>N-Nitrosodiethanolamine</t>
  </si>
  <si>
    <t>1116-54-7</t>
  </si>
  <si>
    <t>N-Nitrosodiethylamine</t>
  </si>
  <si>
    <t>N-Nitrosodi-N-butylamine</t>
  </si>
  <si>
    <t>N-Nitrosodi-N-propylamine</t>
  </si>
  <si>
    <t>621-64-7</t>
  </si>
  <si>
    <t>p-Nitrosodiphenylamine</t>
  </si>
  <si>
    <t>156-10-5</t>
  </si>
  <si>
    <t>N-Nitroso-N-ethylurea</t>
  </si>
  <si>
    <t>N-Nitroso-N-methylethylamine</t>
  </si>
  <si>
    <t>N-Nitroso-N-methylurea</t>
  </si>
  <si>
    <t>N-Nitroso-N-methylurethane</t>
  </si>
  <si>
    <t>N-Nitrosonornicotine</t>
  </si>
  <si>
    <t>16543-55-8</t>
  </si>
  <si>
    <t>N-Nitrosopiperidine</t>
  </si>
  <si>
    <t>100-75-4</t>
  </si>
  <si>
    <t>N-Nitrosopyrrolidine</t>
  </si>
  <si>
    <t>930-55-2</t>
  </si>
  <si>
    <t>Oleum</t>
  </si>
  <si>
    <t>8014-95-7</t>
  </si>
  <si>
    <t>Ozone</t>
  </si>
  <si>
    <t>10028-15-6</t>
  </si>
  <si>
    <t>Perchloroethylene</t>
  </si>
  <si>
    <t>Phenacetin</t>
  </si>
  <si>
    <t>62-44-2</t>
  </si>
  <si>
    <t>Phenazopyridine</t>
  </si>
  <si>
    <t>94-78-0</t>
  </si>
  <si>
    <t>Phenazopyridine hydrochloride</t>
  </si>
  <si>
    <t>136-40-3</t>
  </si>
  <si>
    <t>Phenesterin</t>
  </si>
  <si>
    <t>Phenobarbital</t>
  </si>
  <si>
    <t>50-06-6</t>
  </si>
  <si>
    <t>Phenoxybenzamine</t>
  </si>
  <si>
    <t>59-96-1</t>
  </si>
  <si>
    <t>o-Phenylphenate, sodium</t>
  </si>
  <si>
    <t>132-27-4</t>
  </si>
  <si>
    <t>Phosphorus, white</t>
  </si>
  <si>
    <t>12185-10-3</t>
  </si>
  <si>
    <t>Polybrominated biphenyls</t>
  </si>
  <si>
    <t>Polybrominated diphenyl ethers (PBDEs) [containing less than 10 bromine atoms]</t>
  </si>
  <si>
    <t>Polychlorinated biphenyls (PCBs), NOS</t>
  </si>
  <si>
    <t>PCB 77 (3,3',4,4'-tetrachlorobiphenyl)</t>
  </si>
  <si>
    <t>32598-13-3</t>
  </si>
  <si>
    <t>PCB 81 (3,4,4',5-tetrachlorobiphenyl)</t>
  </si>
  <si>
    <t>70362-50-4</t>
  </si>
  <si>
    <t>PCB 105 (2,3,3',4,4'-pentachlorobiphenyl)</t>
  </si>
  <si>
    <t>32598-14-4</t>
  </si>
  <si>
    <t>PCB 114 (2,3,4,4',5-pentachlorobiphenyl)</t>
  </si>
  <si>
    <t>74472-37-0</t>
  </si>
  <si>
    <t>PCB 118 (2,3',4,4',5-pentachlorobiphenyl)</t>
  </si>
  <si>
    <t>31508-00-6</t>
  </si>
  <si>
    <t>PCB 123 (2,3',4,4',5'-pentachlorobiphenyl)</t>
  </si>
  <si>
    <t>65510-44-3</t>
  </si>
  <si>
    <t>PCB 126 (3,3',4,4',5-pentachlorobiphenyl)</t>
  </si>
  <si>
    <t>57465-28-8</t>
  </si>
  <si>
    <t>PCB 156 (2,3,3',4,4',5-hexachlorobiphenyl)</t>
  </si>
  <si>
    <t>38380-08-4</t>
  </si>
  <si>
    <t>PCB 157 (2,3,3',4,4',5'-hexachlorobiphenyl)</t>
  </si>
  <si>
    <t>69782-90-7</t>
  </si>
  <si>
    <t>PCB 167 (2,3',4,4',5,5'-hexachlorobiphenyl)</t>
  </si>
  <si>
    <t>52663-72-6</t>
  </si>
  <si>
    <t>PCB 169 (3,3',4,4',5,5'-hexachlorobiphenyl)</t>
  </si>
  <si>
    <t>32774-16-6</t>
  </si>
  <si>
    <t>PCB 189 (2,3,3',4,4',5,5'-heptachlorobiphenyl)</t>
  </si>
  <si>
    <t>39635-31-9</t>
  </si>
  <si>
    <t>1,2,3,4,6,7,8-Heptachlorodibenzo-p-dioxin (HpCDD)</t>
  </si>
  <si>
    <t>35822-46-9</t>
  </si>
  <si>
    <t>1,2,3,4,7,8-Hexachlorodibenzo-p-dioxin (HxCDD)</t>
  </si>
  <si>
    <t>39227-28-6</t>
  </si>
  <si>
    <t>1,2,3,6,7,8-Hexachlorodibenzo-p-dioxin (HxCDD)</t>
  </si>
  <si>
    <t>57653-85-7</t>
  </si>
  <si>
    <t>1,2,3,7,8,9-Hexachlorodibenzo-p-dioxin (HxCDD)</t>
  </si>
  <si>
    <t>1,2,3,4,6,7,8,9-Octachlorodibenzo-p-dioxin (OCDD)</t>
  </si>
  <si>
    <t>3268-87-9</t>
  </si>
  <si>
    <t>1,2,3,7,8-Pentachlorodibenzo-p-dioxin (PeCDD)</t>
  </si>
  <si>
    <t>40321-76-4</t>
  </si>
  <si>
    <t>2,3,7,8-Tetrachlorodibenzo-p-dioxin (TCDD)</t>
  </si>
  <si>
    <t>2,3,7,8-Tetrachlorodibenzo-p-dioxin &amp; related compounds, NOS</t>
  </si>
  <si>
    <t>1,2,3,4,6,7,8-Heptachlorodibenzofuran (HpCDF)</t>
  </si>
  <si>
    <t>67562-39-4</t>
  </si>
  <si>
    <t>1,2,3,4,7,8,9-Heptachlorodibenzofuran (HpCDF)</t>
  </si>
  <si>
    <t>55673-89-7</t>
  </si>
  <si>
    <t>1,2,3,4,7,8-Hexachlorodibenzofuran (HxCDF)</t>
  </si>
  <si>
    <t>70648-26-9</t>
  </si>
  <si>
    <t>1,2,3,6,7,8-Hexachlorodibenzofuran (HxCDF)</t>
  </si>
  <si>
    <t>57117-44-9</t>
  </si>
  <si>
    <t>1,2,3,7,8,9-Hexachlorodibenzofuran (HxCDF)</t>
  </si>
  <si>
    <t>72918-21-9</t>
  </si>
  <si>
    <t>2,3,4,6,7,8-Hexachlorodibenzofuran (HxCDF)</t>
  </si>
  <si>
    <t>60851-34-5</t>
  </si>
  <si>
    <t>1,2,3,4,6,7,8,9-Octachlorodibenzofuran (OCDF)</t>
  </si>
  <si>
    <t>39001-02-0</t>
  </si>
  <si>
    <t>1,2,3,7,8-Pentachlorodibenzofuran (PeCDF)</t>
  </si>
  <si>
    <t>57117-41-6</t>
  </si>
  <si>
    <t>2,3,4,7,8-Pentachlorodibenzofuran (PeCDF)</t>
  </si>
  <si>
    <t>57117-31-4</t>
  </si>
  <si>
    <t>2,3,7,8-Tetrachlorodibenzofuran (TcDF)</t>
  </si>
  <si>
    <t>51207-31-9</t>
  </si>
  <si>
    <t>Ponceau 3R</t>
  </si>
  <si>
    <t>Potassium bromate</t>
  </si>
  <si>
    <t>Procarbazine</t>
  </si>
  <si>
    <t>671-16-9</t>
  </si>
  <si>
    <t>Procarbazine hydrochloride</t>
  </si>
  <si>
    <t>366-70-1</t>
  </si>
  <si>
    <t>Propylene</t>
  </si>
  <si>
    <t>Propylene glycol</t>
  </si>
  <si>
    <t>57-55-6</t>
  </si>
  <si>
    <t>Propylene glycol monomethyl ether</t>
  </si>
  <si>
    <t>Propylthiouracil</t>
  </si>
  <si>
    <t>51-52-5</t>
  </si>
  <si>
    <t>Refractory ceramic fibers (fibers/cubic centimeter)</t>
  </si>
  <si>
    <t>Reserpine</t>
  </si>
  <si>
    <t>50-55-5</t>
  </si>
  <si>
    <t>Safrole</t>
  </si>
  <si>
    <t>94-59-7</t>
  </si>
  <si>
    <t>Selenide, hydrogen</t>
  </si>
  <si>
    <t>Selenium &amp; selenium compounds (other than hydrogen selenide)</t>
  </si>
  <si>
    <t>Silica, crystalline (respirable)</t>
  </si>
  <si>
    <t>7631-86-9</t>
  </si>
  <si>
    <t>Sodium sulfate</t>
  </si>
  <si>
    <t>7757-82-6</t>
  </si>
  <si>
    <t>Sterigmatocystin</t>
  </si>
  <si>
    <t>10048-13-2</t>
  </si>
  <si>
    <t>Streptozotocin</t>
  </si>
  <si>
    <t>18883-66-4</t>
  </si>
  <si>
    <t>Sulfallate</t>
  </si>
  <si>
    <t>95-06-7</t>
  </si>
  <si>
    <t>Sulfur dioxide</t>
  </si>
  <si>
    <t>Sulfur mustard</t>
  </si>
  <si>
    <t>505-60-2</t>
  </si>
  <si>
    <t>Sulfur trioxide</t>
  </si>
  <si>
    <t>Tertiary-butyl acetate</t>
  </si>
  <si>
    <t>1,1,1,2-Tetrachloroethane</t>
  </si>
  <si>
    <t>630-20-6</t>
  </si>
  <si>
    <t>1,1,1,2-Tetrafluoroethane</t>
  </si>
  <si>
    <t>811-97-2</t>
  </si>
  <si>
    <t>Thioacetamide</t>
  </si>
  <si>
    <t>62-55-5</t>
  </si>
  <si>
    <t>4,4-Thiodianiline</t>
  </si>
  <si>
    <t>Thiourea</t>
  </si>
  <si>
    <t>62-56-6</t>
  </si>
  <si>
    <t>Toluene diisocyanates (2,4- and 2,6-)</t>
  </si>
  <si>
    <t>26471-62-5</t>
  </si>
  <si>
    <t>Toluene-2,4-diisocyanate</t>
  </si>
  <si>
    <t>Toluene-2,6-diisocyanate</t>
  </si>
  <si>
    <t>91-08-7</t>
  </si>
  <si>
    <t>Toxaphene (polychlorinated camphenes)</t>
  </si>
  <si>
    <t>1,1,1-Trichloroethane (methyl chloroform)</t>
  </si>
  <si>
    <t>1,1,2-Trichloroethane (vinyl trichloride)</t>
  </si>
  <si>
    <t>Trichloroethylene (TCE)</t>
  </si>
  <si>
    <t>1,2,3-Trimethylbenzene</t>
  </si>
  <si>
    <t>526-73-8</t>
  </si>
  <si>
    <t>1,2,4-Trimethylbenzene</t>
  </si>
  <si>
    <t>95-63-6</t>
  </si>
  <si>
    <t>1,3,5-Trimethylbenzene</t>
  </si>
  <si>
    <t>108-67-8</t>
  </si>
  <si>
    <t>Tryptophan-P-1</t>
  </si>
  <si>
    <t>62450-06-0</t>
  </si>
  <si>
    <t>Tryptophan-P-2</t>
  </si>
  <si>
    <t>62450-07-1</t>
  </si>
  <si>
    <t>Uranium, insoluble compounds, NOS</t>
  </si>
  <si>
    <t>Uranium, soluble salts, NOS</t>
  </si>
  <si>
    <t>Vanadium (fume or dust)</t>
  </si>
  <si>
    <t>7440-62-2</t>
  </si>
  <si>
    <t>Vanadium pentoxide</t>
  </si>
  <si>
    <t>Xylene (mixture), including m-xylene, o-xylene, p-xylene</t>
  </si>
  <si>
    <t>m-Xylene</t>
  </si>
  <si>
    <t>o-Xylene</t>
  </si>
  <si>
    <t>p-Xylene</t>
  </si>
  <si>
    <t xml:space="preserve">Pollutant </t>
  </si>
  <si>
    <t>CAS Number</t>
  </si>
  <si>
    <t>Sample flow rate (m3/min)</t>
  </si>
  <si>
    <t>Area sampled (m2)</t>
  </si>
  <si>
    <t>% He</t>
  </si>
  <si>
    <t>Jobson, T., Khosravi, N., “Emissions from Washington State Compost Facilities: A Review of Volatile Organic Compound Data, and an Estimation of Greenhouse Gas Emissions” (November 2019, updated February 2020)</t>
  </si>
  <si>
    <t>Date</t>
  </si>
  <si>
    <t>Source</t>
  </si>
  <si>
    <t>Description</t>
  </si>
  <si>
    <t>Mass Bed NE Corner</t>
  </si>
  <si>
    <t>Mass Bed NW Corner</t>
  </si>
  <si>
    <t>Mass Bed Middle W</t>
  </si>
  <si>
    <t>Mass Bed Middle S</t>
  </si>
  <si>
    <t>Mass Bed Middle E</t>
  </si>
  <si>
    <t>Blank</t>
  </si>
  <si>
    <t>Phase I biofilter</t>
  </si>
  <si>
    <t>Phase I biofilter and ASP</t>
  </si>
  <si>
    <t>Phase I biofilter and ASP duplicate</t>
  </si>
  <si>
    <t>Fresh Chopped, ~1 day old, turned once</t>
  </si>
  <si>
    <t>ASP Bay 5, ~7 day old, turned once</t>
  </si>
  <si>
    <t>Finished, unscreened</t>
  </si>
  <si>
    <t>8-10 days old</t>
  </si>
  <si>
    <t>15 days old</t>
  </si>
  <si>
    <t>10 days old</t>
  </si>
  <si>
    <t>ASP Bay 5 into Mass Bed, ~7 day old, turned twice</t>
  </si>
  <si>
    <t>Sample blanks</t>
  </si>
  <si>
    <t>ASP</t>
  </si>
  <si>
    <t>Potential Project Emissions (tpy)</t>
  </si>
  <si>
    <r>
      <t xml:space="preserve">ASP </t>
    </r>
    <r>
      <rPr>
        <b/>
        <vertAlign val="superscript"/>
        <sz val="11"/>
        <color theme="1"/>
        <rFont val="Calibri"/>
        <family val="2"/>
        <scheme val="minor"/>
      </rPr>
      <t>1</t>
    </r>
  </si>
  <si>
    <t>-</t>
  </si>
  <si>
    <t>SQER</t>
  </si>
  <si>
    <t>(lb/avg. period)</t>
  </si>
  <si>
    <t>Averaging</t>
  </si>
  <si>
    <t>Period</t>
  </si>
  <si>
    <t>Project Emissions</t>
  </si>
  <si>
    <r>
      <t xml:space="preserve">Methanol </t>
    </r>
    <r>
      <rPr>
        <vertAlign val="superscript"/>
        <sz val="11"/>
        <color theme="1"/>
        <rFont val="Calibri"/>
        <family val="2"/>
        <scheme val="minor"/>
      </rPr>
      <t>2</t>
    </r>
  </si>
  <si>
    <r>
      <t xml:space="preserve">Acetaldehyde </t>
    </r>
    <r>
      <rPr>
        <vertAlign val="superscript"/>
        <sz val="11"/>
        <color theme="1"/>
        <rFont val="Calibri"/>
        <family val="2"/>
        <scheme val="minor"/>
      </rPr>
      <t>2</t>
    </r>
  </si>
  <si>
    <t>2. Methanol and acetaldehyde emissions are calculated by multiplying VOC emissions by the weight percentage from EPA's SPECIATE tool for composting (12.79% for methanol and 0.14% for acetaldehyde). Methanol was not measured during the June 2013 sampling, and the maximum acetaldehyde measurement during the sampling was an outlier.</t>
  </si>
  <si>
    <t>% of SQER</t>
  </si>
  <si>
    <t>Input in green</t>
  </si>
  <si>
    <t>g</t>
  </si>
  <si>
    <t>m/s2</t>
  </si>
  <si>
    <t>BF1</t>
  </si>
  <si>
    <t>BF3</t>
  </si>
  <si>
    <t>BF4</t>
  </si>
  <si>
    <t>FIN</t>
  </si>
  <si>
    <t>TW2</t>
  </si>
  <si>
    <t>Ta</t>
  </si>
  <si>
    <t>K</t>
  </si>
  <si>
    <t>Vs</t>
  </si>
  <si>
    <t>Zref</t>
  </si>
  <si>
    <t>m</t>
  </si>
  <si>
    <t>Width (m)</t>
  </si>
  <si>
    <t>Uref</t>
  </si>
  <si>
    <t>Length (m)</t>
  </si>
  <si>
    <t>p</t>
  </si>
  <si>
    <t>Area (m2)</t>
  </si>
  <si>
    <t>Lapse rate</t>
  </si>
  <si>
    <t>K/m</t>
  </si>
  <si>
    <t>ds (m)</t>
  </si>
  <si>
    <t>Volume source width (m)</t>
  </si>
  <si>
    <t>Source height (m)</t>
  </si>
  <si>
    <t>T (°C)</t>
  </si>
  <si>
    <t>T (K)</t>
  </si>
  <si>
    <t>Fb</t>
  </si>
  <si>
    <t>Us (m/s)</t>
  </si>
  <si>
    <t>Dh (m)</t>
  </si>
  <si>
    <t>Plume height (m)</t>
  </si>
  <si>
    <t>Release height (m)</t>
  </si>
  <si>
    <t>Sigma Y (m)</t>
  </si>
  <si>
    <t>Sigma Z (m)</t>
  </si>
  <si>
    <t>Exclusion zone (m)</t>
  </si>
  <si>
    <r>
      <t>Phase II Project Area (m</t>
    </r>
    <r>
      <rPr>
        <b/>
        <vertAlign val="superscript"/>
        <sz val="11"/>
        <color theme="1"/>
        <rFont val="Calibri"/>
        <family val="2"/>
        <scheme val="minor"/>
      </rPr>
      <t>2</t>
    </r>
    <r>
      <rPr>
        <b/>
        <sz val="11"/>
        <color theme="1"/>
        <rFont val="Calibri"/>
        <family val="2"/>
        <scheme val="minor"/>
      </rPr>
      <t>)</t>
    </r>
  </si>
  <si>
    <t>Source ID</t>
  </si>
  <si>
    <t>Biofilter 4 (Phase II)</t>
  </si>
  <si>
    <t>Biofilter 3 (Phase II)</t>
  </si>
  <si>
    <t>UTM E (m)</t>
  </si>
  <si>
    <t>UTM N (m)</t>
  </si>
  <si>
    <t>Elevation (m)</t>
  </si>
  <si>
    <t>Release Height (m)</t>
  </si>
  <si>
    <t>Init. Lat Dim (m)</t>
  </si>
  <si>
    <t>Init. Vert. Dim. (m)</t>
  </si>
  <si>
    <t>Volume Source Parameters</t>
  </si>
  <si>
    <t>Emission Rate (g/s)</t>
  </si>
  <si>
    <t>Biofilter 1 (stockpiling increase)</t>
  </si>
  <si>
    <t>ASP_Z9</t>
  </si>
  <si>
    <t>ASP Zone 9</t>
  </si>
  <si>
    <t>ASP Zone 10</t>
  </si>
  <si>
    <t>ASP Zone 11</t>
  </si>
  <si>
    <t>ASP Zone 12</t>
  </si>
  <si>
    <t>ASP Zone 13</t>
  </si>
  <si>
    <t>ASP_Z10</t>
  </si>
  <si>
    <t>ASP_Z11</t>
  </si>
  <si>
    <t>ASP_Z12</t>
  </si>
  <si>
    <t>ASP_Z13</t>
  </si>
  <si>
    <t>Width of Phase II ASP (m)</t>
  </si>
  <si>
    <t>Length of Phase II ASP (m)</t>
  </si>
  <si>
    <t>Height of Phase II ASP (m)</t>
  </si>
  <si>
    <t>Windrows (Phase II)</t>
  </si>
  <si>
    <t>Finished Pile</t>
  </si>
  <si>
    <t>VOC emission from ASP composting (remainder in windrows)</t>
  </si>
  <si>
    <t>Capture efficiency of negative aeration system</t>
  </si>
  <si>
    <t>CASP+Biofilter VOC EF after emissions control (considering capture efficiency)</t>
  </si>
  <si>
    <t>Fraction of time with positive flow</t>
  </si>
  <si>
    <t>Fraction of time with negative flow</t>
  </si>
  <si>
    <t>NH3 emission from ASP composting (remainder in windrows)</t>
  </si>
  <si>
    <t>Windrow VOC EF</t>
  </si>
  <si>
    <t>Windrow NH3 EF</t>
  </si>
  <si>
    <t>CASP Surface</t>
  </si>
  <si>
    <t>CASP+Biofilter NH3 EF after emissions control (considering capture efficiency)</t>
  </si>
  <si>
    <r>
      <t>Flux Density (</t>
    </r>
    <r>
      <rPr>
        <b/>
        <sz val="11"/>
        <color theme="1"/>
        <rFont val="Calibri"/>
        <family val="2"/>
      </rPr>
      <t>µ</t>
    </r>
    <r>
      <rPr>
        <b/>
        <sz val="11"/>
        <color theme="1"/>
        <rFont val="Calibri"/>
        <family val="2"/>
        <scheme val="minor"/>
      </rPr>
      <t>g/(m</t>
    </r>
    <r>
      <rPr>
        <b/>
        <vertAlign val="superscript"/>
        <sz val="11"/>
        <color theme="1"/>
        <rFont val="Calibri"/>
        <family val="2"/>
        <scheme val="minor"/>
      </rPr>
      <t>2</t>
    </r>
    <r>
      <rPr>
        <b/>
        <sz val="11"/>
        <color theme="1"/>
        <rFont val="Calibri"/>
        <family val="2"/>
        <scheme val="minor"/>
      </rPr>
      <t>*min))</t>
    </r>
  </si>
  <si>
    <r>
      <t>Max. Flux Density (</t>
    </r>
    <r>
      <rPr>
        <b/>
        <sz val="11"/>
        <color theme="1"/>
        <rFont val="Calibri"/>
        <family val="2"/>
      </rPr>
      <t>µ</t>
    </r>
    <r>
      <rPr>
        <b/>
        <sz val="11"/>
        <color theme="1"/>
        <rFont val="Calibri"/>
        <family val="2"/>
        <scheme val="minor"/>
      </rPr>
      <t>g/(m</t>
    </r>
    <r>
      <rPr>
        <b/>
        <vertAlign val="superscript"/>
        <sz val="11"/>
        <color theme="1"/>
        <rFont val="Calibri"/>
        <family val="2"/>
        <scheme val="minor"/>
      </rPr>
      <t>2</t>
    </r>
    <r>
      <rPr>
        <b/>
        <sz val="11"/>
        <color theme="1"/>
        <rFont val="Calibri"/>
        <family val="2"/>
        <scheme val="minor"/>
      </rPr>
      <t>*min))</t>
    </r>
  </si>
  <si>
    <t>1. Since the surfaces of the ASPs were not measured while under negative aeration during the sampling, emissions from the surfaces of the ASPs (uncaptured by negative aeration) are back-calculated assuming a 98% capture efficiency of the negative aeration system, 95% control efficiency for the biofilter, and 75% control efficiency for the biofilter layer on the ASP.</t>
  </si>
  <si>
    <t>Chloromethane</t>
  </si>
  <si>
    <t>Model Conc.</t>
  </si>
  <si>
    <r>
      <t>(</t>
    </r>
    <r>
      <rPr>
        <b/>
        <sz val="11"/>
        <color theme="1"/>
        <rFont val="Calibri"/>
        <family val="2"/>
      </rPr>
      <t>µ</t>
    </r>
    <r>
      <rPr>
        <b/>
        <sz val="11"/>
        <color theme="1"/>
        <rFont val="Calibri"/>
        <family val="2"/>
        <scheme val="minor"/>
      </rPr>
      <t>g/m</t>
    </r>
    <r>
      <rPr>
        <b/>
        <vertAlign val="superscript"/>
        <sz val="11"/>
        <color theme="1"/>
        <rFont val="Calibri"/>
        <family val="2"/>
        <scheme val="minor"/>
      </rPr>
      <t>3</t>
    </r>
    <r>
      <rPr>
        <b/>
        <sz val="11"/>
        <color theme="1"/>
        <rFont val="Calibri"/>
        <family val="2"/>
        <scheme val="minor"/>
      </rPr>
      <t>)</t>
    </r>
  </si>
  <si>
    <t>Current ASIL</t>
  </si>
  <si>
    <t>Future ASIL</t>
  </si>
  <si>
    <t>% of Current ASIL</t>
  </si>
  <si>
    <t>% of Future ASIL</t>
  </si>
  <si>
    <t>--</t>
  </si>
  <si>
    <t>Project and Facility-wide HAP Emissions</t>
  </si>
  <si>
    <t>Increase in Potential Total HAP Emissions (tpy)</t>
  </si>
  <si>
    <t>Facility-wide Potential Total HAP Emissions (tpy)</t>
  </si>
  <si>
    <t>Increase in Potential Single HAP (Methanol) Emissions (tpy)</t>
  </si>
  <si>
    <t>Facility-wide Potential Single HAP (Methanol) Emissions (tpy)</t>
  </si>
  <si>
    <t>uncaptured emissions from existing 75k</t>
  </si>
  <si>
    <t>uncontrolled VOC of existing 75k, lbs (90% of uncontrolled emissions - other 10% is in windrows)</t>
  </si>
  <si>
    <t>emissions from existing 75k assuming 95% control and 98% capture</t>
  </si>
  <si>
    <t>From Existing 75k Biofilters</t>
  </si>
  <si>
    <t>From Existing 75k ASP directly (part that doesn't go to biofilter, but comes out throught the 1-foor of biofilter cover on the ASP)</t>
  </si>
  <si>
    <t>Assumes a 75% control by the biofilter cover on the 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</si>
</sst>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00"/>
    <numFmt numFmtId="166" formatCode="0.0"/>
    <numFmt numFmtId="167" formatCode="_(* #,##0_);_(* \(#,##0\);_(* &quot;-&quot;??_);_(@_)"/>
    <numFmt numFmtId="168" formatCode="0.000E+00"/>
    <numFmt numFmtId="169" formatCode="0.0000"/>
    <numFmt numFmtId="170" formatCode="_(* #,##0.00000_);_(* \(#,##0.00000\);_(* &quot;-&quot;??_);_(@_)"/>
    <numFmt numFmtId="172" formatCode="_(* #,##0.0_);_(* \(#,##0.0\);_(* &quot;-&quot;?_);_(@_)"/>
  </numFmts>
  <fonts count="29" x14ac:knownFonts="1">
    <font>
      <sz val="11"/>
      <color theme="1"/>
      <name val="Calibri"/>
      <family val="2"/>
      <scheme val="minor"/>
    </font>
    <font>
      <sz val="11"/>
      <name val="Calibri"/>
      <family val="2"/>
      <scheme val="minor"/>
    </font>
    <font>
      <b/>
      <sz val="11"/>
      <color theme="1"/>
      <name val="Calibri"/>
      <family val="2"/>
      <scheme val="minor"/>
    </font>
    <font>
      <b/>
      <sz val="11"/>
      <name val="Calibri"/>
      <family val="2"/>
      <scheme val="minor"/>
    </font>
    <font>
      <sz val="11"/>
      <color theme="1"/>
      <name val="Calibri"/>
      <family val="2"/>
      <scheme val="minor"/>
    </font>
    <font>
      <sz val="10"/>
      <name val="Arial"/>
      <family val="2"/>
    </font>
    <font>
      <b/>
      <sz val="22"/>
      <color theme="1"/>
      <name val="Calibri"/>
      <family val="2"/>
      <scheme val="minor"/>
    </font>
    <font>
      <b/>
      <sz val="16"/>
      <color rgb="FF7F7F7F"/>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b/>
      <sz val="11"/>
      <color rgb="FF008EAA"/>
      <name val="Calibri"/>
      <family val="2"/>
      <scheme val="minor"/>
    </font>
    <font>
      <u/>
      <sz val="9"/>
      <color theme="10"/>
      <name val="Calibri"/>
      <family val="2"/>
      <scheme val="minor"/>
    </font>
    <font>
      <sz val="10"/>
      <color indexed="8"/>
      <name val="Arial"/>
      <family val="2"/>
    </font>
    <font>
      <u/>
      <sz val="10"/>
      <color rgb="FF0000FF"/>
      <name val="Arial"/>
      <family val="2"/>
    </font>
    <font>
      <sz val="11"/>
      <color rgb="FFFF0000"/>
      <name val="Calibri"/>
      <family val="2"/>
      <scheme val="minor"/>
    </font>
    <font>
      <sz val="9"/>
      <color indexed="81"/>
      <name val="Tahoma"/>
      <family val="2"/>
    </font>
    <font>
      <sz val="11"/>
      <color theme="5"/>
      <name val="Calibri"/>
      <family val="2"/>
      <scheme val="minor"/>
    </font>
    <font>
      <b/>
      <sz val="10"/>
      <name val="MS Sans Serif"/>
      <family val="2"/>
    </font>
    <font>
      <b/>
      <sz val="9"/>
      <color indexed="81"/>
      <name val="Tahoma"/>
      <family val="2"/>
    </font>
    <font>
      <sz val="10"/>
      <name val="MS Sans Serif"/>
      <family val="2"/>
    </font>
    <font>
      <sz val="9"/>
      <color indexed="8"/>
      <name val="Arial"/>
      <family val="2"/>
    </font>
    <font>
      <sz val="9"/>
      <name val="Arial"/>
      <family val="2"/>
    </font>
    <font>
      <sz val="9"/>
      <color theme="1"/>
      <name val="Calibri"/>
      <family val="2"/>
      <scheme val="minor"/>
    </font>
    <font>
      <b/>
      <vertAlign val="superscript"/>
      <sz val="11"/>
      <color theme="1"/>
      <name val="Calibri"/>
      <family val="2"/>
      <scheme val="minor"/>
    </font>
    <font>
      <sz val="11"/>
      <color rgb="FF3F3F76"/>
      <name val="Calibri"/>
      <family val="2"/>
      <scheme val="minor"/>
    </font>
    <font>
      <vertAlign val="superscript"/>
      <sz val="11"/>
      <color theme="1"/>
      <name val="Calibri"/>
      <family val="2"/>
      <scheme val="minor"/>
    </font>
    <font>
      <b/>
      <sz val="11"/>
      <color theme="1"/>
      <name val="Calibri"/>
      <family val="2"/>
    </font>
  </fonts>
  <fills count="10">
    <fill>
      <patternFill patternType="none"/>
    </fill>
    <fill>
      <patternFill patternType="gray125"/>
    </fill>
    <fill>
      <patternFill patternType="solid">
        <fgColor rgb="FFFFFF00"/>
        <bgColor indexed="64"/>
      </patternFill>
    </fill>
    <fill>
      <patternFill patternType="solid">
        <fgColor rgb="FFD1EAFF"/>
        <bgColor indexed="64"/>
      </patternFill>
    </fill>
    <fill>
      <patternFill patternType="solid">
        <fgColor rgb="FFFFEDC1"/>
        <bgColor indexed="64"/>
      </patternFill>
    </fill>
    <fill>
      <patternFill patternType="solid">
        <fgColor rgb="FFEAF8D8"/>
        <bgColor indexed="64"/>
      </patternFill>
    </fill>
    <fill>
      <patternFill patternType="solid">
        <fgColor rgb="FFFFFFCC"/>
        <bgColor indexed="64"/>
      </patternFill>
    </fill>
    <fill>
      <patternFill patternType="solid">
        <fgColor rgb="FF00B050"/>
        <bgColor indexed="64"/>
      </patternFill>
    </fill>
    <fill>
      <patternFill patternType="solid">
        <fgColor rgb="FFFFCC99"/>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ck">
        <color indexed="64"/>
      </bottom>
      <diagonal/>
    </border>
  </borders>
  <cellStyleXfs count="24">
    <xf numFmtId="0" fontId="0" fillId="0" borderId="0"/>
    <xf numFmtId="43" fontId="4" fillId="0" borderId="0" applyFont="0" applyFill="0" applyBorder="0" applyAlignment="0" applyProtection="0"/>
    <xf numFmtId="0" fontId="15" fillId="0" borderId="0" applyNumberFormat="0" applyFill="0" applyBorder="0" applyAlignment="0" applyProtection="0"/>
    <xf numFmtId="0" fontId="6" fillId="0" borderId="0" applyNumberFormat="0" applyFill="0" applyBorder="0" applyProtection="0">
      <alignment horizontal="right" vertical="center"/>
    </xf>
    <xf numFmtId="0" fontId="7" fillId="0" borderId="0" applyNumberFormat="0" applyFill="0" applyBorder="0" applyProtection="0">
      <alignment horizontal="right" vertical="center"/>
    </xf>
    <xf numFmtId="0" fontId="11" fillId="0" borderId="0" applyNumberFormat="0" applyFill="0" applyBorder="0" applyProtection="0">
      <alignment vertical="center"/>
    </xf>
    <xf numFmtId="0" fontId="8" fillId="0" borderId="0" applyNumberFormat="0" applyFill="0" applyBorder="0" applyProtection="0">
      <alignment vertical="center"/>
    </xf>
    <xf numFmtId="0" fontId="13" fillId="0" borderId="0" applyNumberFormat="0" applyFill="0" applyBorder="0" applyProtection="0">
      <alignment vertical="center"/>
    </xf>
    <xf numFmtId="0" fontId="9" fillId="0" borderId="0" applyNumberFormat="0" applyFill="0" applyBorder="0" applyProtection="0">
      <alignment vertical="center"/>
    </xf>
    <xf numFmtId="0" fontId="10" fillId="0" borderId="0" applyNumberFormat="0" applyFill="0" applyBorder="0" applyProtection="0">
      <alignment vertical="center"/>
    </xf>
    <xf numFmtId="0" fontId="4" fillId="3" borderId="0" applyNumberFormat="0" applyFont="0" applyBorder="0" applyAlignment="0" applyProtection="0">
      <alignment vertical="center"/>
    </xf>
    <xf numFmtId="0" fontId="4" fillId="4" borderId="0" applyNumberFormat="0" applyFont="0" applyBorder="0" applyAlignment="0" applyProtection="0">
      <alignment vertical="center"/>
    </xf>
    <xf numFmtId="0" fontId="4" fillId="5" borderId="0" applyNumberFormat="0" applyFont="0" applyBorder="0" applyAlignment="0" applyProtection="0">
      <alignment vertical="center"/>
    </xf>
    <xf numFmtId="0" fontId="4" fillId="6" borderId="0" applyNumberFormat="0" applyFont="0" applyBorder="0" applyAlignment="0" applyProtection="0">
      <alignment vertical="center"/>
    </xf>
    <xf numFmtId="0" fontId="12" fillId="0" borderId="0" applyNumberFormat="0" applyBorder="0" applyAlignment="0" applyProtection="0">
      <alignment vertical="center"/>
    </xf>
    <xf numFmtId="0" fontId="11" fillId="0" borderId="0" applyNumberFormat="0" applyFill="0" applyBorder="0" applyProtection="0">
      <alignment horizontal="right"/>
    </xf>
    <xf numFmtId="0" fontId="5" fillId="6" borderId="0" applyFont="0" applyBorder="0" applyAlignment="0" applyProtection="0">
      <alignment horizontal="left"/>
    </xf>
    <xf numFmtId="0" fontId="5" fillId="0" borderId="0"/>
    <xf numFmtId="0" fontId="5" fillId="4" borderId="0" applyFont="0" applyBorder="0" applyAlignment="0" applyProtection="0"/>
    <xf numFmtId="43" fontId="5" fillId="0" borderId="0" applyFont="0" applyFill="0" applyBorder="0" applyAlignment="0" applyProtection="0"/>
    <xf numFmtId="0" fontId="14" fillId="0" borderId="0"/>
    <xf numFmtId="0" fontId="4" fillId="0" borderId="0"/>
    <xf numFmtId="9" fontId="4" fillId="0" borderId="0" applyFont="0" applyFill="0" applyBorder="0" applyAlignment="0" applyProtection="0"/>
    <xf numFmtId="0" fontId="26" fillId="8" borderId="17" applyNumberFormat="0" applyAlignment="0" applyProtection="0"/>
  </cellStyleXfs>
  <cellXfs count="207">
    <xf numFmtId="0" fontId="0" fillId="0" borderId="0" xfId="0"/>
    <xf numFmtId="0" fontId="1" fillId="0" borderId="0" xfId="0" applyFont="1"/>
    <xf numFmtId="0" fontId="0" fillId="0" borderId="0" xfId="0" applyFill="1"/>
    <xf numFmtId="165" fontId="1" fillId="0" borderId="0" xfId="0" applyNumberFormat="1" applyFont="1" applyFill="1"/>
    <xf numFmtId="166" fontId="0" fillId="0" borderId="0" xfId="0" applyNumberFormat="1" applyFill="1"/>
    <xf numFmtId="0" fontId="2" fillId="0" borderId="0" xfId="0" applyFont="1"/>
    <xf numFmtId="0" fontId="2" fillId="0" borderId="0" xfId="0" applyFont="1" applyFill="1"/>
    <xf numFmtId="166" fontId="0" fillId="0" borderId="0" xfId="0" applyNumberFormat="1" applyFont="1" applyFill="1"/>
    <xf numFmtId="166" fontId="2" fillId="0" borderId="0" xfId="0" applyNumberFormat="1" applyFont="1" applyFill="1"/>
    <xf numFmtId="2" fontId="0" fillId="0" borderId="0" xfId="0" applyNumberFormat="1" applyFill="1"/>
    <xf numFmtId="166" fontId="0" fillId="0" borderId="0" xfId="0" applyNumberFormat="1"/>
    <xf numFmtId="0" fontId="0" fillId="2" borderId="0" xfId="0" applyFill="1"/>
    <xf numFmtId="0" fontId="3" fillId="0" borderId="0" xfId="0" applyFont="1" applyFill="1"/>
    <xf numFmtId="0" fontId="1" fillId="0" borderId="0" xfId="0" applyFont="1" applyFill="1"/>
    <xf numFmtId="43" fontId="0" fillId="0" borderId="0" xfId="0" applyNumberFormat="1"/>
    <xf numFmtId="0" fontId="0" fillId="0" borderId="0" xfId="0"/>
    <xf numFmtId="43" fontId="0" fillId="0" borderId="0" xfId="0" applyNumberFormat="1" applyFill="1"/>
    <xf numFmtId="0" fontId="16" fillId="0" borderId="0" xfId="0" applyFont="1" applyFill="1"/>
    <xf numFmtId="167" fontId="0" fillId="0" borderId="0" xfId="0" applyNumberFormat="1"/>
    <xf numFmtId="164" fontId="0" fillId="0" borderId="0" xfId="0" applyNumberFormat="1"/>
    <xf numFmtId="0" fontId="18" fillId="0" borderId="0" xfId="0" applyFont="1"/>
    <xf numFmtId="0" fontId="2" fillId="0" borderId="0" xfId="0" applyFont="1" applyAlignment="1">
      <alignment horizontal="center"/>
    </xf>
    <xf numFmtId="0" fontId="2" fillId="0" borderId="0" xfId="0" applyFont="1" applyAlignment="1">
      <alignment horizontal="center" wrapText="1"/>
    </xf>
    <xf numFmtId="0" fontId="0" fillId="0" borderId="0" xfId="0" applyAlignment="1">
      <alignment horizontal="center"/>
    </xf>
    <xf numFmtId="169" fontId="0" fillId="0" borderId="0" xfId="0" applyNumberFormat="1"/>
    <xf numFmtId="165" fontId="0" fillId="0" borderId="0" xfId="0" applyNumberFormat="1"/>
    <xf numFmtId="2" fontId="0" fillId="0" borderId="0" xfId="0" applyNumberFormat="1"/>
    <xf numFmtId="0" fontId="2" fillId="0" borderId="2" xfId="0" applyFont="1" applyBorder="1" applyAlignment="1">
      <alignment horizontal="center" wrapText="1"/>
    </xf>
    <xf numFmtId="0" fontId="2" fillId="0" borderId="3" xfId="0" applyFont="1" applyBorder="1" applyAlignment="1">
      <alignment horizontal="center" wrapText="1"/>
    </xf>
    <xf numFmtId="2" fontId="0" fillId="0" borderId="4" xfId="0" applyNumberFormat="1" applyBorder="1" applyAlignment="1">
      <alignment horizontal="center"/>
    </xf>
    <xf numFmtId="2" fontId="0" fillId="0" borderId="5" xfId="0" applyNumberFormat="1" applyBorder="1" applyAlignment="1">
      <alignment horizontal="center"/>
    </xf>
    <xf numFmtId="2" fontId="0" fillId="0" borderId="0" xfId="0" applyNumberFormat="1"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2" fontId="0" fillId="0" borderId="2" xfId="0" applyNumberFormat="1" applyBorder="1" applyAlignment="1">
      <alignment horizontal="center"/>
    </xf>
    <xf numFmtId="2" fontId="0" fillId="0" borderId="3" xfId="0" applyNumberFormat="1" applyBorder="1" applyAlignment="1">
      <alignment horizontal="center"/>
    </xf>
    <xf numFmtId="0" fontId="2" fillId="0" borderId="1"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wrapText="1"/>
    </xf>
    <xf numFmtId="0" fontId="19" fillId="0" borderId="0" xfId="0" applyFont="1" applyAlignment="1">
      <alignment horizontal="center"/>
    </xf>
    <xf numFmtId="0" fontId="1" fillId="0" borderId="0" xfId="0" applyFont="1" applyAlignment="1">
      <alignment wrapText="1"/>
    </xf>
    <xf numFmtId="1" fontId="0" fillId="0" borderId="0" xfId="0" applyNumberFormat="1"/>
    <xf numFmtId="169" fontId="0" fillId="0" borderId="0" xfId="0" applyNumberFormat="1" applyFill="1"/>
    <xf numFmtId="0" fontId="16" fillId="0" borderId="0" xfId="0" applyFont="1"/>
    <xf numFmtId="0" fontId="16" fillId="0" borderId="0" xfId="0" applyFont="1" applyFill="1" applyAlignment="1"/>
    <xf numFmtId="0" fontId="0" fillId="0" borderId="0" xfId="0" applyAlignment="1">
      <alignment horizontal="right"/>
    </xf>
    <xf numFmtId="0" fontId="0" fillId="0" borderId="0" xfId="0" applyAlignment="1"/>
    <xf numFmtId="0" fontId="21" fillId="0" borderId="0" xfId="0" applyFont="1" applyAlignment="1">
      <alignment horizontal="center"/>
    </xf>
    <xf numFmtId="0" fontId="0" fillId="0" borderId="0" xfId="0" applyFont="1" applyAlignment="1"/>
    <xf numFmtId="0" fontId="22" fillId="0" borderId="0" xfId="0" applyFont="1" applyAlignment="1">
      <alignment vertical="top" wrapText="1"/>
    </xf>
    <xf numFmtId="0" fontId="22" fillId="0" borderId="0" xfId="0" applyFont="1" applyAlignment="1">
      <alignment horizontal="center" vertical="top" wrapText="1"/>
    </xf>
    <xf numFmtId="0" fontId="22" fillId="0" borderId="0" xfId="0" applyFont="1" applyAlignment="1">
      <alignment horizontal="right" vertical="top" wrapText="1"/>
    </xf>
    <xf numFmtId="11" fontId="22" fillId="0" borderId="0" xfId="0" applyNumberFormat="1" applyFont="1" applyAlignment="1">
      <alignment horizontal="center" vertical="top" wrapText="1"/>
    </xf>
    <xf numFmtId="0" fontId="22" fillId="0" borderId="0" xfId="0" applyFont="1" applyAlignment="1">
      <alignment wrapText="1"/>
    </xf>
    <xf numFmtId="0" fontId="22" fillId="0" borderId="0" xfId="0" applyFont="1" applyAlignment="1">
      <alignment horizontal="center" wrapText="1"/>
    </xf>
    <xf numFmtId="0" fontId="22" fillId="0" borderId="0" xfId="0" applyFont="1" applyAlignment="1">
      <alignment horizontal="right" wrapText="1"/>
    </xf>
    <xf numFmtId="11" fontId="22" fillId="0" borderId="0" xfId="0" applyNumberFormat="1" applyFont="1" applyAlignment="1">
      <alignment horizontal="center" wrapText="1"/>
    </xf>
    <xf numFmtId="11" fontId="22" fillId="0" borderId="0" xfId="0" applyNumberFormat="1" applyFont="1" applyAlignment="1">
      <alignment horizontal="right" vertical="top" wrapText="1"/>
    </xf>
    <xf numFmtId="11" fontId="22" fillId="0" borderId="0" xfId="0" applyNumberFormat="1" applyFont="1" applyAlignment="1">
      <alignment horizontal="right" wrapText="1"/>
    </xf>
    <xf numFmtId="49" fontId="22" fillId="0" borderId="0" xfId="0" applyNumberFormat="1" applyFont="1" applyAlignment="1">
      <alignment horizontal="center" vertical="top" wrapText="1"/>
    </xf>
    <xf numFmtId="49" fontId="22" fillId="0" borderId="0" xfId="0" applyNumberFormat="1" applyFont="1" applyAlignment="1">
      <alignment horizontal="center" wrapText="1"/>
    </xf>
    <xf numFmtId="0" fontId="23" fillId="0" borderId="0" xfId="0" applyFont="1" applyAlignment="1">
      <alignment horizontal="center"/>
    </xf>
    <xf numFmtId="0" fontId="23" fillId="0" borderId="0" xfId="0" applyFont="1" applyAlignment="1">
      <alignment horizontal="left" vertical="top" wrapText="1"/>
    </xf>
    <xf numFmtId="0" fontId="0" fillId="0" borderId="12" xfId="0" applyBorder="1"/>
    <xf numFmtId="0" fontId="2" fillId="0" borderId="0" xfId="0" applyFont="1" applyFill="1" applyAlignment="1">
      <alignment horizontal="center"/>
    </xf>
    <xf numFmtId="0" fontId="1" fillId="0" borderId="12" xfId="0" applyFont="1" applyBorder="1"/>
    <xf numFmtId="0" fontId="2" fillId="0" borderId="0" xfId="0" applyFont="1" applyAlignment="1">
      <alignment horizontal="center"/>
    </xf>
    <xf numFmtId="0" fontId="0" fillId="0" borderId="0" xfId="0" applyBorder="1"/>
    <xf numFmtId="0" fontId="2" fillId="0" borderId="0" xfId="0" applyFont="1" applyBorder="1"/>
    <xf numFmtId="0" fontId="24" fillId="0" borderId="0" xfId="0" applyFont="1"/>
    <xf numFmtId="2" fontId="0" fillId="0" borderId="0" xfId="0" applyNumberFormat="1" applyAlignment="1">
      <alignment horizontal="center"/>
    </xf>
    <xf numFmtId="0" fontId="1" fillId="2" borderId="0" xfId="0" applyFont="1" applyFill="1"/>
    <xf numFmtId="0" fontId="2" fillId="0" borderId="5" xfId="0" applyFont="1" applyBorder="1" applyAlignment="1">
      <alignment horizontal="center"/>
    </xf>
    <xf numFmtId="0" fontId="2" fillId="0" borderId="14"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0" fillId="0" borderId="9" xfId="0" applyBorder="1"/>
    <xf numFmtId="0" fontId="2" fillId="0" borderId="11" xfId="0" applyFont="1"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0" borderId="15" xfId="0" applyBorder="1"/>
    <xf numFmtId="0" fontId="0" fillId="0" borderId="14" xfId="0" applyBorder="1"/>
    <xf numFmtId="0" fontId="2" fillId="0" borderId="16" xfId="0" applyFont="1" applyBorder="1" applyAlignment="1">
      <alignment horizontal="center"/>
    </xf>
    <xf numFmtId="0" fontId="1" fillId="7" borderId="0" xfId="0" applyFont="1" applyFill="1"/>
    <xf numFmtId="3" fontId="0" fillId="0" borderId="10" xfId="0" applyNumberFormat="1" applyBorder="1" applyAlignment="1">
      <alignment horizontal="center"/>
    </xf>
    <xf numFmtId="3" fontId="0" fillId="0" borderId="11" xfId="0" applyNumberFormat="1" applyBorder="1" applyAlignment="1">
      <alignment horizontal="center"/>
    </xf>
    <xf numFmtId="3" fontId="0" fillId="0" borderId="10" xfId="0" applyNumberFormat="1" applyFill="1" applyBorder="1" applyAlignment="1">
      <alignment horizontal="center"/>
    </xf>
    <xf numFmtId="165" fontId="0" fillId="0" borderId="14" xfId="0" applyNumberFormat="1" applyBorder="1" applyAlignment="1">
      <alignment horizontal="center"/>
    </xf>
    <xf numFmtId="0" fontId="0" fillId="0" borderId="0" xfId="0" quotePrefix="1" applyFill="1" applyBorder="1" applyAlignment="1">
      <alignment horizontal="center"/>
    </xf>
    <xf numFmtId="0" fontId="0" fillId="0" borderId="7" xfId="0" quotePrefix="1" applyFill="1" applyBorder="1" applyAlignment="1">
      <alignment horizontal="center"/>
    </xf>
    <xf numFmtId="170" fontId="0" fillId="0" borderId="0" xfId="0" applyNumberFormat="1"/>
    <xf numFmtId="165" fontId="0" fillId="0" borderId="7" xfId="0" applyNumberFormat="1" applyBorder="1" applyAlignment="1">
      <alignment horizontal="center"/>
    </xf>
    <xf numFmtId="0" fontId="0" fillId="0" borderId="13" xfId="0" applyBorder="1" applyAlignment="1">
      <alignment horizontal="center"/>
    </xf>
    <xf numFmtId="2" fontId="0" fillId="0" borderId="4" xfId="0" quotePrefix="1" applyNumberFormat="1" applyBorder="1" applyAlignment="1">
      <alignment horizontal="center"/>
    </xf>
    <xf numFmtId="0" fontId="0" fillId="0" borderId="4" xfId="0" quotePrefix="1" applyFill="1" applyBorder="1" applyAlignment="1">
      <alignment horizontal="center"/>
    </xf>
    <xf numFmtId="2" fontId="0" fillId="0" borderId="5" xfId="0" quotePrefix="1" applyNumberFormat="1" applyBorder="1" applyAlignment="1">
      <alignment horizontal="center"/>
    </xf>
    <xf numFmtId="2" fontId="0" fillId="0" borderId="13" xfId="0" applyNumberFormat="1" applyBorder="1" applyAlignment="1">
      <alignment horizontal="center"/>
    </xf>
    <xf numFmtId="0" fontId="0" fillId="0" borderId="4" xfId="0" applyBorder="1" applyAlignment="1">
      <alignment horizontal="center"/>
    </xf>
    <xf numFmtId="10" fontId="0" fillId="0" borderId="5" xfId="22" applyNumberFormat="1" applyFont="1" applyBorder="1" applyAlignment="1">
      <alignment horizontal="center"/>
    </xf>
    <xf numFmtId="0" fontId="0" fillId="0" borderId="14" xfId="0" applyFill="1" applyBorder="1" applyAlignment="1">
      <alignment horizontal="center"/>
    </xf>
    <xf numFmtId="2" fontId="0" fillId="0" borderId="7" xfId="0" quotePrefix="1" applyNumberFormat="1" applyBorder="1" applyAlignment="1">
      <alignment horizontal="center"/>
    </xf>
    <xf numFmtId="2" fontId="0" fillId="0" borderId="8" xfId="0" quotePrefix="1" applyNumberFormat="1" applyBorder="1" applyAlignment="1">
      <alignment horizontal="center"/>
    </xf>
    <xf numFmtId="10" fontId="0" fillId="0" borderId="8" xfId="22" applyNumberFormat="1" applyFont="1" applyBorder="1" applyAlignment="1">
      <alignment horizontal="center"/>
    </xf>
    <xf numFmtId="0" fontId="2" fillId="0" borderId="13" xfId="0" applyFont="1" applyFill="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2" fillId="0" borderId="4" xfId="0" applyFont="1" applyFill="1" applyBorder="1" applyAlignment="1">
      <alignment horizontal="center"/>
    </xf>
    <xf numFmtId="0" fontId="2" fillId="0" borderId="11" xfId="0" applyFont="1" applyFill="1" applyBorder="1" applyAlignment="1">
      <alignment horizontal="center"/>
    </xf>
    <xf numFmtId="0" fontId="2" fillId="0" borderId="14" xfId="0" applyFont="1" applyFill="1" applyBorder="1" applyAlignment="1">
      <alignment horizontal="center"/>
    </xf>
    <xf numFmtId="0" fontId="2" fillId="0" borderId="8" xfId="0" applyFont="1" applyFill="1" applyBorder="1" applyAlignment="1">
      <alignment horizontal="center"/>
    </xf>
    <xf numFmtId="0" fontId="2" fillId="0" borderId="7" xfId="0" applyFont="1" applyFill="1" applyBorder="1" applyAlignment="1">
      <alignment horizontal="center"/>
    </xf>
    <xf numFmtId="0" fontId="2" fillId="0" borderId="9" xfId="0" applyFont="1" applyFill="1" applyBorder="1" applyAlignment="1">
      <alignment horizontal="center"/>
    </xf>
    <xf numFmtId="10" fontId="0" fillId="0" borderId="10" xfId="22" applyNumberFormat="1" applyFont="1" applyBorder="1" applyAlignment="1">
      <alignment horizontal="center"/>
    </xf>
    <xf numFmtId="10" fontId="0" fillId="0" borderId="11" xfId="22" applyNumberFormat="1" applyFont="1" applyBorder="1" applyAlignment="1">
      <alignment horizontal="center"/>
    </xf>
    <xf numFmtId="0" fontId="0" fillId="9" borderId="0" xfId="0" applyFill="1"/>
    <xf numFmtId="0" fontId="3" fillId="9" borderId="0" xfId="0" applyFont="1" applyFill="1"/>
    <xf numFmtId="2" fontId="1" fillId="9" borderId="0" xfId="0" applyNumberFormat="1" applyFont="1" applyFill="1"/>
    <xf numFmtId="2" fontId="1" fillId="9" borderId="0" xfId="0" applyNumberFormat="1" applyFont="1" applyFill="1" applyAlignment="1">
      <alignment horizontal="right"/>
    </xf>
    <xf numFmtId="165" fontId="0" fillId="0" borderId="0" xfId="0" applyNumberFormat="1" applyFill="1"/>
    <xf numFmtId="0" fontId="2" fillId="9" borderId="0" xfId="0" applyFont="1" applyFill="1"/>
    <xf numFmtId="0" fontId="26" fillId="8" borderId="17" xfId="23"/>
    <xf numFmtId="166" fontId="26" fillId="8" borderId="17" xfId="23" applyNumberFormat="1"/>
    <xf numFmtId="166" fontId="0" fillId="9" borderId="0" xfId="0" applyNumberFormat="1" applyFill="1"/>
    <xf numFmtId="0" fontId="2" fillId="0" borderId="2" xfId="0" applyFont="1" applyBorder="1" applyAlignment="1">
      <alignment horizontal="center"/>
    </xf>
    <xf numFmtId="0" fontId="2" fillId="0" borderId="3" xfId="0" applyFont="1" applyBorder="1" applyAlignment="1">
      <alignment horizontal="center"/>
    </xf>
    <xf numFmtId="14" fontId="0" fillId="0" borderId="13" xfId="0" applyNumberFormat="1" applyBorder="1"/>
    <xf numFmtId="0" fontId="0" fillId="0" borderId="4" xfId="0" applyBorder="1"/>
    <xf numFmtId="0" fontId="0" fillId="0" borderId="5" xfId="0" applyBorder="1"/>
    <xf numFmtId="14" fontId="0" fillId="0" borderId="15" xfId="0" applyNumberFormat="1" applyBorder="1"/>
    <xf numFmtId="0" fontId="0" fillId="0" borderId="6" xfId="0" applyBorder="1"/>
    <xf numFmtId="14" fontId="0" fillId="0" borderId="14" xfId="0" applyNumberFormat="1" applyBorder="1"/>
    <xf numFmtId="0" fontId="0" fillId="0" borderId="7" xfId="0" applyBorder="1"/>
    <xf numFmtId="0" fontId="0" fillId="0" borderId="8" xfId="0" applyBorder="1"/>
    <xf numFmtId="4" fontId="0" fillId="0" borderId="0" xfId="0" applyNumberFormat="1" applyBorder="1" applyAlignment="1">
      <alignment horizontal="center"/>
    </xf>
    <xf numFmtId="4" fontId="0" fillId="0" borderId="6" xfId="0" applyNumberFormat="1" applyBorder="1" applyAlignment="1">
      <alignment horizontal="center"/>
    </xf>
    <xf numFmtId="0" fontId="0" fillId="0" borderId="10" xfId="0" applyBorder="1"/>
    <xf numFmtId="0" fontId="0" fillId="0" borderId="11" xfId="0" applyBorder="1"/>
    <xf numFmtId="0" fontId="0" fillId="0" borderId="13" xfId="0" applyBorder="1"/>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13" xfId="0" applyFont="1" applyBorder="1"/>
    <xf numFmtId="0" fontId="2" fillId="0" borderId="14" xfId="0" applyFont="1" applyBorder="1"/>
    <xf numFmtId="0" fontId="2" fillId="0" borderId="1" xfId="0" applyFont="1" applyBorder="1" applyAlignment="1">
      <alignment horizontal="center" wrapText="1"/>
    </xf>
    <xf numFmtId="0" fontId="0" fillId="0" borderId="1" xfId="0" applyBorder="1" applyAlignment="1">
      <alignment horizontal="center"/>
    </xf>
    <xf numFmtId="0" fontId="0" fillId="0" borderId="1" xfId="0" applyFill="1" applyBorder="1" applyAlignment="1">
      <alignment horizontal="center"/>
    </xf>
    <xf numFmtId="2" fontId="0" fillId="0" borderId="16" xfId="0" quotePrefix="1" applyNumberFormat="1" applyBorder="1" applyAlignment="1">
      <alignment horizontal="center"/>
    </xf>
    <xf numFmtId="0" fontId="0" fillId="0" borderId="2" xfId="0" quotePrefix="1" applyFill="1" applyBorder="1" applyAlignment="1">
      <alignment horizontal="center"/>
    </xf>
    <xf numFmtId="2" fontId="0" fillId="0" borderId="2" xfId="0" quotePrefix="1" applyNumberFormat="1" applyBorder="1" applyAlignment="1">
      <alignment horizontal="center"/>
    </xf>
    <xf numFmtId="2" fontId="0" fillId="0" borderId="3" xfId="0" quotePrefix="1" applyNumberFormat="1" applyBorder="1" applyAlignment="1">
      <alignment horizontal="center"/>
    </xf>
    <xf numFmtId="2" fontId="0" fillId="0" borderId="9" xfId="0" applyNumberFormat="1" applyBorder="1" applyAlignment="1">
      <alignment horizontal="center"/>
    </xf>
    <xf numFmtId="2" fontId="0" fillId="0" borderId="11" xfId="0" applyNumberFormat="1" applyBorder="1" applyAlignment="1">
      <alignment horizontal="center"/>
    </xf>
    <xf numFmtId="11" fontId="0" fillId="0" borderId="0" xfId="0" applyNumberFormat="1"/>
    <xf numFmtId="2" fontId="0" fillId="0" borderId="16" xfId="0" applyNumberFormat="1" applyBorder="1" applyAlignment="1">
      <alignment horizontal="center"/>
    </xf>
    <xf numFmtId="0" fontId="0" fillId="0" borderId="0" xfId="0" applyFont="1" applyAlignment="1">
      <alignment horizontal="center"/>
    </xf>
    <xf numFmtId="11" fontId="0" fillId="0" borderId="0" xfId="0" applyNumberFormat="1" applyAlignment="1">
      <alignment horizontal="center"/>
    </xf>
    <xf numFmtId="0" fontId="0" fillId="0" borderId="0" xfId="0" applyFill="1" applyAlignment="1">
      <alignment horizontal="center"/>
    </xf>
    <xf numFmtId="0" fontId="2" fillId="0" borderId="5" xfId="0" applyFont="1" applyBorder="1" applyAlignment="1">
      <alignment horizontal="center"/>
    </xf>
    <xf numFmtId="167" fontId="0" fillId="0" borderId="0" xfId="0" applyNumberFormat="1" applyFill="1"/>
    <xf numFmtId="167" fontId="1" fillId="0" borderId="0" xfId="1" applyNumberFormat="1" applyFont="1" applyFill="1"/>
    <xf numFmtId="167" fontId="1" fillId="0" borderId="0" xfId="1" applyNumberFormat="1" applyFont="1"/>
    <xf numFmtId="43" fontId="1" fillId="0" borderId="0" xfId="0" applyNumberFormat="1" applyFont="1"/>
    <xf numFmtId="166" fontId="1" fillId="0" borderId="0" xfId="0" applyNumberFormat="1" applyFont="1" applyFill="1"/>
    <xf numFmtId="2" fontId="1" fillId="0" borderId="0" xfId="0" applyNumberFormat="1" applyFont="1" applyFill="1"/>
    <xf numFmtId="168" fontId="0" fillId="0" borderId="0" xfId="0" applyNumberFormat="1" applyFill="1"/>
    <xf numFmtId="11" fontId="0" fillId="0" borderId="0" xfId="0" applyNumberFormat="1" applyFill="1"/>
    <xf numFmtId="43" fontId="1" fillId="0" borderId="0" xfId="0" applyNumberFormat="1" applyFont="1" applyFill="1"/>
    <xf numFmtId="167" fontId="1" fillId="0" borderId="0" xfId="0" applyNumberFormat="1" applyFont="1" applyFill="1"/>
    <xf numFmtId="168" fontId="1" fillId="0" borderId="0" xfId="0" applyNumberFormat="1" applyFont="1" applyFill="1"/>
    <xf numFmtId="11" fontId="1" fillId="0" borderId="0" xfId="0" applyNumberFormat="1" applyFont="1" applyFill="1"/>
    <xf numFmtId="11" fontId="0" fillId="0" borderId="15" xfId="0" applyNumberFormat="1" applyBorder="1" applyAlignment="1">
      <alignment horizontal="center"/>
    </xf>
    <xf numFmtId="11" fontId="0" fillId="0" borderId="0" xfId="0" applyNumberFormat="1" applyBorder="1" applyAlignment="1">
      <alignment horizontal="center"/>
    </xf>
    <xf numFmtId="11" fontId="0" fillId="0" borderId="6" xfId="0" applyNumberFormat="1" applyBorder="1" applyAlignment="1">
      <alignment horizontal="center"/>
    </xf>
    <xf numFmtId="0" fontId="0" fillId="0" borderId="4" xfId="0" applyFont="1" applyBorder="1" applyAlignment="1">
      <alignment horizontal="center"/>
    </xf>
    <xf numFmtId="2" fontId="0" fillId="0" borderId="4" xfId="0" applyNumberFormat="1" applyFont="1" applyBorder="1" applyAlignment="1">
      <alignment horizontal="center"/>
    </xf>
    <xf numFmtId="0" fontId="0" fillId="0" borderId="4" xfId="0" applyFont="1" applyFill="1" applyBorder="1" applyAlignment="1">
      <alignment horizontal="center"/>
    </xf>
    <xf numFmtId="2" fontId="0" fillId="0" borderId="5" xfId="0" applyNumberFormat="1" applyFont="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0" fontId="0" fillId="0" borderId="9" xfId="0" applyFont="1" applyBorder="1" applyAlignment="1">
      <alignment horizontal="center"/>
    </xf>
    <xf numFmtId="0" fontId="2" fillId="0" borderId="10" xfId="0" applyFont="1" applyBorder="1" applyAlignment="1">
      <alignment horizontal="center"/>
    </xf>
    <xf numFmtId="11" fontId="0" fillId="0" borderId="13" xfId="0" applyNumberFormat="1" applyBorder="1" applyAlignment="1">
      <alignment horizontal="center"/>
    </xf>
    <xf numFmtId="11" fontId="0" fillId="0" borderId="4" xfId="0" applyNumberFormat="1" applyBorder="1" applyAlignment="1">
      <alignment horizontal="center"/>
    </xf>
    <xf numFmtId="11" fontId="0" fillId="0" borderId="5" xfId="0" applyNumberFormat="1" applyBorder="1" applyAlignment="1">
      <alignment horizontal="center"/>
    </xf>
    <xf numFmtId="11" fontId="0" fillId="0" borderId="14" xfId="0" applyNumberFormat="1" applyBorder="1" applyAlignment="1">
      <alignment horizontal="center"/>
    </xf>
    <xf numFmtId="11" fontId="0" fillId="0" borderId="7" xfId="0" applyNumberFormat="1" applyBorder="1" applyAlignment="1">
      <alignment horizontal="center"/>
    </xf>
    <xf numFmtId="11" fontId="0" fillId="0" borderId="8" xfId="0" applyNumberFormat="1" applyBorder="1" applyAlignment="1">
      <alignment horizontal="center"/>
    </xf>
    <xf numFmtId="0" fontId="0" fillId="0" borderId="15" xfId="0" quotePrefix="1" applyBorder="1" applyAlignment="1">
      <alignment horizontal="center"/>
    </xf>
    <xf numFmtId="10" fontId="0" fillId="0" borderId="10" xfId="22" quotePrefix="1" applyNumberFormat="1" applyFont="1" applyBorder="1" applyAlignment="1">
      <alignment horizontal="center"/>
    </xf>
    <xf numFmtId="165" fontId="0" fillId="0" borderId="0" xfId="0" applyNumberFormat="1" applyBorder="1" applyAlignment="1">
      <alignment horizontal="center"/>
    </xf>
    <xf numFmtId="2" fontId="0" fillId="0" borderId="10" xfId="0" applyNumberFormat="1" applyBorder="1" applyAlignment="1">
      <alignment horizontal="center"/>
    </xf>
    <xf numFmtId="2" fontId="0" fillId="0" borderId="1" xfId="0" applyNumberFormat="1" applyBorder="1" applyAlignment="1">
      <alignment horizontal="center"/>
    </xf>
    <xf numFmtId="0" fontId="2" fillId="0" borderId="1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4" fillId="0" borderId="0" xfId="0" applyFont="1" applyBorder="1" applyAlignment="1">
      <alignment horizontal="left" wrapText="1"/>
    </xf>
    <xf numFmtId="0" fontId="24" fillId="0" borderId="0" xfId="0" applyFont="1" applyAlignment="1">
      <alignment horizontal="left" wrapText="1"/>
    </xf>
    <xf numFmtId="0" fontId="2" fillId="0" borderId="9" xfId="0" applyFont="1" applyFill="1" applyBorder="1" applyAlignment="1">
      <alignment horizontal="center" wrapText="1"/>
    </xf>
    <xf numFmtId="0" fontId="2" fillId="0" borderId="11" xfId="0" applyFont="1" applyFill="1" applyBorder="1" applyAlignment="1">
      <alignment horizontal="center" wrapText="1"/>
    </xf>
    <xf numFmtId="172" fontId="1" fillId="0" borderId="0" xfId="0" applyNumberFormat="1" applyFont="1" applyFill="1"/>
    <xf numFmtId="0" fontId="1" fillId="0" borderId="18" xfId="0" applyFont="1" applyFill="1" applyBorder="1"/>
  </cellXfs>
  <cellStyles count="24">
    <cellStyle name="Comma" xfId="1" builtinId="3"/>
    <cellStyle name="Comma 2" xfId="19" xr:uid="{00000000-0005-0000-0000-000001000000}"/>
    <cellStyle name="Doc Code" xfId="15" xr:uid="{00000000-0005-0000-0000-000002000000}"/>
    <cellStyle name="Emission Totals" xfId="12" xr:uid="{00000000-0005-0000-0000-000003000000}"/>
    <cellStyle name="Enter Info" xfId="10" xr:uid="{00000000-0005-0000-0000-000004000000}"/>
    <cellStyle name="Hyperlink 2" xfId="2" xr:uid="{00000000-0005-0000-0000-000005000000}"/>
    <cellStyle name="Input" xfId="23" builtinId="20"/>
    <cellStyle name="Key Info" xfId="14" xr:uid="{00000000-0005-0000-0000-000007000000}"/>
    <cellStyle name="Normal" xfId="0" builtinId="0"/>
    <cellStyle name="Normal 2" xfId="17" xr:uid="{00000000-0005-0000-0000-000009000000}"/>
    <cellStyle name="Normal 2 2" xfId="20" xr:uid="{00000000-0005-0000-0000-00000A000000}"/>
    <cellStyle name="Normal 7" xfId="21" xr:uid="{00000000-0005-0000-0000-00000B000000}"/>
    <cellStyle name="PCA Body Text" xfId="5" xr:uid="{00000000-0005-0000-0000-00000C000000}"/>
    <cellStyle name="PCA Heading 1" xfId="6" xr:uid="{00000000-0005-0000-0000-00000D000000}"/>
    <cellStyle name="PCA Heading 2" xfId="8" xr:uid="{00000000-0005-0000-0000-00000E000000}"/>
    <cellStyle name="PCA Heading 3" xfId="9" xr:uid="{00000000-0005-0000-0000-00000F000000}"/>
    <cellStyle name="PCA Hyperlink" xfId="7" xr:uid="{00000000-0005-0000-0000-000010000000}"/>
    <cellStyle name="PCA Subtitle" xfId="4" xr:uid="{00000000-0005-0000-0000-000011000000}"/>
    <cellStyle name="PCA Title" xfId="3" xr:uid="{00000000-0005-0000-0000-000012000000}"/>
    <cellStyle name="Percent" xfId="22" builtinId="5"/>
    <cellStyle name="Permit Thresholds" xfId="16" xr:uid="{00000000-0005-0000-0000-000014000000}"/>
    <cellStyle name="Standard Value" xfId="18" xr:uid="{00000000-0005-0000-0000-000015000000}"/>
    <cellStyle name="Standard Values" xfId="11" xr:uid="{00000000-0005-0000-0000-000016000000}"/>
    <cellStyle name="Thresholds" xfId="13" xr:uid="{00000000-0005-0000-0000-000017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501305</xdr:colOff>
      <xdr:row>1</xdr:row>
      <xdr:rowOff>68035</xdr:rowOff>
    </xdr:from>
    <xdr:to>
      <xdr:col>28</xdr:col>
      <xdr:colOff>266417</xdr:colOff>
      <xdr:row>16</xdr:row>
      <xdr:rowOff>61235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142105" y="258535"/>
          <a:ext cx="4032312" cy="2755450"/>
        </a:xfrm>
        <a:prstGeom prst="rect">
          <a:avLst/>
        </a:prstGeom>
      </xdr:spPr>
    </xdr:pic>
    <xdr:clientData/>
  </xdr:twoCellAnchor>
  <xdr:twoCellAnchor editAs="oneCell">
    <xdr:from>
      <xdr:col>14</xdr:col>
      <xdr:colOff>431347</xdr:colOff>
      <xdr:row>2</xdr:row>
      <xdr:rowOff>127000</xdr:rowOff>
    </xdr:from>
    <xdr:to>
      <xdr:col>21</xdr:col>
      <xdr:colOff>380561</xdr:colOff>
      <xdr:row>26</xdr:row>
      <xdr:rowOff>14700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832897" y="495300"/>
          <a:ext cx="5111764" cy="4307300"/>
        </a:xfrm>
        <a:prstGeom prst="rect">
          <a:avLst/>
        </a:prstGeom>
      </xdr:spPr>
    </xdr:pic>
    <xdr:clientData/>
  </xdr:twoCellAnchor>
  <xdr:twoCellAnchor editAs="oneCell">
    <xdr:from>
      <xdr:col>20</xdr:col>
      <xdr:colOff>551089</xdr:colOff>
      <xdr:row>11</xdr:row>
      <xdr:rowOff>62592</xdr:rowOff>
    </xdr:from>
    <xdr:to>
      <xdr:col>28</xdr:col>
      <xdr:colOff>557457</xdr:colOff>
      <xdr:row>26</xdr:row>
      <xdr:rowOff>173992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21410839" y="2532742"/>
          <a:ext cx="5054618" cy="2873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4"/>
  <sheetViews>
    <sheetView workbookViewId="0">
      <selection activeCell="C4" sqref="C4"/>
    </sheetView>
  </sheetViews>
  <sheetFormatPr defaultRowHeight="14.4" x14ac:dyDescent="0.3"/>
  <cols>
    <col min="1" max="1" width="6.6640625" customWidth="1"/>
    <col min="2" max="2" width="24.44140625" customWidth="1"/>
    <col min="3" max="3" width="18.33203125" style="15" customWidth="1"/>
    <col min="4" max="4" width="17.5546875" customWidth="1"/>
    <col min="5" max="5" width="15.88671875" customWidth="1"/>
    <col min="6" max="6" width="20.77734375" customWidth="1"/>
  </cols>
  <sheetData>
    <row r="2" spans="2:6" x14ac:dyDescent="0.3">
      <c r="B2" s="5" t="s">
        <v>41</v>
      </c>
    </row>
    <row r="3" spans="2:6" ht="43.2" x14ac:dyDescent="0.3">
      <c r="B3" s="37" t="s">
        <v>36</v>
      </c>
      <c r="C3" s="27" t="s">
        <v>39</v>
      </c>
      <c r="D3" s="28" t="s">
        <v>40</v>
      </c>
      <c r="E3" s="23"/>
    </row>
    <row r="4" spans="2:6" x14ac:dyDescent="0.3">
      <c r="B4" s="38" t="s">
        <v>37</v>
      </c>
      <c r="C4" s="29">
        <f>SUM((VOC!$D$26-VOC!$D$25)/2000,(VOC!E26-VOC!E25)/2000)</f>
        <v>10.38825000000001</v>
      </c>
      <c r="D4" s="30">
        <f>SUM(VOC!$D$26,VOC!E26)/2000</f>
        <v>20.77650000000002</v>
      </c>
    </row>
    <row r="5" spans="2:6" x14ac:dyDescent="0.3">
      <c r="B5" s="39" t="s">
        <v>38</v>
      </c>
      <c r="C5" s="31">
        <f>(VOC!$F$26-VOC!$F$25)/2000</f>
        <v>21.374999999999993</v>
      </c>
      <c r="D5" s="32">
        <f>VOC!$F$26/2000</f>
        <v>42.749999999999986</v>
      </c>
    </row>
    <row r="6" spans="2:6" x14ac:dyDescent="0.3">
      <c r="B6" s="40" t="s">
        <v>19</v>
      </c>
      <c r="C6" s="33">
        <f>(VOC!$G$26-VOC!$G$25)/2000</f>
        <v>2.0625</v>
      </c>
      <c r="D6" s="34">
        <f>VOC!$G$26/2000</f>
        <v>4.125</v>
      </c>
    </row>
    <row r="7" spans="2:6" x14ac:dyDescent="0.3">
      <c r="B7" s="37" t="s">
        <v>12</v>
      </c>
      <c r="C7" s="35">
        <f>SUM(C4:C6)</f>
        <v>33.825749999999999</v>
      </c>
      <c r="D7" s="36">
        <f>SUM(D4:D6)</f>
        <v>67.651499999999999</v>
      </c>
    </row>
    <row r="10" spans="2:6" x14ac:dyDescent="0.3">
      <c r="B10" s="5" t="s">
        <v>2101</v>
      </c>
      <c r="D10" s="15"/>
    </row>
    <row r="11" spans="2:6" ht="57.6" x14ac:dyDescent="0.3">
      <c r="B11" s="37" t="s">
        <v>36</v>
      </c>
      <c r="C11" s="27" t="s">
        <v>2102</v>
      </c>
      <c r="D11" s="28" t="s">
        <v>2103</v>
      </c>
      <c r="E11" s="28" t="s">
        <v>2104</v>
      </c>
      <c r="F11" s="28" t="s">
        <v>2105</v>
      </c>
    </row>
    <row r="12" spans="2:6" x14ac:dyDescent="0.3">
      <c r="B12" s="38" t="s">
        <v>37</v>
      </c>
      <c r="C12" s="29">
        <f>SUMIF('TAP Analysis'!M9:M48,"Yes",'TAP Analysis'!H9:H48)+SUMIF('TAP Analysis'!M9:M48,"Yes",'TAP Analysis'!I9:I48)</f>
        <v>1.6216661557627461</v>
      </c>
      <c r="D12" s="29">
        <f>C12*2</f>
        <v>3.2433323115254922</v>
      </c>
      <c r="E12" s="153">
        <f>'TAP Analysis'!H46+'TAP Analysis'!I46</f>
        <v>1.5924509250000014</v>
      </c>
      <c r="F12" s="153">
        <f>E12*2</f>
        <v>3.1849018500000028</v>
      </c>
    </row>
    <row r="13" spans="2:6" x14ac:dyDescent="0.3">
      <c r="B13" s="39" t="s">
        <v>38</v>
      </c>
      <c r="C13" s="31">
        <f>SUMIF('TAP Analysis'!M9:M48,"Yes",'TAP Analysis'!J9:J48)</f>
        <v>6.3983566563669889</v>
      </c>
      <c r="D13" s="31">
        <f>C13*2</f>
        <v>12.796713312733978</v>
      </c>
      <c r="E13" s="196">
        <f>'TAP Analysis'!J46</f>
        <v>2.7338624999999994</v>
      </c>
      <c r="F13" s="196">
        <f>E13*2</f>
        <v>5.4677249999999988</v>
      </c>
    </row>
    <row r="14" spans="2:6" x14ac:dyDescent="0.3">
      <c r="B14" s="37" t="s">
        <v>12</v>
      </c>
      <c r="C14" s="35">
        <f>SUM(C12:C13)</f>
        <v>8.020022812129735</v>
      </c>
      <c r="D14" s="35">
        <f>SUM(D12:D13)</f>
        <v>16.04004562425947</v>
      </c>
      <c r="E14" s="197">
        <f>SUM(E12:E13)</f>
        <v>4.3263134250000004</v>
      </c>
      <c r="F14" s="197">
        <f>SUM(F12:F13)</f>
        <v>8.6526268500000008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U19"/>
  <sheetViews>
    <sheetView workbookViewId="0">
      <selection activeCell="H32" sqref="H32"/>
    </sheetView>
  </sheetViews>
  <sheetFormatPr defaultColWidth="8.77734375" defaultRowHeight="14.4" x14ac:dyDescent="0.3"/>
  <cols>
    <col min="1" max="1" width="8.77734375" style="15"/>
    <col min="2" max="2" width="10" style="15" bestFit="1" customWidth="1"/>
    <col min="3" max="3" width="8.5546875" style="15" bestFit="1" customWidth="1"/>
    <col min="4" max="4" width="5.44140625" style="15" bestFit="1" customWidth="1"/>
    <col min="5" max="5" width="11" style="15" bestFit="1" customWidth="1"/>
    <col min="6" max="6" width="27.77734375" style="15" bestFit="1" customWidth="1"/>
    <col min="7" max="10" width="12.5546875" style="15" bestFit="1" customWidth="1"/>
    <col min="11" max="12" width="12.21875" style="15" customWidth="1"/>
    <col min="13" max="13" width="12.5546875" style="15" bestFit="1" customWidth="1"/>
    <col min="14" max="14" width="18.77734375" style="15" bestFit="1" customWidth="1"/>
    <col min="15" max="19" width="10.5546875" style="15" bestFit="1" customWidth="1"/>
    <col min="20" max="20" width="10" style="15" bestFit="1" customWidth="1"/>
    <col min="21" max="21" width="11.21875" style="15" bestFit="1" customWidth="1"/>
    <col min="22" max="16384" width="8.77734375" style="15"/>
  </cols>
  <sheetData>
    <row r="1" spans="2:21" x14ac:dyDescent="0.3">
      <c r="F1" s="118" t="s">
        <v>2019</v>
      </c>
    </row>
    <row r="2" spans="2:21" x14ac:dyDescent="0.3">
      <c r="L2" s="47"/>
      <c r="M2" s="47"/>
    </row>
    <row r="3" spans="2:21" x14ac:dyDescent="0.3">
      <c r="G3" s="69" t="s">
        <v>2022</v>
      </c>
      <c r="H3" s="69" t="s">
        <v>2023</v>
      </c>
      <c r="I3" s="69" t="s">
        <v>2024</v>
      </c>
      <c r="J3" s="69" t="s">
        <v>2025</v>
      </c>
      <c r="K3" s="69" t="s">
        <v>2026</v>
      </c>
      <c r="L3" s="69" t="s">
        <v>2006</v>
      </c>
      <c r="M3" s="67"/>
    </row>
    <row r="4" spans="2:21" x14ac:dyDescent="0.3">
      <c r="B4" s="15" t="s">
        <v>2020</v>
      </c>
      <c r="C4" s="15">
        <v>9.8059999999999992</v>
      </c>
      <c r="D4" s="15" t="s">
        <v>2021</v>
      </c>
      <c r="F4" s="119" t="s">
        <v>2032</v>
      </c>
      <c r="G4" s="120">
        <v>9.1999999999999993</v>
      </c>
      <c r="H4" s="120">
        <v>9</v>
      </c>
      <c r="I4" s="120">
        <v>9</v>
      </c>
      <c r="J4" s="121" t="s">
        <v>2009</v>
      </c>
      <c r="K4" s="121" t="s">
        <v>2009</v>
      </c>
      <c r="L4" s="121">
        <f>'Model Parameters'!N8</f>
        <v>1.6002000000000001</v>
      </c>
      <c r="M4" s="2"/>
    </row>
    <row r="5" spans="2:21" x14ac:dyDescent="0.3">
      <c r="B5" s="15" t="s">
        <v>2027</v>
      </c>
      <c r="C5" s="15">
        <v>293.14999999999998</v>
      </c>
      <c r="D5" s="15" t="s">
        <v>2028</v>
      </c>
      <c r="F5" s="119" t="s">
        <v>2034</v>
      </c>
      <c r="G5" s="120">
        <v>23</v>
      </c>
      <c r="H5" s="120">
        <v>26.2</v>
      </c>
      <c r="I5" s="120">
        <v>26.2</v>
      </c>
      <c r="J5" s="121" t="s">
        <v>2009</v>
      </c>
      <c r="K5" s="121" t="s">
        <v>2009</v>
      </c>
      <c r="L5" s="121">
        <f>'Model Parameters'!N9</f>
        <v>1.7272000000000001</v>
      </c>
      <c r="M5" s="122"/>
    </row>
    <row r="6" spans="2:21" x14ac:dyDescent="0.3">
      <c r="B6" s="15" t="s">
        <v>2029</v>
      </c>
      <c r="C6" s="15">
        <v>1E-4</v>
      </c>
      <c r="D6" s="15" t="s">
        <v>126</v>
      </c>
      <c r="F6" s="6" t="s">
        <v>2036</v>
      </c>
      <c r="G6" s="2">
        <f>G4*G5</f>
        <v>211.6</v>
      </c>
      <c r="H6" s="2">
        <f t="shared" ref="H6:I6" si="0">H4*H5</f>
        <v>235.79999999999998</v>
      </c>
      <c r="I6" s="2">
        <f t="shared" si="0"/>
        <v>235.79999999999998</v>
      </c>
      <c r="J6" s="2">
        <v>3252</v>
      </c>
      <c r="K6" s="2">
        <v>10101</v>
      </c>
      <c r="L6" s="4">
        <f>L4*L5</f>
        <v>2.76386544</v>
      </c>
      <c r="M6" s="2"/>
    </row>
    <row r="7" spans="2:21" x14ac:dyDescent="0.3">
      <c r="B7" s="15" t="s">
        <v>2030</v>
      </c>
      <c r="C7" s="15">
        <v>10</v>
      </c>
      <c r="D7" s="15" t="s">
        <v>2031</v>
      </c>
      <c r="F7" s="6" t="s">
        <v>2039</v>
      </c>
      <c r="G7" s="10">
        <f>SQRT(4*G6/PI())</f>
        <v>16.413941868605495</v>
      </c>
      <c r="H7" s="10">
        <f t="shared" ref="H7:K7" si="1">SQRT(4*H6/PI())</f>
        <v>17.327143003061739</v>
      </c>
      <c r="I7" s="10">
        <f t="shared" si="1"/>
        <v>17.327143003061739</v>
      </c>
      <c r="J7" s="10">
        <f t="shared" si="1"/>
        <v>64.347299861600632</v>
      </c>
      <c r="K7" s="10">
        <f t="shared" si="1"/>
        <v>113.40631658496753</v>
      </c>
      <c r="L7" s="10">
        <f>SQRT(4*L6/PI())</f>
        <v>1.8759165158756002</v>
      </c>
      <c r="M7" s="9"/>
    </row>
    <row r="8" spans="2:21" x14ac:dyDescent="0.3">
      <c r="B8" s="118" t="s">
        <v>2033</v>
      </c>
      <c r="C8" s="118">
        <v>1</v>
      </c>
      <c r="D8" s="118" t="s">
        <v>126</v>
      </c>
      <c r="F8" s="123" t="s">
        <v>2040</v>
      </c>
      <c r="G8" s="126">
        <f>G7</f>
        <v>16.413941868605495</v>
      </c>
      <c r="H8" s="126">
        <f t="shared" ref="H8:K8" si="2">H7</f>
        <v>17.327143003061739</v>
      </c>
      <c r="I8" s="126">
        <f t="shared" si="2"/>
        <v>17.327143003061739</v>
      </c>
      <c r="J8" s="126">
        <f t="shared" si="2"/>
        <v>64.347299861600632</v>
      </c>
      <c r="K8" s="126">
        <f t="shared" si="2"/>
        <v>113.40631658496753</v>
      </c>
      <c r="L8" s="126">
        <f t="shared" ref="L8" si="3">L7</f>
        <v>1.8759165158756002</v>
      </c>
      <c r="M8" s="4"/>
    </row>
    <row r="9" spans="2:21" x14ac:dyDescent="0.3">
      <c r="B9" s="118" t="s">
        <v>2035</v>
      </c>
      <c r="C9" s="118">
        <v>0.55000000000000004</v>
      </c>
      <c r="D9" s="118" t="s">
        <v>2009</v>
      </c>
      <c r="F9" s="123" t="s">
        <v>2041</v>
      </c>
      <c r="G9" s="118">
        <v>1.22</v>
      </c>
      <c r="H9" s="118">
        <v>1.22</v>
      </c>
      <c r="I9" s="118">
        <v>1.22</v>
      </c>
      <c r="J9" s="118">
        <v>4</v>
      </c>
      <c r="K9" s="118">
        <v>1.5</v>
      </c>
      <c r="L9" s="118">
        <f>'Model Parameters'!N10</f>
        <v>2</v>
      </c>
      <c r="M9" s="4"/>
      <c r="T9" s="26"/>
      <c r="U9" s="26"/>
    </row>
    <row r="10" spans="2:21" x14ac:dyDescent="0.3">
      <c r="B10" s="118" t="s">
        <v>2037</v>
      </c>
      <c r="C10" s="118">
        <v>3.5000000000000003E-2</v>
      </c>
      <c r="D10" s="118" t="s">
        <v>2038</v>
      </c>
      <c r="F10" s="123" t="s">
        <v>2042</v>
      </c>
      <c r="G10" s="118">
        <v>40</v>
      </c>
      <c r="H10" s="118">
        <v>40</v>
      </c>
      <c r="I10" s="118">
        <v>40</v>
      </c>
      <c r="J10" s="118">
        <v>35</v>
      </c>
      <c r="K10" s="118">
        <v>45</v>
      </c>
      <c r="L10" s="118">
        <f>G10</f>
        <v>40</v>
      </c>
      <c r="M10" s="10"/>
      <c r="T10" s="26"/>
      <c r="U10" s="26"/>
    </row>
    <row r="11" spans="2:21" x14ac:dyDescent="0.3">
      <c r="F11" s="6" t="s">
        <v>2043</v>
      </c>
      <c r="G11" s="2">
        <f>273.15+G10</f>
        <v>313.14999999999998</v>
      </c>
      <c r="H11" s="2">
        <f t="shared" ref="H11:K11" si="4">273.15+H10</f>
        <v>313.14999999999998</v>
      </c>
      <c r="I11" s="2">
        <f t="shared" si="4"/>
        <v>313.14999999999998</v>
      </c>
      <c r="J11" s="2">
        <f t="shared" si="4"/>
        <v>308.14999999999998</v>
      </c>
      <c r="K11" s="2">
        <f t="shared" si="4"/>
        <v>318.14999999999998</v>
      </c>
      <c r="L11" s="2">
        <f>273.15+L10</f>
        <v>313.14999999999998</v>
      </c>
      <c r="M11" s="10"/>
      <c r="T11" s="26"/>
      <c r="U11" s="26"/>
    </row>
    <row r="12" spans="2:21" x14ac:dyDescent="0.3">
      <c r="F12" s="5" t="s">
        <v>2044</v>
      </c>
      <c r="G12" s="25">
        <f t="shared" ref="G12:L12" si="5">$C$4/4*$C$6*G$7*G$7*(G$11-$C$5)/G$11</f>
        <v>4.2182785950062402E-3</v>
      </c>
      <c r="H12" s="25">
        <f t="shared" si="5"/>
        <v>4.700709322790507E-3</v>
      </c>
      <c r="I12" s="25">
        <f t="shared" si="5"/>
        <v>4.700709322790507E-3</v>
      </c>
      <c r="J12" s="25">
        <f t="shared" si="5"/>
        <v>4.9410772081237148E-2</v>
      </c>
      <c r="K12" s="25">
        <f t="shared" si="5"/>
        <v>0.24775045937700974</v>
      </c>
      <c r="L12" s="24">
        <f t="shared" si="5"/>
        <v>5.5098083294090287E-5</v>
      </c>
      <c r="T12" s="26"/>
      <c r="U12" s="26"/>
    </row>
    <row r="13" spans="2:21" x14ac:dyDescent="0.3">
      <c r="F13" s="5" t="s">
        <v>2045</v>
      </c>
      <c r="G13" s="26">
        <f t="shared" ref="G13:L13" si="6">$C$8*(G$9/$C$7)^$C$9</f>
        <v>0.31441112668404247</v>
      </c>
      <c r="H13" s="26">
        <f t="shared" si="6"/>
        <v>0.31441112668404247</v>
      </c>
      <c r="I13" s="26">
        <f t="shared" si="6"/>
        <v>0.31441112668404247</v>
      </c>
      <c r="J13" s="26">
        <f>$C$8*(J$9/$C$7)^$C$9</f>
        <v>0.60413360659889825</v>
      </c>
      <c r="K13" s="26">
        <f t="shared" si="6"/>
        <v>0.35224934358841231</v>
      </c>
      <c r="L13" s="26">
        <f t="shared" si="6"/>
        <v>0.41263541353615896</v>
      </c>
      <c r="T13" s="26"/>
      <c r="U13" s="26"/>
    </row>
    <row r="14" spans="2:21" x14ac:dyDescent="0.3">
      <c r="F14" s="5" t="s">
        <v>2046</v>
      </c>
      <c r="G14" s="10">
        <f t="shared" ref="G14:L14" si="7">2.6*(G$12*$C$5/G$13/$C$4/$C$10)^(1/3)</f>
        <v>5.8617746782288043</v>
      </c>
      <c r="H14" s="10">
        <f t="shared" si="7"/>
        <v>6.0772229088993361</v>
      </c>
      <c r="I14" s="10">
        <f t="shared" si="7"/>
        <v>6.0772229088993361</v>
      </c>
      <c r="J14" s="10">
        <f t="shared" si="7"/>
        <v>10.708111499692865</v>
      </c>
      <c r="K14" s="10">
        <f t="shared" si="7"/>
        <v>21.938390455253231</v>
      </c>
      <c r="L14" s="10">
        <f t="shared" si="7"/>
        <v>1.2608787755087087</v>
      </c>
      <c r="T14" s="26"/>
      <c r="U14" s="26"/>
    </row>
    <row r="15" spans="2:21" x14ac:dyDescent="0.3">
      <c r="F15" s="5" t="s">
        <v>2047</v>
      </c>
      <c r="G15" s="10">
        <f>G9+G14</f>
        <v>7.081774678228804</v>
      </c>
      <c r="H15" s="10">
        <f t="shared" ref="H15:K15" si="8">H9+H14</f>
        <v>7.2972229088993359</v>
      </c>
      <c r="I15" s="10">
        <f t="shared" si="8"/>
        <v>7.2972229088993359</v>
      </c>
      <c r="J15" s="10">
        <f t="shared" si="8"/>
        <v>14.708111499692865</v>
      </c>
      <c r="K15" s="10">
        <f t="shared" si="8"/>
        <v>23.438390455253231</v>
      </c>
      <c r="L15" s="10">
        <f>L9+L14</f>
        <v>3.2608787755087087</v>
      </c>
      <c r="T15" s="26"/>
      <c r="U15" s="26"/>
    </row>
    <row r="16" spans="2:21" x14ac:dyDescent="0.3">
      <c r="F16" s="124" t="s">
        <v>2048</v>
      </c>
      <c r="G16" s="125">
        <f>G15/2</f>
        <v>3.540887339114402</v>
      </c>
      <c r="H16" s="125">
        <f t="shared" ref="H16:K16" si="9">H15/2</f>
        <v>3.6486114544496679</v>
      </c>
      <c r="I16" s="125">
        <f t="shared" si="9"/>
        <v>3.6486114544496679</v>
      </c>
      <c r="J16" s="125">
        <f t="shared" si="9"/>
        <v>7.3540557498464327</v>
      </c>
      <c r="K16" s="125">
        <f t="shared" si="9"/>
        <v>11.719195227626615</v>
      </c>
      <c r="L16" s="125">
        <f>L15/2</f>
        <v>1.6304393877543544</v>
      </c>
    </row>
    <row r="17" spans="5:12" x14ac:dyDescent="0.3">
      <c r="E17" s="15">
        <v>4.3</v>
      </c>
      <c r="F17" s="124" t="s">
        <v>2049</v>
      </c>
      <c r="G17" s="125">
        <f>G8/$E$17</f>
        <v>3.8171957833966266</v>
      </c>
      <c r="H17" s="125">
        <f t="shared" ref="H17:K17" si="10">H8/$E$17</f>
        <v>4.0295681402469166</v>
      </c>
      <c r="I17" s="125">
        <f t="shared" si="10"/>
        <v>4.0295681402469166</v>
      </c>
      <c r="J17" s="125">
        <f t="shared" si="10"/>
        <v>14.964488339907124</v>
      </c>
      <c r="K17" s="125">
        <f t="shared" si="10"/>
        <v>26.373561996504076</v>
      </c>
      <c r="L17" s="125">
        <f>L8/$E$17</f>
        <v>0.43625965485479073</v>
      </c>
    </row>
    <row r="18" spans="5:12" x14ac:dyDescent="0.3">
      <c r="E18" s="15">
        <v>4.3</v>
      </c>
      <c r="F18" s="124" t="s">
        <v>2050</v>
      </c>
      <c r="G18" s="125">
        <f>G15/$E$18</f>
        <v>1.6469243437741405</v>
      </c>
      <c r="H18" s="125">
        <f t="shared" ref="H18:K18" si="11">H15/$E$18</f>
        <v>1.6970285834649619</v>
      </c>
      <c r="I18" s="125">
        <f t="shared" si="11"/>
        <v>1.6970285834649619</v>
      </c>
      <c r="J18" s="125">
        <f t="shared" si="11"/>
        <v>3.4204910464402016</v>
      </c>
      <c r="K18" s="125">
        <f t="shared" si="11"/>
        <v>5.450788477965868</v>
      </c>
      <c r="L18" s="125">
        <f t="shared" ref="L18" si="12">L15/$E$18</f>
        <v>0.75834390128109508</v>
      </c>
    </row>
    <row r="19" spans="5:12" x14ac:dyDescent="0.3">
      <c r="F19" s="5" t="s">
        <v>2051</v>
      </c>
      <c r="G19" s="10">
        <f t="shared" ref="G19:K19" si="13">G17*2.15+1</f>
        <v>9.2069709343027473</v>
      </c>
      <c r="H19" s="10">
        <f t="shared" si="13"/>
        <v>9.6635715015308694</v>
      </c>
      <c r="I19" s="10">
        <f t="shared" si="13"/>
        <v>9.6635715015308694</v>
      </c>
      <c r="J19" s="10">
        <f t="shared" si="13"/>
        <v>33.173649930800316</v>
      </c>
      <c r="K19" s="10">
        <f t="shared" si="13"/>
        <v>57.703158292483764</v>
      </c>
      <c r="L19" s="10">
        <f t="shared" ref="L19" si="14">L17*2.15+1</f>
        <v>1.9379582579378001</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
  <sheetViews>
    <sheetView workbookViewId="0"/>
  </sheetViews>
  <sheetFormatPr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Z83"/>
  <sheetViews>
    <sheetView topLeftCell="A10" workbookViewId="0">
      <selection activeCell="B8" sqref="B8"/>
    </sheetView>
  </sheetViews>
  <sheetFormatPr defaultColWidth="8.77734375" defaultRowHeight="14.4" x14ac:dyDescent="0.3"/>
  <cols>
    <col min="1" max="1" width="12" style="15" customWidth="1"/>
    <col min="2" max="2" width="22.109375" style="15" customWidth="1"/>
    <col min="3" max="3" width="12.21875" style="15" bestFit="1" customWidth="1"/>
    <col min="4" max="10" width="8.77734375" style="15"/>
    <col min="11" max="11" width="9.44140625" style="15" customWidth="1"/>
    <col min="12" max="14" width="8.77734375" style="15"/>
    <col min="15" max="16" width="10.21875" style="15" bestFit="1" customWidth="1"/>
    <col min="17" max="17" width="20.5546875" style="15" customWidth="1"/>
    <col min="18" max="47" width="8.77734375" style="15"/>
    <col min="48" max="48" width="24" style="15" bestFit="1" customWidth="1"/>
    <col min="49" max="16384" width="8.77734375" style="15"/>
  </cols>
  <sheetData>
    <row r="1" spans="1:52" x14ac:dyDescent="0.3">
      <c r="A1" s="15" t="s">
        <v>42</v>
      </c>
      <c r="F1" s="15" t="s">
        <v>43</v>
      </c>
      <c r="G1" s="15" t="s">
        <v>43</v>
      </c>
      <c r="S1" s="2">
        <v>1</v>
      </c>
      <c r="T1" s="2">
        <v>0.05</v>
      </c>
      <c r="U1" s="20">
        <v>1</v>
      </c>
      <c r="AB1" s="1"/>
      <c r="AC1" s="1"/>
      <c r="AD1" s="1"/>
      <c r="AE1" s="1"/>
      <c r="AF1" s="1"/>
      <c r="AG1" s="1"/>
      <c r="AH1" s="1"/>
      <c r="AI1" s="1"/>
      <c r="AJ1" s="1"/>
      <c r="AK1" s="1"/>
      <c r="AL1" s="1"/>
      <c r="AM1" s="1"/>
      <c r="AN1" s="1"/>
      <c r="AO1" s="1"/>
      <c r="AP1" s="1"/>
    </row>
    <row r="2" spans="1:52" x14ac:dyDescent="0.3">
      <c r="E2" s="15" t="s">
        <v>44</v>
      </c>
      <c r="F2" s="15">
        <v>1</v>
      </c>
      <c r="G2" s="15">
        <v>13</v>
      </c>
      <c r="S2" s="15" t="s">
        <v>45</v>
      </c>
      <c r="Y2" s="15" t="s">
        <v>46</v>
      </c>
      <c r="AB2" s="1"/>
      <c r="AC2" s="1"/>
      <c r="AD2" s="1"/>
      <c r="AE2" s="1"/>
      <c r="AF2" s="1"/>
      <c r="AG2" s="1"/>
      <c r="AH2" s="1"/>
      <c r="AI2" s="1"/>
      <c r="AJ2" s="1"/>
      <c r="AK2" s="1"/>
      <c r="AL2" s="1"/>
      <c r="AM2" s="1"/>
      <c r="AN2" s="1"/>
      <c r="AO2" s="1"/>
      <c r="AP2" s="1"/>
    </row>
    <row r="3" spans="1:52" ht="57.6" x14ac:dyDescent="0.3">
      <c r="C3" s="15" t="s">
        <v>47</v>
      </c>
      <c r="D3" s="41" t="s">
        <v>48</v>
      </c>
      <c r="E3" s="41" t="s">
        <v>49</v>
      </c>
      <c r="F3" s="15" t="s">
        <v>50</v>
      </c>
      <c r="G3" s="15" t="s">
        <v>51</v>
      </c>
      <c r="H3" s="15" t="s">
        <v>52</v>
      </c>
      <c r="I3" s="41" t="s">
        <v>53</v>
      </c>
      <c r="J3" s="41" t="s">
        <v>54</v>
      </c>
      <c r="K3" s="41" t="s">
        <v>55</v>
      </c>
      <c r="L3" s="41" t="s">
        <v>56</v>
      </c>
      <c r="M3" s="41" t="s">
        <v>57</v>
      </c>
      <c r="O3" s="42" t="s">
        <v>58</v>
      </c>
      <c r="P3" s="42" t="s">
        <v>59</v>
      </c>
      <c r="S3" s="15" t="s">
        <v>33</v>
      </c>
      <c r="T3" s="41" t="s">
        <v>61</v>
      </c>
      <c r="U3" s="15" t="s">
        <v>62</v>
      </c>
      <c r="V3" s="15" t="s">
        <v>52</v>
      </c>
      <c r="Y3" s="15">
        <v>38000</v>
      </c>
      <c r="AB3" s="43"/>
      <c r="AC3" s="1"/>
      <c r="AD3" s="1"/>
      <c r="AE3" s="43"/>
      <c r="AF3" s="43"/>
      <c r="AG3" s="1"/>
      <c r="AH3" s="1"/>
      <c r="AI3" s="1"/>
      <c r="AJ3" s="1"/>
      <c r="AK3" s="1"/>
      <c r="AL3" s="1"/>
      <c r="AM3" s="1"/>
      <c r="AN3" s="1"/>
      <c r="AO3" s="1"/>
      <c r="AP3" s="1"/>
    </row>
    <row r="4" spans="1:52" x14ac:dyDescent="0.3">
      <c r="A4" s="15" t="s">
        <v>63</v>
      </c>
      <c r="C4" s="15" t="s">
        <v>64</v>
      </c>
      <c r="D4" s="15" t="s">
        <v>64</v>
      </c>
      <c r="E4" s="15" t="s">
        <v>64</v>
      </c>
      <c r="F4" s="15" t="s">
        <v>64</v>
      </c>
      <c r="G4" s="15" t="s">
        <v>64</v>
      </c>
      <c r="H4" s="15" t="s">
        <v>64</v>
      </c>
      <c r="I4" s="15" t="s">
        <v>64</v>
      </c>
      <c r="J4" s="15" t="s">
        <v>64</v>
      </c>
      <c r="K4" s="15" t="s">
        <v>64</v>
      </c>
      <c r="L4" s="15" t="s">
        <v>64</v>
      </c>
      <c r="M4" s="15" t="s">
        <v>64</v>
      </c>
      <c r="S4" s="15" t="s">
        <v>65</v>
      </c>
      <c r="T4" s="15" t="s">
        <v>65</v>
      </c>
      <c r="U4" s="15" t="s">
        <v>65</v>
      </c>
      <c r="V4" s="15" t="s">
        <v>65</v>
      </c>
      <c r="Y4" s="15" t="s">
        <v>65</v>
      </c>
      <c r="AB4" s="1"/>
      <c r="AC4" s="1"/>
      <c r="AD4" s="1"/>
      <c r="AE4" s="1"/>
      <c r="AF4" s="1"/>
      <c r="AG4" s="1"/>
      <c r="AH4" s="1"/>
      <c r="AI4" s="1"/>
      <c r="AJ4" s="1"/>
      <c r="AK4" s="1"/>
      <c r="AL4" s="1"/>
      <c r="AM4" s="1"/>
      <c r="AN4" s="1"/>
      <c r="AO4" s="1"/>
      <c r="AP4" s="1"/>
    </row>
    <row r="5" spans="1:52" x14ac:dyDescent="0.3">
      <c r="A5" s="15" t="s">
        <v>66</v>
      </c>
      <c r="B5" s="15" t="s">
        <v>67</v>
      </c>
      <c r="C5" s="15">
        <v>54</v>
      </c>
      <c r="D5" s="15">
        <v>56</v>
      </c>
      <c r="E5" s="15">
        <v>53</v>
      </c>
      <c r="F5" s="15">
        <v>370</v>
      </c>
      <c r="G5" s="15">
        <v>3.3</v>
      </c>
      <c r="H5" s="15">
        <v>14</v>
      </c>
      <c r="I5" s="15">
        <v>72</v>
      </c>
      <c r="J5" s="15">
        <v>49</v>
      </c>
      <c r="K5" s="15">
        <v>5000</v>
      </c>
      <c r="L5" s="15">
        <v>1700</v>
      </c>
      <c r="M5" s="15">
        <v>160</v>
      </c>
      <c r="O5" s="15" t="str">
        <f>IF(ISERROR(VLOOKUP(A5,TAPList!B:F,1,FALSE)),"Not Found","Yes")</f>
        <v>Yes</v>
      </c>
      <c r="P5" s="15" t="str">
        <f>IFERROR(VLOOKUP($A5,HAPList!$A:$E,4,FALSE),"Not Found")</f>
        <v>Not Found</v>
      </c>
      <c r="S5" s="1">
        <f>IFERROR($S$1*MAX(C5:E5)/1000000*$C$33*3600*8760/453.592/2000,0)</f>
        <v>7.9379185496034847E-3</v>
      </c>
      <c r="T5" s="1">
        <f>$T$1*MAX(F5:G5)/1000000*$C$33*3600*8760/453.592/2000</f>
        <v>2.622348092279723E-3</v>
      </c>
      <c r="U5" s="1">
        <f>IFERROR($U$1*MAX(I5:M5)/1000000*$J$36*3600*8760/453.592/2000,0)</f>
        <v>3.9660633433242753</v>
      </c>
      <c r="V5" s="1">
        <f>H5/1000000*$R$36*3600*8760/453.592/2000</f>
        <v>1.9882395262605366E-3</v>
      </c>
      <c r="W5" s="15">
        <f>IF(ISNUMBER(#REF!),1,0)</f>
        <v>0</v>
      </c>
      <c r="X5" s="15">
        <f t="shared" ref="X5:X28" si="0">IF(P5="Yes",1,0)</f>
        <v>0</v>
      </c>
      <c r="Y5" s="15">
        <f>SUM(S5:V5)</f>
        <v>3.978611849492419</v>
      </c>
      <c r="AB5" s="1"/>
      <c r="AC5" s="1"/>
      <c r="AD5" s="1"/>
      <c r="AE5" s="1"/>
      <c r="AF5" s="1"/>
      <c r="AG5" s="1"/>
      <c r="AH5" s="1"/>
      <c r="AI5" s="1"/>
      <c r="AJ5" s="1"/>
      <c r="AK5" s="1"/>
      <c r="AL5" s="1"/>
      <c r="AM5" s="1"/>
      <c r="AN5" s="1"/>
      <c r="AO5" s="1"/>
      <c r="AP5" s="1"/>
      <c r="AU5" s="15" t="s">
        <v>68</v>
      </c>
      <c r="AV5" s="15" t="s">
        <v>69</v>
      </c>
      <c r="AW5" s="15" t="s">
        <v>70</v>
      </c>
      <c r="AX5" s="15" t="s">
        <v>70</v>
      </c>
      <c r="AY5" s="24">
        <v>2.0026852505138637E-2</v>
      </c>
      <c r="AZ5" s="24">
        <v>5.0067131262846593E-2</v>
      </c>
    </row>
    <row r="6" spans="1:52" x14ac:dyDescent="0.3">
      <c r="A6" s="15" t="s">
        <v>71</v>
      </c>
      <c r="B6" s="15" t="s">
        <v>72</v>
      </c>
      <c r="G6" s="15">
        <v>1.6</v>
      </c>
      <c r="H6" s="15">
        <v>1.1000000000000001</v>
      </c>
      <c r="J6" s="15">
        <v>1.5</v>
      </c>
      <c r="O6" s="15" t="str">
        <f>IF(ISERROR(VLOOKUP(A6,TAPList!B:F,1,FALSE)),"Not Found","Yes")</f>
        <v>Not Found</v>
      </c>
      <c r="P6" s="15" t="str">
        <f>IFERROR(VLOOKUP($A6,HAPList!$A:$E,4,FALSE),"Not Found")</f>
        <v>No</v>
      </c>
      <c r="S6" s="1">
        <f t="shared" ref="S6:S28" si="1">IFERROR($S$1*MAX(C6:E6)/1000000*$C$33*3600*8760/453.592/2000,0)</f>
        <v>0</v>
      </c>
      <c r="T6" s="1">
        <f t="shared" ref="T6:T28" si="2">$T$1*MAX(F6:G6)/1000000*$C$33*3600*8760/453.592/2000</f>
        <v>1.1339883642290696E-5</v>
      </c>
      <c r="U6" s="1">
        <f t="shared" ref="U6:U28" si="3">IFERROR($U$1*MAX(I6:M6)/1000000*$J$36*3600*8760/453.592/2000,0)</f>
        <v>1.1898190029972829E-3</v>
      </c>
      <c r="V6" s="1">
        <f t="shared" ref="V6:V28" si="4">H6/1000000*$R$36*3600*8760/453.592/2000</f>
        <v>1.5621881992047073E-4</v>
      </c>
      <c r="W6" s="15">
        <f>IF(ISNUMBER(#REF!),1,0)</f>
        <v>0</v>
      </c>
      <c r="X6" s="15">
        <f t="shared" si="0"/>
        <v>0</v>
      </c>
      <c r="Y6" s="15">
        <f t="shared" ref="Y6:Y28" si="5">SUM(S6:V6)</f>
        <v>1.3573777065600443E-3</v>
      </c>
      <c r="AB6" s="1"/>
      <c r="AC6" s="1"/>
      <c r="AD6" s="1"/>
      <c r="AE6" s="1"/>
      <c r="AF6" s="1"/>
      <c r="AG6" s="1"/>
      <c r="AH6" s="1"/>
      <c r="AI6" s="1"/>
      <c r="AJ6" s="1"/>
      <c r="AK6" s="1"/>
      <c r="AL6" s="1"/>
      <c r="AM6" s="1"/>
      <c r="AN6" s="1"/>
      <c r="AO6" s="1"/>
      <c r="AP6" s="1"/>
      <c r="AU6" s="11" t="s">
        <v>73</v>
      </c>
      <c r="AV6" s="11" t="s">
        <v>74</v>
      </c>
      <c r="AW6" s="15" t="s">
        <v>70</v>
      </c>
      <c r="AX6" s="15" t="s">
        <v>70</v>
      </c>
      <c r="AY6" s="24">
        <v>1.5091025514602718E-3</v>
      </c>
      <c r="AZ6" s="24">
        <v>3.7727563786506789E-3</v>
      </c>
    </row>
    <row r="7" spans="1:52" x14ac:dyDescent="0.3">
      <c r="A7" s="15" t="s">
        <v>68</v>
      </c>
      <c r="B7" s="15" t="s">
        <v>2093</v>
      </c>
      <c r="G7" s="15">
        <v>1.1000000000000001</v>
      </c>
      <c r="I7" s="15">
        <v>10</v>
      </c>
      <c r="K7" s="15">
        <v>87</v>
      </c>
      <c r="L7" s="15">
        <v>53</v>
      </c>
      <c r="O7" s="15" t="str">
        <f>IF(ISERROR(VLOOKUP(A7,TAPList!B:F,1,FALSE)),"Not Found","Yes")</f>
        <v>Yes</v>
      </c>
      <c r="P7" s="15" t="str">
        <f>IFERROR(VLOOKUP($A7,HAPList!$A:$E,4,FALSE),"Not Found")</f>
        <v>Yes</v>
      </c>
      <c r="S7" s="1">
        <f t="shared" si="1"/>
        <v>0</v>
      </c>
      <c r="T7" s="1">
        <f t="shared" si="2"/>
        <v>7.7961700040748532E-6</v>
      </c>
      <c r="U7" s="1">
        <f t="shared" si="3"/>
        <v>6.9009502173842371E-2</v>
      </c>
      <c r="V7" s="1">
        <f t="shared" si="4"/>
        <v>0</v>
      </c>
      <c r="W7" s="15">
        <f>IF(ISNUMBER(#REF!),1,0)</f>
        <v>0</v>
      </c>
      <c r="X7" s="15">
        <f t="shared" si="0"/>
        <v>1</v>
      </c>
      <c r="Y7" s="15">
        <f t="shared" si="5"/>
        <v>6.9017298343846442E-2</v>
      </c>
      <c r="AB7" s="1"/>
      <c r="AC7" s="1"/>
      <c r="AD7" s="1"/>
      <c r="AE7" s="1"/>
      <c r="AF7" s="1"/>
      <c r="AG7" s="1"/>
      <c r="AH7" s="1"/>
      <c r="AI7" s="1"/>
      <c r="AJ7" s="1"/>
      <c r="AK7" s="1"/>
      <c r="AL7" s="1"/>
      <c r="AM7" s="1"/>
      <c r="AN7" s="1"/>
      <c r="AO7" s="1"/>
      <c r="AP7" s="1"/>
      <c r="AU7" s="15" t="s">
        <v>75</v>
      </c>
      <c r="AV7" s="15" t="s">
        <v>76</v>
      </c>
      <c r="AW7" s="15" t="s">
        <v>70</v>
      </c>
      <c r="AX7" s="15" t="s">
        <v>70</v>
      </c>
      <c r="AY7" s="24">
        <v>2.5816700960197139E-2</v>
      </c>
      <c r="AZ7" s="24">
        <v>6.4541752400492855E-2</v>
      </c>
    </row>
    <row r="8" spans="1:52" x14ac:dyDescent="0.3">
      <c r="A8" s="11" t="s">
        <v>73</v>
      </c>
      <c r="B8" s="11" t="s">
        <v>74</v>
      </c>
      <c r="C8" s="11"/>
      <c r="D8" s="11"/>
      <c r="E8" s="11"/>
      <c r="F8" s="11"/>
      <c r="G8" s="11"/>
      <c r="H8" s="11"/>
      <c r="I8" s="11"/>
      <c r="J8" s="11">
        <v>3.8</v>
      </c>
      <c r="K8" s="11"/>
      <c r="L8" s="11"/>
      <c r="M8" s="11"/>
      <c r="N8" s="11"/>
      <c r="O8" s="11" t="str">
        <f>IF(ISERROR(VLOOKUP(A8,TAPList!B:F,1,FALSE)),"Not Found","Yes")</f>
        <v>Yes</v>
      </c>
      <c r="P8" s="11" t="str">
        <f>IFERROR(VLOOKUP($A8,HAPList!$A:$E,4,FALSE),"Not Found")</f>
        <v>Yes</v>
      </c>
      <c r="Q8" s="11"/>
      <c r="R8" s="11"/>
      <c r="S8" s="1">
        <f t="shared" si="1"/>
        <v>0</v>
      </c>
      <c r="T8" s="1">
        <f t="shared" si="2"/>
        <v>0</v>
      </c>
      <c r="U8" s="1">
        <f t="shared" si="3"/>
        <v>3.0142081409264493E-3</v>
      </c>
      <c r="V8" s="74">
        <f t="shared" si="4"/>
        <v>0</v>
      </c>
      <c r="W8" s="15">
        <f>IF(ISNUMBER(#REF!),1,0)</f>
        <v>0</v>
      </c>
      <c r="X8" s="15">
        <f t="shared" si="0"/>
        <v>1</v>
      </c>
      <c r="Y8" s="15">
        <f t="shared" si="5"/>
        <v>3.0142081409264493E-3</v>
      </c>
      <c r="AB8" s="1"/>
      <c r="AC8" s="1"/>
      <c r="AD8" s="1"/>
      <c r="AE8" s="1"/>
      <c r="AF8" s="1"/>
      <c r="AG8" s="1"/>
      <c r="AH8" s="1"/>
      <c r="AI8" s="1"/>
      <c r="AJ8" s="1"/>
      <c r="AK8" s="1"/>
      <c r="AL8" s="1"/>
      <c r="AM8" s="1"/>
      <c r="AN8" s="1"/>
      <c r="AO8" s="1"/>
      <c r="AP8" s="1"/>
      <c r="AU8" s="15" t="s">
        <v>77</v>
      </c>
      <c r="AV8" s="15" t="s">
        <v>78</v>
      </c>
      <c r="AW8" s="15" t="s">
        <v>70</v>
      </c>
      <c r="AX8" s="15" t="s">
        <v>70</v>
      </c>
      <c r="AY8" s="24">
        <v>1.702399859245263E-4</v>
      </c>
      <c r="AZ8" s="24">
        <v>4.2559996481131583E-4</v>
      </c>
    </row>
    <row r="9" spans="1:52" x14ac:dyDescent="0.3">
      <c r="A9" s="15" t="s">
        <v>79</v>
      </c>
      <c r="B9" s="15" t="s">
        <v>80</v>
      </c>
      <c r="I9" s="15">
        <v>36</v>
      </c>
      <c r="M9" s="15">
        <v>580</v>
      </c>
      <c r="O9" s="15" t="str">
        <f>IF(ISERROR(VLOOKUP(A9,TAPList!B:F,1,FALSE)),"Not Found","Yes")</f>
        <v>Not Found</v>
      </c>
      <c r="P9" s="15" t="str">
        <f>IFERROR(VLOOKUP($A9,HAPList!$A:$E,4,FALSE),"Not Found")</f>
        <v>No</v>
      </c>
      <c r="S9" s="1">
        <f t="shared" si="1"/>
        <v>0</v>
      </c>
      <c r="T9" s="1">
        <f t="shared" si="2"/>
        <v>0</v>
      </c>
      <c r="U9" s="1">
        <f t="shared" si="3"/>
        <v>0.46006334782561598</v>
      </c>
      <c r="V9" s="1">
        <f t="shared" si="4"/>
        <v>0</v>
      </c>
      <c r="W9" s="15">
        <f>IF(ISNUMBER(#REF!),1,0)</f>
        <v>0</v>
      </c>
      <c r="X9" s="15">
        <f t="shared" si="0"/>
        <v>0</v>
      </c>
      <c r="Y9" s="15">
        <f t="shared" si="5"/>
        <v>0.46006334782561598</v>
      </c>
      <c r="AB9" s="1"/>
      <c r="AC9" s="1"/>
      <c r="AD9" s="1"/>
      <c r="AE9" s="1"/>
      <c r="AF9" s="1"/>
      <c r="AG9" s="1"/>
      <c r="AH9" s="1"/>
      <c r="AI9" s="1"/>
      <c r="AJ9" s="1"/>
      <c r="AK9" s="1"/>
      <c r="AL9" s="1"/>
      <c r="AM9" s="1"/>
      <c r="AN9" s="1"/>
      <c r="AO9" s="1"/>
      <c r="AP9" s="1"/>
      <c r="AU9" s="15" t="s">
        <v>81</v>
      </c>
      <c r="AV9" s="15" t="s">
        <v>82</v>
      </c>
      <c r="AW9" s="15" t="s">
        <v>70</v>
      </c>
      <c r="AX9" s="15" t="s">
        <v>70</v>
      </c>
      <c r="AY9" s="24">
        <v>0.10186442222356837</v>
      </c>
      <c r="AZ9" s="24">
        <v>0.25466105555892093</v>
      </c>
    </row>
    <row r="10" spans="1:52" x14ac:dyDescent="0.3">
      <c r="A10" s="15" t="s">
        <v>75</v>
      </c>
      <c r="B10" s="15" t="s">
        <v>76</v>
      </c>
      <c r="E10" s="15">
        <v>14</v>
      </c>
      <c r="G10" s="15">
        <v>24</v>
      </c>
      <c r="H10" s="15">
        <v>6.7</v>
      </c>
      <c r="I10" s="15">
        <v>11</v>
      </c>
      <c r="J10" s="15">
        <v>23</v>
      </c>
      <c r="K10" s="15">
        <v>46</v>
      </c>
      <c r="L10" s="15">
        <v>110</v>
      </c>
      <c r="O10" s="15" t="str">
        <f>IF(ISERROR(VLOOKUP(A10,TAPList!B:F,1,FALSE)),"Not Found","Yes")</f>
        <v>Yes</v>
      </c>
      <c r="P10" s="15" t="str">
        <f>IFERROR(VLOOKUP($A10,HAPList!$A:$E,4,FALSE),"Not Found")</f>
        <v>Yes</v>
      </c>
      <c r="S10" s="1">
        <f>IFERROR($S$1*MAX(C10:E10)/1000000*$C$33*3600*8760/453.592/2000,0)</f>
        <v>1.9844796374008712E-3</v>
      </c>
      <c r="T10" s="1">
        <f t="shared" si="2"/>
        <v>1.7009825463436043E-4</v>
      </c>
      <c r="U10" s="1">
        <f t="shared" si="3"/>
        <v>8.7253393553134051E-2</v>
      </c>
      <c r="V10" s="1">
        <f t="shared" si="4"/>
        <v>9.5151463042468553E-4</v>
      </c>
      <c r="W10" s="15">
        <f>IF(ISNUMBER(#REF!),1,0)</f>
        <v>0</v>
      </c>
      <c r="X10" s="15">
        <f t="shared" si="0"/>
        <v>1</v>
      </c>
      <c r="Y10" s="15">
        <f t="shared" si="5"/>
        <v>9.0359486075593964E-2</v>
      </c>
      <c r="AB10" s="1"/>
      <c r="AC10" s="1"/>
      <c r="AD10" s="1"/>
      <c r="AE10" s="1"/>
      <c r="AF10" s="1"/>
      <c r="AG10" s="1"/>
      <c r="AH10" s="1"/>
      <c r="AI10" s="1"/>
      <c r="AJ10" s="1"/>
      <c r="AK10" s="1"/>
      <c r="AL10" s="1"/>
      <c r="AM10" s="1"/>
      <c r="AN10" s="1"/>
      <c r="AO10" s="1"/>
      <c r="AP10" s="1"/>
      <c r="AU10" s="15" t="s">
        <v>83</v>
      </c>
      <c r="AV10" s="15" t="s">
        <v>84</v>
      </c>
      <c r="AW10" s="15" t="s">
        <v>70</v>
      </c>
      <c r="AX10" s="15" t="s">
        <v>70</v>
      </c>
      <c r="AY10" s="24">
        <v>1.0699646830673789E-2</v>
      </c>
      <c r="AZ10" s="24">
        <v>2.6749117076684474E-2</v>
      </c>
    </row>
    <row r="11" spans="1:52" x14ac:dyDescent="0.3">
      <c r="A11" s="15" t="s">
        <v>85</v>
      </c>
      <c r="B11" s="15" t="s">
        <v>86</v>
      </c>
      <c r="G11" s="15">
        <v>13</v>
      </c>
      <c r="H11" s="15">
        <v>16</v>
      </c>
      <c r="I11" s="15">
        <v>38</v>
      </c>
      <c r="J11" s="15">
        <v>9.1</v>
      </c>
      <c r="L11" s="15">
        <v>1000</v>
      </c>
      <c r="M11" s="15">
        <v>1100</v>
      </c>
      <c r="O11" s="15" t="str">
        <f>IF(ISERROR(VLOOKUP(A11,TAPList!B:F,1,FALSE)),"Not Found","Yes")</f>
        <v>Not Found</v>
      </c>
      <c r="P11" s="15" t="str">
        <f>IFERROR(VLOOKUP($A11,HAPList!$A:$E,4,FALSE),"Not Found")</f>
        <v>No</v>
      </c>
      <c r="S11" s="1">
        <f t="shared" si="1"/>
        <v>0</v>
      </c>
      <c r="T11" s="1">
        <f t="shared" si="2"/>
        <v>9.2136554593611906E-5</v>
      </c>
      <c r="U11" s="1">
        <f t="shared" si="3"/>
        <v>0.87253393553134062</v>
      </c>
      <c r="V11" s="1">
        <f t="shared" si="4"/>
        <v>2.2722737442977562E-3</v>
      </c>
      <c r="W11" s="15">
        <f>IF(ISNUMBER(#REF!),1,0)</f>
        <v>0</v>
      </c>
      <c r="X11" s="15">
        <f t="shared" si="0"/>
        <v>0</v>
      </c>
      <c r="Y11" s="15">
        <f t="shared" si="5"/>
        <v>0.87489834583023196</v>
      </c>
      <c r="AB11" s="1"/>
      <c r="AC11" s="1"/>
      <c r="AD11" s="1"/>
      <c r="AE11" s="1"/>
      <c r="AF11" s="1"/>
      <c r="AG11" s="1"/>
      <c r="AH11" s="1"/>
      <c r="AI11" s="1"/>
      <c r="AJ11" s="1"/>
      <c r="AK11" s="1"/>
      <c r="AL11" s="1"/>
      <c r="AM11" s="1"/>
      <c r="AN11" s="1"/>
      <c r="AO11" s="1"/>
      <c r="AP11" s="1"/>
      <c r="AU11" s="11" t="s">
        <v>87</v>
      </c>
      <c r="AV11" s="11" t="s">
        <v>88</v>
      </c>
      <c r="AW11" s="15" t="s">
        <v>70</v>
      </c>
      <c r="AX11" s="15" t="s">
        <v>70</v>
      </c>
      <c r="AY11" s="24">
        <v>7.6687503789440959E-3</v>
      </c>
      <c r="AZ11" s="24">
        <v>1.9171875947360244E-2</v>
      </c>
    </row>
    <row r="12" spans="1:52" x14ac:dyDescent="0.3">
      <c r="A12" s="15" t="s">
        <v>89</v>
      </c>
      <c r="B12" s="15" t="s">
        <v>90</v>
      </c>
      <c r="H12" s="15">
        <v>2</v>
      </c>
      <c r="J12" s="15">
        <v>0.78</v>
      </c>
      <c r="O12" s="15" t="str">
        <f>IF(ISERROR(VLOOKUP(A12,TAPList!B:F,1,FALSE)),"Not Found","Yes")</f>
        <v>Not Found</v>
      </c>
      <c r="P12" s="15" t="str">
        <f>IFERROR(VLOOKUP($A12,HAPList!$A:$E,4,FALSE),"Not Found")</f>
        <v>No</v>
      </c>
      <c r="S12" s="1">
        <f t="shared" si="1"/>
        <v>0</v>
      </c>
      <c r="T12" s="1">
        <f t="shared" si="2"/>
        <v>0</v>
      </c>
      <c r="U12" s="1">
        <f t="shared" si="3"/>
        <v>6.1870588155858697E-4</v>
      </c>
      <c r="V12" s="1">
        <f t="shared" si="4"/>
        <v>2.8403421803721953E-4</v>
      </c>
      <c r="W12" s="15">
        <f>IF(ISNUMBER(#REF!),1,0)</f>
        <v>0</v>
      </c>
      <c r="X12" s="15">
        <f t="shared" si="0"/>
        <v>0</v>
      </c>
      <c r="Y12" s="15">
        <f t="shared" si="5"/>
        <v>9.027400995958065E-4</v>
      </c>
      <c r="AB12" s="1"/>
      <c r="AC12" s="1"/>
      <c r="AD12" s="1"/>
      <c r="AE12" s="1"/>
      <c r="AF12" s="1"/>
      <c r="AG12" s="1"/>
      <c r="AH12" s="1"/>
      <c r="AI12" s="1"/>
      <c r="AJ12" s="1"/>
      <c r="AK12" s="1"/>
      <c r="AL12" s="1"/>
      <c r="AM12" s="1"/>
      <c r="AN12" s="1"/>
      <c r="AO12" s="1"/>
      <c r="AP12" s="1"/>
      <c r="AU12" s="15" t="s">
        <v>91</v>
      </c>
      <c r="AV12" s="15" t="s">
        <v>92</v>
      </c>
      <c r="AW12" s="15" t="s">
        <v>70</v>
      </c>
      <c r="AX12" s="15" t="s">
        <v>70</v>
      </c>
      <c r="AY12" s="24">
        <v>2.3430802772672642E-2</v>
      </c>
      <c r="AZ12" s="24">
        <v>5.8577006931681608E-2</v>
      </c>
    </row>
    <row r="13" spans="1:52" x14ac:dyDescent="0.3">
      <c r="A13" s="15" t="s">
        <v>77</v>
      </c>
      <c r="B13" s="15" t="s">
        <v>78</v>
      </c>
      <c r="G13" s="15">
        <v>1.1000000000000001</v>
      </c>
      <c r="O13" s="15" t="str">
        <f>IF(ISERROR(VLOOKUP(A13,TAPList!B:F,1,FALSE)),"Not Found","Yes")</f>
        <v>Yes</v>
      </c>
      <c r="P13" s="15" t="str">
        <f>IFERROR(VLOOKUP($A13,HAPList!$A:$E,4,FALSE),"Not Found")</f>
        <v>Yes</v>
      </c>
      <c r="S13" s="1">
        <f t="shared" si="1"/>
        <v>0</v>
      </c>
      <c r="T13" s="1">
        <f t="shared" si="2"/>
        <v>7.7961700040748532E-6</v>
      </c>
      <c r="U13" s="1">
        <f t="shared" si="3"/>
        <v>0</v>
      </c>
      <c r="V13" s="1">
        <f t="shared" si="4"/>
        <v>0</v>
      </c>
      <c r="W13" s="15">
        <f>IF(ISNUMBER(#REF!),1,0)</f>
        <v>0</v>
      </c>
      <c r="X13" s="15">
        <f t="shared" si="0"/>
        <v>1</v>
      </c>
      <c r="Y13" s="15">
        <f t="shared" si="5"/>
        <v>7.7961700040748532E-6</v>
      </c>
      <c r="AB13" s="1"/>
      <c r="AC13" s="1"/>
      <c r="AD13" s="1"/>
      <c r="AE13" s="1"/>
      <c r="AF13" s="1"/>
      <c r="AG13" s="1"/>
      <c r="AH13" s="1"/>
      <c r="AI13" s="1"/>
      <c r="AJ13" s="1"/>
      <c r="AK13" s="1"/>
      <c r="AL13" s="1"/>
      <c r="AM13" s="1"/>
      <c r="AN13" s="1"/>
      <c r="AO13" s="1"/>
      <c r="AP13" s="1"/>
      <c r="AU13" s="15" t="s">
        <v>93</v>
      </c>
      <c r="AV13" s="15" t="s">
        <v>94</v>
      </c>
      <c r="AW13" s="15" t="s">
        <v>70</v>
      </c>
      <c r="AX13" s="15" t="s">
        <v>70</v>
      </c>
      <c r="AY13" s="24">
        <v>2.2151700888512881E-2</v>
      </c>
      <c r="AZ13" s="24">
        <v>5.5379252221282205E-2</v>
      </c>
    </row>
    <row r="14" spans="1:52" x14ac:dyDescent="0.3">
      <c r="A14" s="15" t="s">
        <v>81</v>
      </c>
      <c r="B14" s="15" t="s">
        <v>82</v>
      </c>
      <c r="I14" s="15">
        <v>33</v>
      </c>
      <c r="M14" s="15">
        <v>480</v>
      </c>
      <c r="O14" s="15" t="str">
        <f>IF(ISERROR(VLOOKUP(A14,TAPList!B:F,1,FALSE)),"Not Found","Yes")</f>
        <v>Yes</v>
      </c>
      <c r="P14" s="15" t="str">
        <f>IFERROR(VLOOKUP($A14,HAPList!$A:$E,4,FALSE),"Not Found")</f>
        <v>Yes</v>
      </c>
      <c r="S14" s="1">
        <f t="shared" si="1"/>
        <v>0</v>
      </c>
      <c r="T14" s="1">
        <f t="shared" si="2"/>
        <v>0</v>
      </c>
      <c r="U14" s="1">
        <f t="shared" si="3"/>
        <v>0.38074208095913042</v>
      </c>
      <c r="V14" s="1">
        <f t="shared" si="4"/>
        <v>0</v>
      </c>
      <c r="W14" s="15">
        <f>IF(ISNUMBER(#REF!),1,0)</f>
        <v>0</v>
      </c>
      <c r="X14" s="15">
        <f t="shared" si="0"/>
        <v>1</v>
      </c>
      <c r="Y14" s="15">
        <f t="shared" si="5"/>
        <v>0.38074208095913042</v>
      </c>
      <c r="AB14" s="1"/>
      <c r="AC14" s="1"/>
      <c r="AD14" s="1"/>
      <c r="AE14" s="1"/>
      <c r="AF14" s="1"/>
      <c r="AG14" s="1"/>
      <c r="AH14" s="1"/>
      <c r="AI14" s="1"/>
      <c r="AJ14" s="1"/>
      <c r="AK14" s="1"/>
      <c r="AL14" s="1"/>
      <c r="AM14" s="1"/>
      <c r="AN14" s="1"/>
      <c r="AO14" s="1"/>
      <c r="AP14" s="1"/>
      <c r="AU14" s="15" t="s">
        <v>95</v>
      </c>
      <c r="AV14" s="15" t="s">
        <v>96</v>
      </c>
      <c r="AW14" s="15" t="s">
        <v>70</v>
      </c>
      <c r="AX14" s="15" t="s">
        <v>70</v>
      </c>
      <c r="AY14" s="24">
        <v>2.5813596274978343E-4</v>
      </c>
      <c r="AZ14" s="24">
        <v>6.4533990687445854E-4</v>
      </c>
    </row>
    <row r="15" spans="1:52" x14ac:dyDescent="0.3">
      <c r="A15" s="15" t="s">
        <v>97</v>
      </c>
      <c r="B15" s="15" t="s">
        <v>98</v>
      </c>
      <c r="L15" s="15">
        <v>340</v>
      </c>
      <c r="M15" s="15">
        <v>650</v>
      </c>
      <c r="O15" s="15" t="str">
        <f>IF(ISERROR(VLOOKUP(A15,TAPList!B:F,1,FALSE)),"Not Found","Yes")</f>
        <v>Yes</v>
      </c>
      <c r="P15" s="15" t="str">
        <f>IFERROR(VLOOKUP($A15,HAPList!$A:$E,4,FALSE),"Not Found")</f>
        <v>No</v>
      </c>
      <c r="S15" s="1">
        <f t="shared" si="1"/>
        <v>0</v>
      </c>
      <c r="T15" s="1">
        <f t="shared" si="2"/>
        <v>0</v>
      </c>
      <c r="U15" s="1">
        <f t="shared" si="3"/>
        <v>0.51558823463215575</v>
      </c>
      <c r="V15" s="1">
        <f t="shared" si="4"/>
        <v>0</v>
      </c>
      <c r="W15" s="15">
        <f>IF(ISNUMBER(#REF!),1,0)</f>
        <v>0</v>
      </c>
      <c r="X15" s="15">
        <f t="shared" si="0"/>
        <v>0</v>
      </c>
      <c r="Y15" s="15">
        <f t="shared" si="5"/>
        <v>0.51558823463215575</v>
      </c>
      <c r="AB15" s="1"/>
      <c r="AC15" s="1"/>
      <c r="AD15" s="1"/>
      <c r="AE15" s="1"/>
      <c r="AF15" s="1"/>
      <c r="AG15" s="1"/>
      <c r="AH15" s="1"/>
      <c r="AI15" s="1"/>
      <c r="AJ15" s="1"/>
      <c r="AK15" s="1"/>
      <c r="AL15" s="1"/>
      <c r="AM15" s="1"/>
      <c r="AN15" s="1"/>
      <c r="AO15" s="1"/>
      <c r="AP15" s="1"/>
      <c r="AU15" s="15" t="s">
        <v>99</v>
      </c>
      <c r="AV15" s="15" t="s">
        <v>100</v>
      </c>
      <c r="AW15" s="15" t="s">
        <v>70</v>
      </c>
      <c r="AX15" s="15" t="s">
        <v>70</v>
      </c>
      <c r="AY15" s="24">
        <v>2.1524567970828089E-2</v>
      </c>
      <c r="AZ15" s="24">
        <v>5.3811419927070225E-2</v>
      </c>
    </row>
    <row r="16" spans="1:52" x14ac:dyDescent="0.3">
      <c r="A16" s="15" t="s">
        <v>101</v>
      </c>
      <c r="B16" s="15" t="s">
        <v>102</v>
      </c>
      <c r="F16" s="15">
        <v>580</v>
      </c>
      <c r="G16" s="15">
        <v>130</v>
      </c>
      <c r="O16" s="15" t="str">
        <f>IF(ISERROR(VLOOKUP(A16,TAPList!B:F,1,FALSE)),"Not Found","Yes")</f>
        <v>Not Found</v>
      </c>
      <c r="P16" s="15" t="str">
        <f>IFERROR(VLOOKUP($A16,HAPList!$A:$E,4,FALSE),"Not Found")</f>
        <v>No</v>
      </c>
      <c r="S16" s="1">
        <f t="shared" si="1"/>
        <v>0</v>
      </c>
      <c r="T16" s="1">
        <f t="shared" si="2"/>
        <v>4.1107078203303764E-3</v>
      </c>
      <c r="U16" s="1">
        <f t="shared" si="3"/>
        <v>0</v>
      </c>
      <c r="V16" s="1">
        <f t="shared" si="4"/>
        <v>0</v>
      </c>
      <c r="W16" s="15">
        <f>IF(ISNUMBER(#REF!),1,0)</f>
        <v>0</v>
      </c>
      <c r="X16" s="15">
        <f t="shared" si="0"/>
        <v>0</v>
      </c>
      <c r="Y16" s="15">
        <f t="shared" si="5"/>
        <v>4.1107078203303764E-3</v>
      </c>
      <c r="AB16" s="1"/>
      <c r="AC16" s="1"/>
      <c r="AD16" s="1"/>
      <c r="AE16" s="1"/>
      <c r="AF16" s="1"/>
      <c r="AG16" s="1"/>
      <c r="AH16" s="1"/>
      <c r="AI16" s="1"/>
      <c r="AJ16" s="1"/>
      <c r="AK16" s="1"/>
      <c r="AL16" s="1"/>
      <c r="AM16" s="1"/>
      <c r="AN16" s="1"/>
      <c r="AO16" s="1"/>
      <c r="AP16" s="1"/>
      <c r="AU16" s="15" t="s">
        <v>66</v>
      </c>
      <c r="AV16" s="15" t="s">
        <v>67</v>
      </c>
      <c r="AW16" s="15" t="s">
        <v>70</v>
      </c>
      <c r="AX16" s="15" t="s">
        <v>103</v>
      </c>
      <c r="AY16" s="24">
        <v>0.57061654709552589</v>
      </c>
      <c r="AZ16" s="24">
        <v>1.4265413677388146</v>
      </c>
    </row>
    <row r="17" spans="1:52" x14ac:dyDescent="0.3">
      <c r="A17" s="15" t="s">
        <v>83</v>
      </c>
      <c r="B17" s="15" t="s">
        <v>84</v>
      </c>
      <c r="H17" s="15">
        <v>1.3</v>
      </c>
      <c r="J17" s="15">
        <v>2</v>
      </c>
      <c r="K17" s="15">
        <v>51</v>
      </c>
      <c r="O17" s="15" t="str">
        <f>IF(ISERROR(VLOOKUP(A17,TAPList!B:F,1,FALSE)),"Not Found","Yes")</f>
        <v>Yes</v>
      </c>
      <c r="P17" s="15" t="str">
        <f>IFERROR(VLOOKUP($A17,HAPList!$A:$E,4,FALSE),"Not Found")</f>
        <v>Yes</v>
      </c>
      <c r="S17" s="1">
        <f t="shared" si="1"/>
        <v>0</v>
      </c>
      <c r="T17" s="1">
        <f t="shared" si="2"/>
        <v>0</v>
      </c>
      <c r="U17" s="1">
        <f t="shared" si="3"/>
        <v>4.0453846101907609E-2</v>
      </c>
      <c r="V17" s="1">
        <f t="shared" si="4"/>
        <v>1.8462224172419275E-4</v>
      </c>
      <c r="W17" s="15">
        <f>IF(ISNUMBER(#REF!),1,0)</f>
        <v>0</v>
      </c>
      <c r="X17" s="15">
        <f t="shared" si="0"/>
        <v>1</v>
      </c>
      <c r="Y17" s="15">
        <f>SUM(S17:V17)</f>
        <v>4.0638468343631801E-2</v>
      </c>
      <c r="AB17" s="1"/>
      <c r="AC17" s="1"/>
      <c r="AD17" s="1"/>
      <c r="AE17" s="1"/>
      <c r="AF17" s="1"/>
      <c r="AG17" s="1"/>
      <c r="AH17" s="1"/>
      <c r="AI17" s="1"/>
      <c r="AJ17" s="1"/>
      <c r="AK17" s="1"/>
      <c r="AL17" s="1"/>
      <c r="AM17" s="1"/>
      <c r="AN17" s="1"/>
      <c r="AO17" s="1"/>
      <c r="AP17" s="1"/>
      <c r="AU17" s="15" t="s">
        <v>97</v>
      </c>
      <c r="AV17" s="15" t="s">
        <v>98</v>
      </c>
      <c r="AW17" s="15" t="s">
        <v>70</v>
      </c>
      <c r="AX17" s="15" t="s">
        <v>103</v>
      </c>
      <c r="AY17" s="24">
        <v>0.19658046394021966</v>
      </c>
      <c r="AZ17" s="24">
        <v>0.4914511598505491</v>
      </c>
    </row>
    <row r="18" spans="1:52" x14ac:dyDescent="0.3">
      <c r="A18" s="11" t="s">
        <v>87</v>
      </c>
      <c r="B18" s="11" t="s">
        <v>88</v>
      </c>
      <c r="C18" s="11"/>
      <c r="D18" s="11"/>
      <c r="E18" s="11"/>
      <c r="F18" s="11"/>
      <c r="G18" s="11"/>
      <c r="H18" s="11">
        <v>1.5</v>
      </c>
      <c r="I18" s="11">
        <v>7.9</v>
      </c>
      <c r="J18" s="11">
        <v>2.2999999999999998</v>
      </c>
      <c r="K18" s="11">
        <v>41</v>
      </c>
      <c r="L18" s="11">
        <v>24</v>
      </c>
      <c r="M18" s="11"/>
      <c r="N18" s="11"/>
      <c r="O18" s="11" t="str">
        <f>IF(ISERROR(VLOOKUP(A18,TAPList!B:F,1,FALSE)),"Not Found","Yes")</f>
        <v>Yes</v>
      </c>
      <c r="P18" s="11" t="str">
        <f>IFERROR(VLOOKUP($A18,HAPList!$A:$E,4,FALSE),"Not Found")</f>
        <v>Yes</v>
      </c>
      <c r="Q18" s="11"/>
      <c r="R18" s="11"/>
      <c r="S18" s="1">
        <f t="shared" si="1"/>
        <v>0</v>
      </c>
      <c r="T18" s="1">
        <f t="shared" si="2"/>
        <v>0</v>
      </c>
      <c r="U18" s="1">
        <f t="shared" si="3"/>
        <v>3.2521719415259054E-2</v>
      </c>
      <c r="V18" s="74">
        <f t="shared" si="4"/>
        <v>2.1302566352791465E-4</v>
      </c>
      <c r="W18" s="15">
        <f>IF(ISNUMBER(#REF!),1,0)</f>
        <v>0</v>
      </c>
      <c r="X18" s="15">
        <f t="shared" si="0"/>
        <v>1</v>
      </c>
      <c r="Y18" s="15">
        <f t="shared" si="5"/>
        <v>3.2734745078786966E-2</v>
      </c>
      <c r="AB18" s="1"/>
      <c r="AC18" s="1"/>
      <c r="AD18" s="1"/>
      <c r="AE18" s="1"/>
      <c r="AF18" s="1"/>
      <c r="AG18" s="1"/>
      <c r="AH18" s="1"/>
      <c r="AI18" s="1"/>
      <c r="AJ18" s="1"/>
      <c r="AK18" s="1"/>
      <c r="AL18" s="1"/>
      <c r="AM18" s="1"/>
      <c r="AN18" s="1"/>
      <c r="AO18" s="1"/>
      <c r="AP18" s="1"/>
    </row>
    <row r="19" spans="1:52" x14ac:dyDescent="0.3">
      <c r="A19" s="15" t="s">
        <v>104</v>
      </c>
      <c r="B19" s="15" t="s">
        <v>105</v>
      </c>
      <c r="G19" s="15">
        <v>1.4</v>
      </c>
      <c r="I19" s="15">
        <v>5.9</v>
      </c>
      <c r="J19" s="15">
        <v>2.2999999999999998</v>
      </c>
      <c r="K19" s="15">
        <v>83</v>
      </c>
      <c r="L19" s="15">
        <v>37</v>
      </c>
      <c r="O19" s="15" t="str">
        <f>IF(ISERROR(VLOOKUP(A19,TAPList!B:F,1,FALSE)),"Not Found","Yes")</f>
        <v>Not Found</v>
      </c>
      <c r="P19" s="15" t="str">
        <f>IFERROR(VLOOKUP($A19,HAPList!$A:$E,4,FALSE),"Not Found")</f>
        <v>No</v>
      </c>
      <c r="S19" s="1">
        <f t="shared" si="1"/>
        <v>0</v>
      </c>
      <c r="T19" s="1">
        <f t="shared" si="2"/>
        <v>9.9223981870043575E-6</v>
      </c>
      <c r="U19" s="1">
        <f t="shared" si="3"/>
        <v>6.5836651499182969E-2</v>
      </c>
      <c r="V19" s="1">
        <f t="shared" si="4"/>
        <v>0</v>
      </c>
      <c r="W19" s="15">
        <f>IF(ISNUMBER(#REF!),1,0)</f>
        <v>0</v>
      </c>
      <c r="X19" s="15">
        <f t="shared" si="0"/>
        <v>0</v>
      </c>
      <c r="Y19" s="15">
        <f t="shared" si="5"/>
        <v>6.5846573897369975E-2</v>
      </c>
      <c r="AB19" s="1"/>
      <c r="AC19" s="1"/>
      <c r="AD19" s="1"/>
      <c r="AE19" s="1"/>
      <c r="AF19" s="1"/>
      <c r="AG19" s="1"/>
      <c r="AH19" s="1"/>
      <c r="AI19" s="1"/>
      <c r="AJ19" s="1"/>
      <c r="AK19" s="1"/>
      <c r="AL19" s="1"/>
      <c r="AM19" s="1"/>
      <c r="AN19" s="1"/>
      <c r="AO19" s="1"/>
      <c r="AP19" s="1"/>
    </row>
    <row r="20" spans="1:52" x14ac:dyDescent="0.3">
      <c r="A20" s="15" t="s">
        <v>91</v>
      </c>
      <c r="B20" s="15" t="s">
        <v>92</v>
      </c>
      <c r="L20" s="15">
        <v>59</v>
      </c>
      <c r="O20" s="15" t="str">
        <f>IF(ISERROR(VLOOKUP(A20,TAPList!B:F,1,FALSE)),"Not Found","Yes")</f>
        <v>Yes</v>
      </c>
      <c r="P20" s="15" t="str">
        <f>IFERROR(VLOOKUP($A20,HAPList!$A:$E,4,FALSE),"Not Found")</f>
        <v>Yes</v>
      </c>
      <c r="S20" s="1">
        <f t="shared" si="1"/>
        <v>0</v>
      </c>
      <c r="T20" s="1">
        <f t="shared" si="2"/>
        <v>0</v>
      </c>
      <c r="U20" s="1">
        <f t="shared" si="3"/>
        <v>4.6799547451226442E-2</v>
      </c>
      <c r="V20" s="1">
        <f t="shared" si="4"/>
        <v>0</v>
      </c>
      <c r="W20" s="15">
        <f>IF(ISNUMBER(#REF!),1,0)</f>
        <v>0</v>
      </c>
      <c r="X20" s="15">
        <f t="shared" si="0"/>
        <v>1</v>
      </c>
      <c r="Y20" s="15">
        <f t="shared" si="5"/>
        <v>4.6799547451226442E-2</v>
      </c>
      <c r="AB20" s="1"/>
      <c r="AC20" s="1"/>
      <c r="AD20" s="1"/>
      <c r="AE20" s="1"/>
      <c r="AF20" s="1"/>
      <c r="AG20" s="1"/>
      <c r="AH20" s="1"/>
      <c r="AI20" s="1"/>
      <c r="AJ20" s="1"/>
      <c r="AK20" s="1"/>
      <c r="AL20" s="1"/>
      <c r="AM20" s="1"/>
      <c r="AN20" s="1"/>
      <c r="AO20" s="1"/>
      <c r="AP20" s="1"/>
    </row>
    <row r="21" spans="1:52" x14ac:dyDescent="0.3">
      <c r="A21" s="15" t="s">
        <v>93</v>
      </c>
      <c r="B21" s="15" t="s">
        <v>94</v>
      </c>
      <c r="C21" s="15">
        <v>12</v>
      </c>
      <c r="D21" s="15">
        <v>6.6</v>
      </c>
      <c r="F21" s="15">
        <v>370</v>
      </c>
      <c r="G21" s="15">
        <v>8.6</v>
      </c>
      <c r="I21" s="15">
        <v>11</v>
      </c>
      <c r="J21" s="15">
        <v>4.2</v>
      </c>
      <c r="K21" s="15">
        <v>75</v>
      </c>
      <c r="L21" s="15">
        <v>55</v>
      </c>
      <c r="O21" s="15" t="str">
        <f>IF(ISERROR(VLOOKUP(A21,TAPList!B:F,1,FALSE)),"Not Found","Yes")</f>
        <v>Yes</v>
      </c>
      <c r="P21" s="15" t="str">
        <f>IFERROR(VLOOKUP($A21,HAPList!$A:$E,4,FALSE),"Not Found")</f>
        <v>Yes</v>
      </c>
      <c r="S21" s="1">
        <f t="shared" si="1"/>
        <v>1.7009825463436044E-3</v>
      </c>
      <c r="T21" s="1">
        <f t="shared" si="2"/>
        <v>2.622348092279723E-3</v>
      </c>
      <c r="U21" s="1">
        <f t="shared" si="3"/>
        <v>5.9490950149864122E-2</v>
      </c>
      <c r="V21" s="1">
        <f t="shared" si="4"/>
        <v>0</v>
      </c>
      <c r="W21" s="15">
        <f>IF(ISNUMBER(#REF!),1,0)</f>
        <v>0</v>
      </c>
      <c r="X21" s="15">
        <f t="shared" si="0"/>
        <v>1</v>
      </c>
      <c r="Y21" s="15">
        <f t="shared" si="5"/>
        <v>6.3814280788487443E-2</v>
      </c>
      <c r="AB21" s="1"/>
      <c r="AC21" s="1"/>
      <c r="AD21" s="1"/>
      <c r="AE21" s="1"/>
      <c r="AF21" s="1"/>
      <c r="AG21" s="1"/>
      <c r="AH21" s="1"/>
      <c r="AI21" s="1"/>
      <c r="AJ21" s="1"/>
      <c r="AK21" s="1"/>
      <c r="AL21" s="1"/>
      <c r="AM21" s="1"/>
      <c r="AN21" s="1"/>
      <c r="AO21" s="1"/>
      <c r="AP21" s="1"/>
    </row>
    <row r="22" spans="1:52" x14ac:dyDescent="0.3">
      <c r="A22" s="15" t="s">
        <v>106</v>
      </c>
      <c r="B22" s="15" t="s">
        <v>107</v>
      </c>
      <c r="I22" s="15">
        <v>6.4</v>
      </c>
      <c r="K22" s="15">
        <v>77</v>
      </c>
      <c r="L22" s="15">
        <v>23</v>
      </c>
      <c r="O22" s="15" t="str">
        <f>IF(ISERROR(VLOOKUP(A22,TAPList!B:F,1,FALSE)),"Not Found","Yes")</f>
        <v>Not Found</v>
      </c>
      <c r="P22" s="15" t="str">
        <f>IFERROR(VLOOKUP($A22,HAPList!$A:$E,4,FALSE),"Not Found")</f>
        <v>Not Found</v>
      </c>
      <c r="S22" s="1">
        <f t="shared" si="1"/>
        <v>0</v>
      </c>
      <c r="T22" s="1">
        <f t="shared" si="2"/>
        <v>0</v>
      </c>
      <c r="U22" s="1">
        <f t="shared" si="3"/>
        <v>6.1077375487193837E-2</v>
      </c>
      <c r="V22" s="1">
        <f t="shared" si="4"/>
        <v>0</v>
      </c>
      <c r="W22" s="15">
        <f>IF(ISNUMBER(#REF!),1,0)</f>
        <v>0</v>
      </c>
      <c r="X22" s="15">
        <f t="shared" si="0"/>
        <v>0</v>
      </c>
      <c r="Y22" s="15">
        <f t="shared" si="5"/>
        <v>6.1077375487193837E-2</v>
      </c>
      <c r="AB22" s="1"/>
      <c r="AC22" s="1"/>
      <c r="AD22" s="1"/>
      <c r="AE22" s="1"/>
      <c r="AF22" s="1"/>
      <c r="AG22" s="1"/>
      <c r="AH22" s="1"/>
      <c r="AI22" s="1"/>
      <c r="AJ22" s="1"/>
      <c r="AK22" s="1"/>
      <c r="AL22" s="1"/>
      <c r="AM22" s="1"/>
      <c r="AN22" s="1"/>
      <c r="AO22" s="1"/>
      <c r="AP22" s="1"/>
    </row>
    <row r="23" spans="1:52" x14ac:dyDescent="0.3">
      <c r="A23" s="15" t="s">
        <v>95</v>
      </c>
      <c r="B23" s="15" t="s">
        <v>96</v>
      </c>
      <c r="J23" s="15">
        <v>0.65</v>
      </c>
      <c r="O23" s="15" t="str">
        <f>IF(ISERROR(VLOOKUP(A23,TAPList!B:F,1,FALSE)),"Not Found","Yes")</f>
        <v>Yes</v>
      </c>
      <c r="P23" s="15" t="str">
        <f>IFERROR(VLOOKUP($A23,HAPList!$A:$E,4,FALSE),"Not Found")</f>
        <v>Yes</v>
      </c>
      <c r="S23" s="1">
        <f t="shared" si="1"/>
        <v>0</v>
      </c>
      <c r="T23" s="1">
        <f t="shared" si="2"/>
        <v>0</v>
      </c>
      <c r="U23" s="1">
        <f t="shared" si="3"/>
        <v>5.155882346321557E-4</v>
      </c>
      <c r="V23" s="1">
        <f t="shared" si="4"/>
        <v>0</v>
      </c>
      <c r="W23" s="15">
        <f>IF(ISNUMBER(#REF!),1,0)</f>
        <v>0</v>
      </c>
      <c r="X23" s="15">
        <f t="shared" si="0"/>
        <v>1</v>
      </c>
      <c r="Y23" s="15">
        <f t="shared" si="5"/>
        <v>5.155882346321557E-4</v>
      </c>
      <c r="AB23" s="1"/>
      <c r="AC23" s="1"/>
      <c r="AD23" s="1"/>
      <c r="AE23" s="1"/>
      <c r="AF23" s="1"/>
      <c r="AG23" s="1"/>
      <c r="AH23" s="1"/>
      <c r="AI23" s="1"/>
      <c r="AJ23" s="1"/>
      <c r="AK23" s="1"/>
      <c r="AL23" s="1"/>
      <c r="AM23" s="1"/>
      <c r="AN23" s="1"/>
      <c r="AO23" s="1"/>
      <c r="AP23" s="1"/>
    </row>
    <row r="24" spans="1:52" x14ac:dyDescent="0.3">
      <c r="A24" s="15" t="s">
        <v>108</v>
      </c>
      <c r="B24" s="15" t="s">
        <v>109</v>
      </c>
      <c r="J24" s="15">
        <v>2.1</v>
      </c>
      <c r="O24" s="15" t="str">
        <f>IF(ISERROR(VLOOKUP(A24,TAPList!B:F,1,FALSE)),"Not Found","Yes")</f>
        <v>Not Found</v>
      </c>
      <c r="P24" s="15" t="str">
        <f>IFERROR(VLOOKUP($A24,HAPList!$A:$E,4,FALSE),"Not Found")</f>
        <v>Not Found</v>
      </c>
      <c r="S24" s="1">
        <f t="shared" si="1"/>
        <v>0</v>
      </c>
      <c r="T24" s="1">
        <f t="shared" si="2"/>
        <v>0</v>
      </c>
      <c r="U24" s="1">
        <f t="shared" si="3"/>
        <v>1.6657466041961955E-3</v>
      </c>
      <c r="V24" s="1">
        <f t="shared" si="4"/>
        <v>0</v>
      </c>
      <c r="W24" s="15">
        <f>IF(ISNUMBER(#REF!),1,0)</f>
        <v>0</v>
      </c>
      <c r="X24" s="15">
        <f t="shared" si="0"/>
        <v>0</v>
      </c>
      <c r="Y24" s="15">
        <f t="shared" si="5"/>
        <v>1.6657466041961955E-3</v>
      </c>
      <c r="AB24" s="1"/>
    </row>
    <row r="25" spans="1:52" x14ac:dyDescent="0.3">
      <c r="A25" s="15" t="s">
        <v>99</v>
      </c>
      <c r="B25" s="15" t="s">
        <v>100</v>
      </c>
      <c r="I25" s="15">
        <v>5.6</v>
      </c>
      <c r="K25" s="15">
        <v>83</v>
      </c>
      <c r="L25" s="15">
        <v>74</v>
      </c>
      <c r="O25" s="15" t="str">
        <f>IF(ISERROR(VLOOKUP(A25,TAPList!B:F,1,FALSE)),"Not Found","Yes")</f>
        <v>Yes</v>
      </c>
      <c r="P25" s="15" t="str">
        <f>IFERROR(VLOOKUP($A25,HAPList!$A:$E,4,FALSE),"Not Found")</f>
        <v>Yes</v>
      </c>
      <c r="S25" s="1">
        <f t="shared" si="1"/>
        <v>0</v>
      </c>
      <c r="T25" s="1">
        <f t="shared" si="2"/>
        <v>0</v>
      </c>
      <c r="U25" s="1">
        <f t="shared" si="3"/>
        <v>6.5836651499182969E-2</v>
      </c>
      <c r="V25" s="1">
        <f t="shared" si="4"/>
        <v>0</v>
      </c>
      <c r="W25" s="15">
        <f>IF(ISNUMBER(#REF!),1,0)</f>
        <v>0</v>
      </c>
      <c r="X25" s="15">
        <f t="shared" si="0"/>
        <v>1</v>
      </c>
      <c r="Y25" s="15">
        <f t="shared" si="5"/>
        <v>6.5836651499182969E-2</v>
      </c>
      <c r="AB25" s="1"/>
    </row>
    <row r="26" spans="1:52" x14ac:dyDescent="0.3">
      <c r="A26" s="15" t="s">
        <v>110</v>
      </c>
      <c r="B26" s="15" t="s">
        <v>111</v>
      </c>
      <c r="L26" s="15">
        <v>18</v>
      </c>
      <c r="M26" s="15">
        <v>62</v>
      </c>
      <c r="O26" s="15" t="str">
        <f>IF(ISERROR(VLOOKUP(A26,TAPList!B:F,1,FALSE)),"Not Found","Yes")</f>
        <v>Not Found</v>
      </c>
      <c r="P26" s="15" t="str">
        <f>IFERROR(VLOOKUP($A26,HAPList!$A:$E,4,FALSE),"Not Found")</f>
        <v>No</v>
      </c>
      <c r="S26" s="1">
        <f t="shared" si="1"/>
        <v>0</v>
      </c>
      <c r="T26" s="1">
        <f t="shared" si="2"/>
        <v>0</v>
      </c>
      <c r="U26" s="1">
        <f t="shared" si="3"/>
        <v>4.9179185457221018E-2</v>
      </c>
      <c r="V26" s="1">
        <f t="shared" si="4"/>
        <v>0</v>
      </c>
      <c r="W26" s="15">
        <f>IF(ISNUMBER(#REF!),1,0)</f>
        <v>0</v>
      </c>
      <c r="X26" s="15">
        <f t="shared" si="0"/>
        <v>0</v>
      </c>
      <c r="Y26" s="15">
        <f t="shared" si="5"/>
        <v>4.9179185457221018E-2</v>
      </c>
      <c r="AB26" s="1"/>
    </row>
    <row r="27" spans="1:52" x14ac:dyDescent="0.3">
      <c r="A27" s="15" t="s">
        <v>112</v>
      </c>
      <c r="B27" s="15" t="s">
        <v>113</v>
      </c>
      <c r="C27" s="15">
        <v>1100</v>
      </c>
      <c r="D27" s="15">
        <v>800</v>
      </c>
      <c r="E27" s="15">
        <v>900</v>
      </c>
      <c r="F27" s="15">
        <v>45000</v>
      </c>
      <c r="G27" s="15">
        <v>75</v>
      </c>
      <c r="H27" s="15">
        <v>1.7</v>
      </c>
      <c r="I27" s="15">
        <v>620</v>
      </c>
      <c r="J27" s="15">
        <v>13</v>
      </c>
      <c r="K27" s="15">
        <v>4000</v>
      </c>
      <c r="L27" s="15">
        <v>3500</v>
      </c>
      <c r="M27" s="15">
        <v>6600</v>
      </c>
      <c r="O27" s="15" t="str">
        <f>IF(ISERROR(VLOOKUP(A27,TAPList!B:F,1,FALSE)),"Not Found","Yes")</f>
        <v>Not Found</v>
      </c>
      <c r="P27" s="15" t="str">
        <f>IFERROR(VLOOKUP($A27,HAPList!$A:$E,4,FALSE),"Not Found")</f>
        <v>Not Found</v>
      </c>
      <c r="S27" s="1">
        <f t="shared" si="1"/>
        <v>0.15592340008149708</v>
      </c>
      <c r="T27" s="1">
        <f t="shared" si="2"/>
        <v>0.31893422743942579</v>
      </c>
      <c r="U27" s="1">
        <f t="shared" si="3"/>
        <v>5.2352036131880428</v>
      </c>
      <c r="V27" s="1">
        <f t="shared" si="4"/>
        <v>2.4142908533163662E-4</v>
      </c>
      <c r="W27" s="15">
        <f>IF(ISNUMBER(#REF!),1,0)</f>
        <v>0</v>
      </c>
      <c r="X27" s="15">
        <f t="shared" si="0"/>
        <v>0</v>
      </c>
      <c r="Y27" s="15">
        <f t="shared" si="5"/>
        <v>5.7103026697942969</v>
      </c>
      <c r="AB27" s="1"/>
    </row>
    <row r="28" spans="1:52" x14ac:dyDescent="0.3">
      <c r="A28" s="15" t="s">
        <v>114</v>
      </c>
      <c r="B28" s="15" t="s">
        <v>115</v>
      </c>
      <c r="C28" s="15">
        <v>670</v>
      </c>
      <c r="D28" s="15">
        <v>600</v>
      </c>
      <c r="E28" s="15">
        <v>630</v>
      </c>
      <c r="F28" s="15">
        <v>34000</v>
      </c>
      <c r="G28" s="15">
        <v>160</v>
      </c>
      <c r="H28" s="15">
        <v>0.9</v>
      </c>
      <c r="I28" s="15">
        <v>360</v>
      </c>
      <c r="J28" s="15">
        <v>7.9</v>
      </c>
      <c r="K28" s="15">
        <v>1600</v>
      </c>
      <c r="L28" s="15">
        <v>18000</v>
      </c>
      <c r="M28" s="15">
        <v>5000</v>
      </c>
      <c r="O28" s="15" t="str">
        <f>IF(ISERROR(VLOOKUP(A28,TAPList!B:F,1,FALSE)),"Not Found","Yes")</f>
        <v>Not Found</v>
      </c>
      <c r="P28" s="15" t="str">
        <f>IFERROR(VLOOKUP($A28,HAPList!$A:$E,4,FALSE),"Not Found")</f>
        <v>Not Found</v>
      </c>
      <c r="S28" s="1">
        <f t="shared" si="1"/>
        <v>9.497152550418457E-2</v>
      </c>
      <c r="T28" s="1">
        <f t="shared" si="2"/>
        <v>0.24097252739867725</v>
      </c>
      <c r="U28" s="1">
        <f t="shared" si="3"/>
        <v>14.277828035967389</v>
      </c>
      <c r="V28" s="1">
        <f t="shared" si="4"/>
        <v>1.278153981167488E-4</v>
      </c>
      <c r="W28" s="15">
        <f>IF(ISNUMBER(#REF!),1,0)</f>
        <v>0</v>
      </c>
      <c r="X28" s="15">
        <f t="shared" si="0"/>
        <v>0</v>
      </c>
      <c r="Y28" s="15">
        <f t="shared" si="5"/>
        <v>14.613899904268367</v>
      </c>
      <c r="AB28" s="1"/>
    </row>
    <row r="29" spans="1:52" x14ac:dyDescent="0.3">
      <c r="B29" s="15" t="s">
        <v>116</v>
      </c>
      <c r="C29" s="15">
        <v>10000</v>
      </c>
      <c r="D29" s="15">
        <v>5200</v>
      </c>
      <c r="E29" s="15">
        <v>5000</v>
      </c>
      <c r="F29" s="15">
        <v>130000</v>
      </c>
      <c r="G29" s="15">
        <v>930</v>
      </c>
      <c r="H29" s="15">
        <v>200</v>
      </c>
      <c r="I29" s="15">
        <v>3000</v>
      </c>
      <c r="J29" s="15">
        <v>440</v>
      </c>
      <c r="K29" s="15">
        <v>19000</v>
      </c>
      <c r="L29" s="15">
        <v>19000</v>
      </c>
      <c r="M29" s="15">
        <v>31000</v>
      </c>
      <c r="S29" s="1"/>
      <c r="T29" s="1"/>
      <c r="U29" s="1"/>
      <c r="V29" s="1"/>
      <c r="AB29" s="1"/>
    </row>
    <row r="30" spans="1:52" x14ac:dyDescent="0.3">
      <c r="J30" s="46"/>
      <c r="AB30" s="1"/>
    </row>
    <row r="31" spans="1:52" x14ac:dyDescent="0.3">
      <c r="G31" s="15" t="s">
        <v>117</v>
      </c>
      <c r="J31" s="46">
        <f>10.8/1000</f>
        <v>1.0800000000000001E-2</v>
      </c>
      <c r="K31" s="15" t="s">
        <v>118</v>
      </c>
      <c r="L31" s="15" t="s">
        <v>119</v>
      </c>
      <c r="Q31" s="15" t="s">
        <v>120</v>
      </c>
      <c r="R31" s="15">
        <f>9.8/1000</f>
        <v>9.8000000000000014E-3</v>
      </c>
      <c r="S31" s="15" t="s">
        <v>118</v>
      </c>
      <c r="T31" s="15" t="s">
        <v>119</v>
      </c>
      <c r="AB31" s="1"/>
    </row>
    <row r="32" spans="1:52" x14ac:dyDescent="0.3">
      <c r="J32" s="15">
        <f>J31/60</f>
        <v>1.8000000000000001E-4</v>
      </c>
      <c r="K32" s="15" t="s">
        <v>121</v>
      </c>
      <c r="R32" s="15">
        <f>R31/60</f>
        <v>1.6333333333333336E-4</v>
      </c>
      <c r="S32" s="15" t="s">
        <v>121</v>
      </c>
      <c r="AB32" s="1"/>
    </row>
    <row r="33" spans="1:28" x14ac:dyDescent="0.3">
      <c r="B33" s="15" t="s">
        <v>122</v>
      </c>
      <c r="C33" s="26">
        <f>8640*0.00047194745</f>
        <v>4.0776259680000004</v>
      </c>
      <c r="D33" s="15" t="s">
        <v>121</v>
      </c>
      <c r="J33" s="26">
        <f>PI()*(8/12*0.3048)^2</f>
        <v>0.12971711464895941</v>
      </c>
      <c r="K33" s="15" t="s">
        <v>123</v>
      </c>
      <c r="L33" s="46" t="s">
        <v>124</v>
      </c>
      <c r="R33" s="15">
        <v>0.13</v>
      </c>
      <c r="S33" s="15" t="s">
        <v>123</v>
      </c>
      <c r="T33" s="15" t="s">
        <v>124</v>
      </c>
      <c r="AB33" s="1"/>
    </row>
    <row r="34" spans="1:28" x14ac:dyDescent="0.3">
      <c r="C34" s="25"/>
      <c r="H34" s="15" t="s">
        <v>125</v>
      </c>
      <c r="J34" s="15">
        <f>J32/J33</f>
        <v>1.3876349353523333E-3</v>
      </c>
      <c r="K34" s="15" t="s">
        <v>126</v>
      </c>
      <c r="P34" s="15" t="s">
        <v>125</v>
      </c>
      <c r="R34" s="15">
        <f>R32/R33</f>
        <v>1.2564102564102566E-3</v>
      </c>
      <c r="S34" s="15" t="s">
        <v>126</v>
      </c>
      <c r="AB34" s="1"/>
    </row>
    <row r="35" spans="1:28" x14ac:dyDescent="0.3">
      <c r="C35" s="26"/>
      <c r="G35" s="15" t="s">
        <v>127</v>
      </c>
      <c r="I35" s="87">
        <v>177000</v>
      </c>
      <c r="J35" s="44">
        <f>I35*0.3048*0.3048</f>
        <v>16443.838080000001</v>
      </c>
      <c r="K35" s="15" t="s">
        <v>123</v>
      </c>
      <c r="O35" s="15" t="s">
        <v>128</v>
      </c>
      <c r="Q35" s="87">
        <v>35000</v>
      </c>
      <c r="R35" s="44">
        <f>Q35*0.3048*0.3048</f>
        <v>3251.6064000000001</v>
      </c>
      <c r="S35" s="15" t="s">
        <v>123</v>
      </c>
      <c r="AB35" s="1"/>
    </row>
    <row r="36" spans="1:28" s="66" customFormat="1" ht="15" thickBot="1" x14ac:dyDescent="0.35">
      <c r="G36" s="66" t="s">
        <v>129</v>
      </c>
      <c r="J36" s="66">
        <f>J34*J35</f>
        <v>22.81804419108504</v>
      </c>
      <c r="K36" s="66" t="s">
        <v>121</v>
      </c>
      <c r="O36" s="66" t="s">
        <v>129</v>
      </c>
      <c r="R36" s="66">
        <f>R34*R35</f>
        <v>4.0853516307692317</v>
      </c>
      <c r="S36" s="66" t="s">
        <v>121</v>
      </c>
      <c r="AB36" s="68"/>
    </row>
    <row r="37" spans="1:28" x14ac:dyDescent="0.3">
      <c r="A37" s="15" t="s">
        <v>130</v>
      </c>
      <c r="AB37" s="1"/>
    </row>
    <row r="38" spans="1:28" x14ac:dyDescent="0.3">
      <c r="AB38" s="1"/>
    </row>
    <row r="39" spans="1:28" ht="57.6" x14ac:dyDescent="0.3">
      <c r="C39" s="15" t="s">
        <v>47</v>
      </c>
      <c r="D39" s="41" t="s">
        <v>48</v>
      </c>
      <c r="E39" s="41" t="s">
        <v>49</v>
      </c>
      <c r="F39" s="15" t="s">
        <v>50</v>
      </c>
      <c r="G39" s="15" t="s">
        <v>51</v>
      </c>
      <c r="H39" s="15" t="s">
        <v>52</v>
      </c>
      <c r="I39" s="41" t="s">
        <v>53</v>
      </c>
      <c r="J39" s="41" t="s">
        <v>54</v>
      </c>
      <c r="K39" s="41" t="s">
        <v>55</v>
      </c>
      <c r="L39" s="41" t="s">
        <v>56</v>
      </c>
      <c r="M39" s="41" t="s">
        <v>57</v>
      </c>
      <c r="O39" s="42" t="s">
        <v>58</v>
      </c>
      <c r="P39" s="42" t="s">
        <v>59</v>
      </c>
      <c r="S39" s="15" t="s">
        <v>33</v>
      </c>
      <c r="T39" s="41" t="s">
        <v>61</v>
      </c>
      <c r="U39" s="15" t="s">
        <v>62</v>
      </c>
      <c r="V39" s="15" t="s">
        <v>52</v>
      </c>
      <c r="AB39" s="1"/>
    </row>
    <row r="40" spans="1:28" x14ac:dyDescent="0.3">
      <c r="A40" s="15" t="s">
        <v>63</v>
      </c>
      <c r="C40" s="15" t="s">
        <v>64</v>
      </c>
      <c r="D40" s="15" t="s">
        <v>64</v>
      </c>
      <c r="E40" s="15" t="s">
        <v>64</v>
      </c>
      <c r="F40" s="15" t="s">
        <v>64</v>
      </c>
      <c r="G40" s="15" t="s">
        <v>64</v>
      </c>
      <c r="H40" s="15" t="s">
        <v>64</v>
      </c>
      <c r="I40" s="15" t="s">
        <v>64</v>
      </c>
      <c r="J40" s="15" t="s">
        <v>64</v>
      </c>
      <c r="K40" s="15" t="s">
        <v>64</v>
      </c>
      <c r="L40" s="15" t="s">
        <v>64</v>
      </c>
      <c r="M40" s="15" t="s">
        <v>64</v>
      </c>
      <c r="S40" s="15" t="s">
        <v>65</v>
      </c>
      <c r="T40" s="15" t="s">
        <v>65</v>
      </c>
      <c r="U40" s="15" t="s">
        <v>65</v>
      </c>
      <c r="V40" s="15" t="s">
        <v>65</v>
      </c>
      <c r="AB40" s="1"/>
    </row>
    <row r="41" spans="1:28" x14ac:dyDescent="0.3">
      <c r="A41" s="15" t="s">
        <v>131</v>
      </c>
      <c r="B41" s="15" t="s">
        <v>132</v>
      </c>
      <c r="F41" s="15">
        <v>100</v>
      </c>
      <c r="M41" s="15">
        <v>21</v>
      </c>
      <c r="O41" s="15" t="str">
        <f>IF(ISERROR(VLOOKUP(A41,TAPList!B:F,1,FALSE)),"Not Found","Yes")</f>
        <v>Yes</v>
      </c>
      <c r="P41" s="15" t="str">
        <f>IFERROR(VLOOKUP($A41,HAPList!$A:$E,4,FALSE),"Not Found")</f>
        <v>Yes</v>
      </c>
      <c r="S41" s="15">
        <f>IFERROR($S$1*MAX(C41:E41)/1000000*$C$33*3600*8760/453.592/2000,0)</f>
        <v>0</v>
      </c>
      <c r="T41" s="15">
        <f>$T$1*MAX(F41:G41)/1000000*$C$33*3600*8760/453.592/2000</f>
        <v>7.0874272764316843E-4</v>
      </c>
      <c r="U41" s="15">
        <f>IFERROR($U$1*MAX(I41:M41)/1000000*$J$36*3600*8760/453.592/2000,0)</f>
        <v>1.6657466041961954E-2</v>
      </c>
      <c r="V41" s="15">
        <f>H41/1000000*$R$36*3600*8760/453.592/2000</f>
        <v>0</v>
      </c>
      <c r="W41" s="15">
        <f>SUM(S41:V41)*30000/38000</f>
        <v>1.3710164818109308E-2</v>
      </c>
      <c r="X41" s="15">
        <f>SUM(S41:V41)*75000/38000</f>
        <v>3.4275412045273269E-2</v>
      </c>
      <c r="Y41" s="15">
        <f>SUM(S41:V41)</f>
        <v>1.7366208769605124E-2</v>
      </c>
      <c r="AB41" s="1"/>
    </row>
    <row r="42" spans="1:28" x14ac:dyDescent="0.3">
      <c r="A42" s="15" t="s">
        <v>133</v>
      </c>
      <c r="B42" s="15" t="s">
        <v>134</v>
      </c>
      <c r="L42" s="15">
        <v>22</v>
      </c>
      <c r="M42" s="15">
        <v>51</v>
      </c>
      <c r="O42" s="15" t="str">
        <f>IF(ISERROR(VLOOKUP(A42,TAPList!B:F,1,FALSE)),"Not Found","Yes")</f>
        <v>Not Found</v>
      </c>
      <c r="P42" s="15" t="str">
        <f>IFERROR(VLOOKUP($A42,HAPList!$A:$E,4,FALSE),"Not Found")</f>
        <v>No</v>
      </c>
      <c r="S42" s="15">
        <f>IFERROR($S$1*MAX(C42:E42)/1000000*$C$33*3600*8760/453.592/2000,0)</f>
        <v>0</v>
      </c>
      <c r="T42" s="15">
        <f>$T$1*MAX(F42:G42)/1000000*$C$33*3600*8760/453.592/2000</f>
        <v>0</v>
      </c>
      <c r="U42" s="15">
        <f>IFERROR($U$1*MAX(I42:M42)/1000000*$J$36*3600*8760/453.592/2000,0)</f>
        <v>4.0453846101907609E-2</v>
      </c>
      <c r="V42" s="15">
        <f>H42/1000000*$R$36*3600*8760/453.592/2000</f>
        <v>0</v>
      </c>
      <c r="W42" s="15">
        <f>IF(ISNUMBER(#REF!),1,0)</f>
        <v>0</v>
      </c>
      <c r="X42" s="15">
        <f>IF(P42="Yes",1,0)</f>
        <v>0</v>
      </c>
      <c r="Y42" s="15">
        <f>SUM(S42:V42)</f>
        <v>4.0453846101907609E-2</v>
      </c>
      <c r="AB42" s="1"/>
    </row>
    <row r="43" spans="1:28" x14ac:dyDescent="0.3">
      <c r="A43" s="15" t="s">
        <v>135</v>
      </c>
      <c r="B43" s="15" t="s">
        <v>136</v>
      </c>
      <c r="F43" s="15">
        <v>16000</v>
      </c>
      <c r="G43" s="15">
        <v>34</v>
      </c>
      <c r="I43" s="15">
        <v>390</v>
      </c>
      <c r="K43" s="15">
        <v>850</v>
      </c>
      <c r="L43" s="15">
        <v>1300</v>
      </c>
      <c r="M43" s="15">
        <v>720</v>
      </c>
      <c r="O43" s="15" t="str">
        <f>IF(ISERROR(VLOOKUP(A43,TAPList!B:F,1,FALSE)),"Not Found","Yes")</f>
        <v>Not Found</v>
      </c>
      <c r="P43" s="15" t="str">
        <f>IFERROR(VLOOKUP($A43,HAPList!$A:$E,4,FALSE),"Not Found")</f>
        <v>Not Found</v>
      </c>
      <c r="S43" s="15">
        <f>IFERROR($S$1*MAX(C43:E43)/1000000*$C$33*3600*8760/453.592/2000,0)</f>
        <v>0</v>
      </c>
      <c r="T43" s="15">
        <f>$T$1*MAX(F43:G43)/1000000*$C$33*3600*8760/453.592/2000</f>
        <v>0.11339883642290695</v>
      </c>
      <c r="U43" s="15">
        <f>IFERROR($U$1*MAX(I43:M43)/1000000*$J$36*3600*8760/453.592/2000,0)</f>
        <v>1.0311764692643115</v>
      </c>
      <c r="V43" s="15">
        <f>H43/1000000*$R$36*3600*8760/453.592/2000</f>
        <v>0</v>
      </c>
      <c r="W43" s="15">
        <f>IF(ISNUMBER(#REF!),1,0)</f>
        <v>0</v>
      </c>
      <c r="X43" s="15">
        <f>IF(P43="Yes",1,0)</f>
        <v>0</v>
      </c>
      <c r="Y43" s="15">
        <f>SUM(S43:V43)</f>
        <v>1.1445753056872185</v>
      </c>
      <c r="AB43" s="1"/>
    </row>
    <row r="44" spans="1:28" x14ac:dyDescent="0.3">
      <c r="A44" s="15" t="s">
        <v>137</v>
      </c>
      <c r="B44" s="15" t="s">
        <v>138</v>
      </c>
      <c r="F44" s="15">
        <v>28</v>
      </c>
      <c r="K44" s="15">
        <v>41</v>
      </c>
      <c r="L44" s="15">
        <v>34</v>
      </c>
      <c r="O44" s="15" t="str">
        <f>IF(ISERROR(VLOOKUP(A44,TAPList!B:F,1,FALSE)),"Not Found","Yes")</f>
        <v>Yes</v>
      </c>
      <c r="P44" s="15" t="str">
        <f>IFERROR(VLOOKUP($A44,HAPList!$A:$E,4,FALSE),"Not Found")</f>
        <v>Yes</v>
      </c>
      <c r="S44" s="15">
        <f>IFERROR($S$1*MAX(C44:E44)/1000000*$C$33*3600*8760/453.592/2000,0)</f>
        <v>0</v>
      </c>
      <c r="T44" s="15">
        <f>$T$1*MAX(F44:G44)/1000000*$C$33*3600*8760/453.592/2000</f>
        <v>1.9844796374008717E-4</v>
      </c>
      <c r="U44" s="15">
        <f>IFERROR($U$1*MAX(I44:M44)/1000000*$J$36*3600*8760/453.592/2000,0)</f>
        <v>3.2521719415259054E-2</v>
      </c>
      <c r="V44" s="15">
        <f>H44/1000000*$R$36*3600*8760/453.592/2000</f>
        <v>0</v>
      </c>
      <c r="W44" s="15">
        <f>SUM(S44:V44)*30000/38000</f>
        <v>2.5831711088683533E-2</v>
      </c>
      <c r="X44" s="15">
        <f>SUM(S44:V44)*75000/38000</f>
        <v>6.4579277721708836E-2</v>
      </c>
      <c r="Y44" s="15">
        <f>SUM(S44:V44)</f>
        <v>3.2720167378999139E-2</v>
      </c>
      <c r="AB44" s="1"/>
    </row>
    <row r="45" spans="1:28" s="66" customFormat="1" ht="15" thickBot="1" x14ac:dyDescent="0.35">
      <c r="Z45" s="15"/>
      <c r="AA45" s="15"/>
      <c r="AB45" s="1"/>
    </row>
    <row r="46" spans="1:28" x14ac:dyDescent="0.3">
      <c r="AB46" s="1"/>
    </row>
    <row r="47" spans="1:28" x14ac:dyDescent="0.3">
      <c r="A47" s="15" t="s">
        <v>139</v>
      </c>
      <c r="AB47" s="1"/>
    </row>
    <row r="48" spans="1:28" x14ac:dyDescent="0.3">
      <c r="AB48" s="1"/>
    </row>
    <row r="49" spans="1:45" ht="57.6" x14ac:dyDescent="0.3">
      <c r="C49" s="15" t="s">
        <v>47</v>
      </c>
      <c r="D49" s="41" t="s">
        <v>48</v>
      </c>
      <c r="E49" s="41" t="s">
        <v>49</v>
      </c>
      <c r="F49" s="15" t="s">
        <v>50</v>
      </c>
      <c r="G49" s="15" t="s">
        <v>51</v>
      </c>
      <c r="H49" s="15" t="s">
        <v>52</v>
      </c>
      <c r="I49" s="41" t="s">
        <v>53</v>
      </c>
      <c r="J49" s="41" t="s">
        <v>54</v>
      </c>
      <c r="K49" s="41" t="s">
        <v>55</v>
      </c>
      <c r="L49" s="41" t="s">
        <v>56</v>
      </c>
      <c r="M49" s="41" t="s">
        <v>57</v>
      </c>
      <c r="O49" s="42" t="s">
        <v>58</v>
      </c>
      <c r="P49" s="42" t="s">
        <v>59</v>
      </c>
      <c r="S49" s="15" t="s">
        <v>33</v>
      </c>
      <c r="T49" s="41" t="s">
        <v>61</v>
      </c>
      <c r="U49" s="15" t="s">
        <v>62</v>
      </c>
      <c r="V49" s="15" t="s">
        <v>52</v>
      </c>
      <c r="AB49" s="1"/>
      <c r="AC49" s="1"/>
      <c r="AD49" s="1"/>
      <c r="AE49" s="1"/>
      <c r="AF49" s="1"/>
      <c r="AG49" s="1"/>
      <c r="AH49" s="1"/>
      <c r="AI49" s="1"/>
    </row>
    <row r="50" spans="1:45" x14ac:dyDescent="0.3">
      <c r="A50" s="15" t="s">
        <v>63</v>
      </c>
      <c r="C50" s="15" t="s">
        <v>64</v>
      </c>
      <c r="D50" s="15" t="s">
        <v>64</v>
      </c>
      <c r="E50" s="15" t="s">
        <v>64</v>
      </c>
      <c r="F50" s="15" t="s">
        <v>64</v>
      </c>
      <c r="G50" s="15" t="s">
        <v>64</v>
      </c>
      <c r="H50" s="15" t="s">
        <v>64</v>
      </c>
      <c r="I50" s="15" t="s">
        <v>64</v>
      </c>
      <c r="J50" s="15" t="s">
        <v>64</v>
      </c>
      <c r="K50" s="15" t="s">
        <v>64</v>
      </c>
      <c r="L50" s="15" t="s">
        <v>64</v>
      </c>
      <c r="M50" s="15" t="s">
        <v>64</v>
      </c>
      <c r="S50" s="15" t="s">
        <v>65</v>
      </c>
      <c r="T50" s="15" t="s">
        <v>65</v>
      </c>
      <c r="U50" s="15" t="s">
        <v>65</v>
      </c>
      <c r="V50" s="15" t="s">
        <v>65</v>
      </c>
      <c r="AB50" s="1"/>
      <c r="AC50" s="1"/>
      <c r="AD50" s="1"/>
      <c r="AE50" s="1"/>
      <c r="AF50" s="1"/>
      <c r="AG50" s="1"/>
      <c r="AH50" s="1"/>
      <c r="AI50" s="1"/>
    </row>
    <row r="51" spans="1:45" x14ac:dyDescent="0.3">
      <c r="A51" s="11" t="s">
        <v>140</v>
      </c>
      <c r="B51" s="11" t="s">
        <v>141</v>
      </c>
      <c r="C51" s="11"/>
      <c r="D51" s="11"/>
      <c r="E51" s="11"/>
      <c r="F51" s="11"/>
      <c r="G51" s="11"/>
      <c r="H51" s="11"/>
      <c r="I51" s="11">
        <v>9.6</v>
      </c>
      <c r="J51" s="11"/>
      <c r="K51" s="11"/>
      <c r="L51" s="11"/>
      <c r="M51" s="11">
        <v>66</v>
      </c>
      <c r="N51" s="11"/>
      <c r="O51" s="11" t="str">
        <f>IF(ISERROR(VLOOKUP(A51,TAPList!B:F,1,FALSE)),"Not Found","Yes")</f>
        <v>Yes</v>
      </c>
      <c r="P51" s="11" t="str">
        <f>IFERROR(VLOOKUP($A51,HAPList!$A:$E,4,FALSE),"Not Found")</f>
        <v>Yes</v>
      </c>
      <c r="Q51" s="11"/>
      <c r="R51" s="11"/>
      <c r="S51" s="15">
        <f t="shared" ref="S51:S60" si="6">IFERROR($S$1*MAX(C51:E51)/1000000*$C$33*3600*8760/453.592/2000,0)</f>
        <v>0</v>
      </c>
      <c r="T51" s="15">
        <f t="shared" ref="T51:T60" si="7">$T$1*MAX(F51:G51)/1000000*$C$33*3600*8760/453.592/2000</f>
        <v>0</v>
      </c>
      <c r="U51" s="15">
        <f>IFERROR($U$1*MAX(I51:M51)/1000000*$J$36*3600*8760/453.592/2000,0)</f>
        <v>5.2352036131880435E-2</v>
      </c>
      <c r="V51" s="11">
        <f t="shared" ref="V51:V60" si="8">H51/1000000*$R$36*3600*8760/453.592/2000</f>
        <v>0</v>
      </c>
      <c r="W51" s="24">
        <f>SUM(S51:V51)*30000/38000</f>
        <v>4.1330554840958239E-2</v>
      </c>
      <c r="X51" s="24">
        <f>SUM(S51:V51)*75000/38000</f>
        <v>0.1033263871023956</v>
      </c>
      <c r="Y51" s="15">
        <f t="shared" ref="Y51:Y60" si="9">SUM(S51:V51)</f>
        <v>5.2352036131880435E-2</v>
      </c>
      <c r="AB51" s="1"/>
      <c r="AC51" s="1"/>
      <c r="AD51" s="1"/>
      <c r="AE51" s="1"/>
      <c r="AF51" s="1"/>
      <c r="AG51" s="1"/>
      <c r="AH51" s="1"/>
      <c r="AI51" s="1"/>
    </row>
    <row r="52" spans="1:45" s="2" customFormat="1" ht="13.95" customHeight="1" x14ac:dyDescent="0.3">
      <c r="A52" s="2" t="s">
        <v>142</v>
      </c>
      <c r="B52" s="2" t="s">
        <v>143</v>
      </c>
      <c r="E52" s="2">
        <v>4</v>
      </c>
      <c r="F52" s="2">
        <v>21</v>
      </c>
      <c r="I52" s="2">
        <v>6.1</v>
      </c>
      <c r="K52" s="2">
        <v>3.8</v>
      </c>
      <c r="L52" s="2">
        <v>4.5999999999999996</v>
      </c>
      <c r="M52" s="2">
        <v>1100</v>
      </c>
      <c r="O52" s="2" t="str">
        <f>IF(ISERROR(VLOOKUP(A52,TAPList!B:F,1,FALSE)),"Not Found","Yes")</f>
        <v>Yes</v>
      </c>
      <c r="P52" s="2" t="str">
        <f>IFERROR(VLOOKUP($A52,HAPList!$A:$E,4,FALSE),"Not Found")</f>
        <v>Yes</v>
      </c>
      <c r="Q52" s="15"/>
      <c r="S52" s="15">
        <f t="shared" si="6"/>
        <v>5.6699418211453453E-4</v>
      </c>
      <c r="T52" s="15">
        <f t="shared" si="7"/>
        <v>1.4883597280506539E-4</v>
      </c>
      <c r="U52" s="15">
        <f t="shared" ref="U52:U60" si="10">IFERROR($U$1*MAX(I52:M52)/1000000*$J$36*3600*8760/453.592/2000,0)</f>
        <v>0.87253393553134062</v>
      </c>
      <c r="V52" s="2">
        <f t="shared" si="8"/>
        <v>0</v>
      </c>
      <c r="W52" s="45">
        <f>SUM(S52:V52)*30000/38000</f>
        <v>0.68940770975231069</v>
      </c>
      <c r="X52" s="45">
        <f>SUM(S52:V52)*75000/38000</f>
        <v>1.7235192743807768</v>
      </c>
      <c r="Y52" s="2">
        <f t="shared" si="9"/>
        <v>0.87324976568626023</v>
      </c>
      <c r="Z52" s="15"/>
      <c r="AA52" s="15"/>
      <c r="AB52" s="1"/>
      <c r="AC52" s="13"/>
      <c r="AD52" s="13"/>
      <c r="AE52" s="13"/>
      <c r="AF52" s="13"/>
      <c r="AG52" s="13"/>
      <c r="AH52" s="13"/>
      <c r="AI52" s="13"/>
    </row>
    <row r="53" spans="1:45" x14ac:dyDescent="0.3">
      <c r="A53" s="15" t="s">
        <v>144</v>
      </c>
      <c r="B53" s="15" t="s">
        <v>145</v>
      </c>
      <c r="M53" s="15">
        <v>230</v>
      </c>
      <c r="O53" s="15" t="str">
        <f>IF(ISERROR(VLOOKUP(A53,TAPList!B:F,1,FALSE)),"Not Found","Yes")</f>
        <v>Yes</v>
      </c>
      <c r="P53" s="15" t="str">
        <f>IFERROR(VLOOKUP($A53,HAPList!$A:$E,4,FALSE),"Not Found")</f>
        <v>Yes</v>
      </c>
      <c r="S53" s="15">
        <f t="shared" si="6"/>
        <v>0</v>
      </c>
      <c r="T53" s="15">
        <f t="shared" si="7"/>
        <v>0</v>
      </c>
      <c r="U53" s="15">
        <f t="shared" si="10"/>
        <v>0.18243891379291668</v>
      </c>
      <c r="V53" s="15">
        <f t="shared" si="8"/>
        <v>0</v>
      </c>
      <c r="W53" s="24">
        <f>SUM(S53:V53)*30000/38000</f>
        <v>0.14403072141546056</v>
      </c>
      <c r="X53" s="24">
        <f>SUM(S53:V53)*75000/38000</f>
        <v>0.36007680353865135</v>
      </c>
      <c r="Y53" s="15">
        <f t="shared" si="9"/>
        <v>0.18243891379291668</v>
      </c>
      <c r="AB53" s="1"/>
      <c r="AC53" s="1"/>
      <c r="AD53" s="1"/>
      <c r="AE53" s="1"/>
      <c r="AF53" s="1"/>
      <c r="AG53" s="1"/>
      <c r="AH53" s="1"/>
      <c r="AI53" s="1"/>
    </row>
    <row r="54" spans="1:45" x14ac:dyDescent="0.3">
      <c r="A54" s="15" t="s">
        <v>146</v>
      </c>
      <c r="B54" s="15" t="s">
        <v>147</v>
      </c>
      <c r="M54" s="15">
        <v>220</v>
      </c>
      <c r="O54" s="15" t="str">
        <f>IF(ISERROR(VLOOKUP(A54,TAPList!B:F,1,FALSE)),"Not Found","Yes")</f>
        <v>Not Found</v>
      </c>
      <c r="P54" s="15" t="str">
        <f>IFERROR(VLOOKUP($A54,HAPList!$A:$E,4,FALSE),"Not Found")</f>
        <v>Not Found</v>
      </c>
      <c r="S54" s="15">
        <f t="shared" si="6"/>
        <v>0</v>
      </c>
      <c r="T54" s="15">
        <f t="shared" si="7"/>
        <v>0</v>
      </c>
      <c r="U54" s="15">
        <f t="shared" si="10"/>
        <v>0.1745067871062681</v>
      </c>
      <c r="V54" s="15">
        <f t="shared" si="8"/>
        <v>0</v>
      </c>
      <c r="W54" s="15">
        <f>IF(ISNUMBER(#REF!),1,0)</f>
        <v>0</v>
      </c>
      <c r="X54" s="15">
        <f t="shared" ref="X54:X60" si="11">IF(P54="Yes",1,0)</f>
        <v>0</v>
      </c>
      <c r="Y54" s="15">
        <f t="shared" si="9"/>
        <v>0.1745067871062681</v>
      </c>
      <c r="AB54" s="1"/>
      <c r="AC54" s="1"/>
      <c r="AD54" s="1"/>
      <c r="AE54" s="1"/>
      <c r="AF54" s="1"/>
      <c r="AG54" s="1"/>
      <c r="AH54" s="1"/>
      <c r="AI54" s="1"/>
    </row>
    <row r="55" spans="1:45" x14ac:dyDescent="0.3">
      <c r="A55" s="15" t="s">
        <v>148</v>
      </c>
      <c r="B55" s="15" t="s">
        <v>149</v>
      </c>
      <c r="I55" s="15">
        <v>4.8</v>
      </c>
      <c r="M55" s="15">
        <v>250</v>
      </c>
      <c r="O55" s="15" t="str">
        <f>IF(ISERROR(VLOOKUP(A55,TAPList!B:F,1,FALSE)),"Not Found","Yes")</f>
        <v>Not Found</v>
      </c>
      <c r="P55" s="15" t="str">
        <f>IFERROR(VLOOKUP($A55,HAPList!$A:$E,4,FALSE),"Not Found")</f>
        <v>Not Found</v>
      </c>
      <c r="S55" s="15">
        <f t="shared" si="6"/>
        <v>0</v>
      </c>
      <c r="T55" s="15">
        <f t="shared" si="7"/>
        <v>0</v>
      </c>
      <c r="U55" s="15">
        <f t="shared" si="10"/>
        <v>0.19830316716621377</v>
      </c>
      <c r="V55" s="15">
        <f t="shared" si="8"/>
        <v>0</v>
      </c>
      <c r="W55" s="15">
        <f>IF(ISNUMBER(#REF!),1,0)</f>
        <v>0</v>
      </c>
      <c r="X55" s="15">
        <f t="shared" si="11"/>
        <v>0</v>
      </c>
      <c r="Y55" s="15">
        <f t="shared" si="9"/>
        <v>0.19830316716621377</v>
      </c>
      <c r="AB55" s="1"/>
      <c r="AC55" s="1"/>
      <c r="AD55" s="1"/>
      <c r="AE55" s="1"/>
      <c r="AF55" s="1"/>
      <c r="AG55" s="1"/>
      <c r="AH55" s="1"/>
      <c r="AI55" s="1"/>
    </row>
    <row r="56" spans="1:45" x14ac:dyDescent="0.3">
      <c r="A56" s="15" t="s">
        <v>150</v>
      </c>
      <c r="B56" s="15" t="s">
        <v>151</v>
      </c>
      <c r="M56" s="15">
        <v>260</v>
      </c>
      <c r="O56" s="15" t="str">
        <f>IF(ISERROR(VLOOKUP(A56,TAPList!B:F,1,FALSE)),"Not Found","Yes")</f>
        <v>Not Found</v>
      </c>
      <c r="P56" s="15" t="str">
        <f>IFERROR(VLOOKUP($A56,HAPList!$A:$E,4,FALSE),"Not Found")</f>
        <v>Not Found</v>
      </c>
      <c r="S56" s="15">
        <f t="shared" si="6"/>
        <v>0</v>
      </c>
      <c r="T56" s="15">
        <f t="shared" si="7"/>
        <v>0</v>
      </c>
      <c r="U56" s="15">
        <f t="shared" si="10"/>
        <v>0.20623529385286227</v>
      </c>
      <c r="V56" s="15">
        <f t="shared" si="8"/>
        <v>0</v>
      </c>
      <c r="W56" s="15">
        <f>IF(ISNUMBER(#REF!),1,0)</f>
        <v>0</v>
      </c>
      <c r="X56" s="15">
        <f t="shared" si="11"/>
        <v>0</v>
      </c>
      <c r="Y56" s="15">
        <f t="shared" si="9"/>
        <v>0.20623529385286227</v>
      </c>
      <c r="AB56" s="1"/>
      <c r="AC56" s="1"/>
      <c r="AD56" s="1"/>
      <c r="AE56" s="1"/>
      <c r="AF56" s="1"/>
      <c r="AG56" s="1"/>
      <c r="AH56" s="1"/>
      <c r="AI56" s="1"/>
    </row>
    <row r="57" spans="1:45" x14ac:dyDescent="0.3">
      <c r="A57" s="15" t="s">
        <v>152</v>
      </c>
      <c r="B57" s="15" t="s">
        <v>153</v>
      </c>
      <c r="M57" s="15">
        <v>6.6</v>
      </c>
      <c r="O57" s="15" t="str">
        <f>IF(ISERROR(VLOOKUP(A57,TAPList!B:F,1,FALSE)),"Not Found","Yes")</f>
        <v>Not Found</v>
      </c>
      <c r="P57" s="15" t="str">
        <f>IFERROR(VLOOKUP($A57,HAPList!$A:$E,4,FALSE),"Not Found")</f>
        <v>No</v>
      </c>
      <c r="S57" s="15">
        <f t="shared" si="6"/>
        <v>0</v>
      </c>
      <c r="T57" s="15">
        <f t="shared" si="7"/>
        <v>0</v>
      </c>
      <c r="U57" s="15">
        <f t="shared" si="10"/>
        <v>5.2352036131880428E-3</v>
      </c>
      <c r="V57" s="15">
        <f t="shared" si="8"/>
        <v>0</v>
      </c>
      <c r="W57" s="15">
        <f>IF(ISNUMBER(#REF!),1,0)</f>
        <v>0</v>
      </c>
      <c r="X57" s="15">
        <f t="shared" si="11"/>
        <v>0</v>
      </c>
      <c r="Y57" s="15">
        <f t="shared" si="9"/>
        <v>5.2352036131880428E-3</v>
      </c>
      <c r="AB57" s="1"/>
      <c r="AC57" s="1"/>
      <c r="AD57" s="1"/>
      <c r="AE57" s="1"/>
      <c r="AF57" s="1"/>
      <c r="AG57" s="1"/>
      <c r="AH57" s="1"/>
      <c r="AI57" s="1"/>
    </row>
    <row r="58" spans="1:45" x14ac:dyDescent="0.3">
      <c r="A58" s="15" t="s">
        <v>154</v>
      </c>
      <c r="B58" s="15" t="s">
        <v>155</v>
      </c>
      <c r="M58" s="15">
        <v>13</v>
      </c>
      <c r="O58" s="15" t="str">
        <f>IF(ISERROR(VLOOKUP(A58,TAPList!B:F,1,FALSE)),"Not Found","Yes")</f>
        <v>Not Found</v>
      </c>
      <c r="P58" s="15" t="str">
        <f>IFERROR(VLOOKUP($A58,HAPList!$A:$E,4,FALSE),"Not Found")</f>
        <v>Not Found</v>
      </c>
      <c r="S58" s="15">
        <f t="shared" si="6"/>
        <v>0</v>
      </c>
      <c r="T58" s="15">
        <f t="shared" si="7"/>
        <v>0</v>
      </c>
      <c r="U58" s="15">
        <f t="shared" si="10"/>
        <v>1.0311764692643116E-2</v>
      </c>
      <c r="V58" s="15">
        <f t="shared" si="8"/>
        <v>0</v>
      </c>
      <c r="W58" s="15">
        <f>IF(ISNUMBER(#REF!),1,0)</f>
        <v>0</v>
      </c>
      <c r="X58" s="15">
        <f t="shared" si="11"/>
        <v>0</v>
      </c>
      <c r="Y58" s="15">
        <f t="shared" si="9"/>
        <v>1.0311764692643116E-2</v>
      </c>
      <c r="AB58" s="1"/>
      <c r="AC58" s="1"/>
      <c r="AD58" s="1"/>
      <c r="AE58" s="1"/>
      <c r="AF58" s="1"/>
      <c r="AG58" s="1"/>
      <c r="AH58" s="1"/>
      <c r="AI58" s="1"/>
    </row>
    <row r="59" spans="1:45" x14ac:dyDescent="0.3">
      <c r="A59" s="15" t="s">
        <v>156</v>
      </c>
      <c r="B59" s="15" t="s">
        <v>157</v>
      </c>
      <c r="M59" s="15">
        <v>23</v>
      </c>
      <c r="O59" s="15" t="str">
        <f>IF(ISERROR(VLOOKUP(A59,TAPList!B:F,1,FALSE)),"Not Found","Yes")</f>
        <v>Not Found</v>
      </c>
      <c r="P59" s="15" t="str">
        <f>IFERROR(VLOOKUP($A59,HAPList!$A:$E,4,FALSE),"Not Found")</f>
        <v>Not Found</v>
      </c>
      <c r="S59" s="15">
        <f t="shared" si="6"/>
        <v>0</v>
      </c>
      <c r="T59" s="15">
        <f t="shared" si="7"/>
        <v>0</v>
      </c>
      <c r="U59" s="15">
        <f t="shared" si="10"/>
        <v>1.8243891379291666E-2</v>
      </c>
      <c r="V59" s="15">
        <f t="shared" si="8"/>
        <v>0</v>
      </c>
      <c r="W59" s="15">
        <f>IF(ISNUMBER(#REF!),1,0)</f>
        <v>0</v>
      </c>
      <c r="X59" s="15">
        <f t="shared" si="11"/>
        <v>0</v>
      </c>
      <c r="Y59" s="15">
        <f t="shared" si="9"/>
        <v>1.8243891379291666E-2</v>
      </c>
      <c r="AB59" s="1"/>
      <c r="AC59" s="1"/>
      <c r="AD59" s="1"/>
      <c r="AE59" s="1"/>
      <c r="AF59" s="1"/>
      <c r="AG59" s="1"/>
      <c r="AH59" s="1"/>
      <c r="AI59" s="1"/>
    </row>
    <row r="60" spans="1:45" x14ac:dyDescent="0.3">
      <c r="A60" s="15" t="s">
        <v>158</v>
      </c>
      <c r="B60" s="15" t="s">
        <v>159</v>
      </c>
      <c r="L60" s="15">
        <v>3.8</v>
      </c>
      <c r="O60" s="15" t="str">
        <f>IF(ISERROR(VLOOKUP(A60,TAPList!B:F,1,FALSE)),"Not Found","Yes")</f>
        <v>Not Found</v>
      </c>
      <c r="P60" s="15" t="str">
        <f>IFERROR(VLOOKUP($A60,HAPList!$A:$E,4,FALSE),"Not Found")</f>
        <v>Not Found</v>
      </c>
      <c r="S60" s="15">
        <f t="shared" si="6"/>
        <v>0</v>
      </c>
      <c r="T60" s="15">
        <f t="shared" si="7"/>
        <v>0</v>
      </c>
      <c r="U60" s="15">
        <f t="shared" si="10"/>
        <v>3.0142081409264493E-3</v>
      </c>
      <c r="V60" s="15">
        <f t="shared" si="8"/>
        <v>0</v>
      </c>
      <c r="W60" s="15">
        <f>IF(ISNUMBER(#REF!),1,0)</f>
        <v>0</v>
      </c>
      <c r="X60" s="15">
        <f t="shared" si="11"/>
        <v>0</v>
      </c>
      <c r="Y60" s="15">
        <f t="shared" si="9"/>
        <v>3.0142081409264493E-3</v>
      </c>
      <c r="AB60" s="1"/>
      <c r="AC60" s="1"/>
      <c r="AD60" s="1"/>
      <c r="AE60" s="1"/>
      <c r="AF60" s="1"/>
      <c r="AG60" s="1"/>
      <c r="AH60" s="1"/>
      <c r="AI60" s="1"/>
    </row>
    <row r="61" spans="1:45" x14ac:dyDescent="0.3">
      <c r="AB61" s="1"/>
      <c r="AC61" s="1"/>
      <c r="AD61" s="1"/>
      <c r="AE61" s="1"/>
      <c r="AF61" s="1"/>
      <c r="AG61" s="1"/>
      <c r="AH61" s="1"/>
      <c r="AI61" s="1"/>
    </row>
    <row r="62" spans="1:45" x14ac:dyDescent="0.3">
      <c r="AB62" s="1"/>
    </row>
    <row r="63" spans="1:45" x14ac:dyDescent="0.3">
      <c r="A63" s="2" t="s">
        <v>142</v>
      </c>
      <c r="B63" s="2" t="s">
        <v>143</v>
      </c>
      <c r="C63" s="2"/>
      <c r="D63" s="2"/>
      <c r="E63" s="2">
        <v>4</v>
      </c>
      <c r="F63" s="2">
        <v>21</v>
      </c>
      <c r="G63" s="2"/>
      <c r="H63" s="2"/>
      <c r="I63" s="2">
        <v>6.1</v>
      </c>
      <c r="J63" s="2"/>
      <c r="K63" s="2">
        <v>3.8</v>
      </c>
      <c r="L63" s="2">
        <v>4.5999999999999996</v>
      </c>
      <c r="M63" s="2"/>
      <c r="N63" s="2"/>
      <c r="O63" s="2" t="str">
        <f>IF(ISERROR(VLOOKUP(A63,TAPList!B:F,1,FALSE)),"Not Found","Yes")</f>
        <v>Yes</v>
      </c>
      <c r="P63" s="2" t="str">
        <f>IFERROR(VLOOKUP($A63,HAPList!$A:$E,4,FALSE),"Not Found")</f>
        <v>Yes</v>
      </c>
      <c r="R63" s="2"/>
      <c r="S63" s="15">
        <f>IFERROR($S$1*MAX(C63:E63)/1000000*$C$33*3600*8760/453.592/2000,0)</f>
        <v>5.6699418211453453E-4</v>
      </c>
      <c r="T63" s="15">
        <f>$T$1*MAX(F63:G63)/1000000*$C$33*3600*8760/453.592/2000</f>
        <v>1.4883597280506539E-4</v>
      </c>
      <c r="U63" s="15">
        <f>IFERROR($U$1*MAX(I63:M63)/1000000*$J$36*3600*8760/453.592/2000,0)</f>
        <v>4.8385972788556157E-3</v>
      </c>
      <c r="V63" s="2">
        <f>H63/1000000*$R$36*3600*8760/453.592/2000</f>
        <v>0</v>
      </c>
      <c r="W63" s="45">
        <f>SUM(S63:V63)*30000/38000</f>
        <v>4.3850742898225393E-3</v>
      </c>
      <c r="X63" s="45">
        <f>SUM(S63:V63)*75000/38000</f>
        <v>1.0962685724556347E-2</v>
      </c>
      <c r="Y63" s="2">
        <f t="shared" ref="Y63" si="12">SUM(S63:V63)</f>
        <v>5.5544274337752161E-3</v>
      </c>
      <c r="AB63" s="1"/>
      <c r="AC63" s="13"/>
      <c r="AD63" s="13"/>
      <c r="AE63" s="13"/>
      <c r="AF63" s="13"/>
      <c r="AG63" s="13"/>
      <c r="AH63" s="13"/>
      <c r="AI63" s="13"/>
      <c r="AJ63" s="2"/>
      <c r="AK63" s="2"/>
      <c r="AL63" s="2"/>
      <c r="AM63" s="2"/>
      <c r="AN63" s="2"/>
      <c r="AO63" s="2"/>
      <c r="AP63" s="2"/>
      <c r="AQ63" s="2"/>
      <c r="AR63" s="2"/>
      <c r="AS63" s="2"/>
    </row>
    <row r="64" spans="1:45" x14ac:dyDescent="0.3">
      <c r="AB64" s="1"/>
    </row>
    <row r="65" spans="4:28" x14ac:dyDescent="0.3">
      <c r="D65" s="41"/>
      <c r="E65" s="41"/>
      <c r="I65" s="41"/>
      <c r="J65" s="41"/>
      <c r="K65" s="41"/>
      <c r="L65" s="41"/>
      <c r="M65" s="41"/>
      <c r="N65" s="41"/>
      <c r="O65" s="42"/>
      <c r="P65" s="42"/>
      <c r="Q65" s="42"/>
      <c r="T65" s="41"/>
      <c r="AB65" s="1"/>
    </row>
    <row r="66" spans="4:28" x14ac:dyDescent="0.3">
      <c r="AB66" s="1"/>
    </row>
    <row r="67" spans="4:28" x14ac:dyDescent="0.3">
      <c r="AB67" s="1"/>
    </row>
    <row r="68" spans="4:28" x14ac:dyDescent="0.3">
      <c r="AB68" s="1"/>
    </row>
    <row r="69" spans="4:28" x14ac:dyDescent="0.3">
      <c r="AB69" s="1"/>
    </row>
    <row r="70" spans="4:28" x14ac:dyDescent="0.3">
      <c r="AB70" s="1"/>
    </row>
    <row r="71" spans="4:28" x14ac:dyDescent="0.3">
      <c r="AB71" s="1"/>
    </row>
    <row r="72" spans="4:28" x14ac:dyDescent="0.3">
      <c r="AB72" s="1"/>
    </row>
    <row r="73" spans="4:28" x14ac:dyDescent="0.3">
      <c r="AB73" s="1"/>
    </row>
    <row r="74" spans="4:28" x14ac:dyDescent="0.3">
      <c r="AB74" s="1"/>
    </row>
    <row r="75" spans="4:28" x14ac:dyDescent="0.3">
      <c r="AB75" s="1"/>
    </row>
    <row r="76" spans="4:28" x14ac:dyDescent="0.3">
      <c r="F76" s="44"/>
      <c r="AB76" s="1"/>
    </row>
    <row r="77" spans="4:28" x14ac:dyDescent="0.3">
      <c r="F77" s="44"/>
      <c r="AB77" s="1"/>
    </row>
    <row r="78" spans="4:28" x14ac:dyDescent="0.3">
      <c r="F78" s="44"/>
      <c r="AB78" s="1"/>
    </row>
    <row r="79" spans="4:28" x14ac:dyDescent="0.3">
      <c r="F79" s="44"/>
      <c r="AB79" s="1"/>
    </row>
    <row r="80" spans="4:28" x14ac:dyDescent="0.3">
      <c r="F80" s="44"/>
    </row>
    <row r="81" spans="6:6" x14ac:dyDescent="0.3">
      <c r="F81" s="44"/>
    </row>
    <row r="82" spans="6:6" x14ac:dyDescent="0.3">
      <c r="F82" s="44"/>
    </row>
    <row r="83" spans="6:6" x14ac:dyDescent="0.3">
      <c r="F83" s="44"/>
    </row>
  </sheetData>
  <pageMargins left="0.70866141732283472" right="0.70866141732283472" top="0.74803149606299213" bottom="0.74803149606299213" header="0.31496062992125984" footer="0.31496062992125984"/>
  <pageSetup paperSize="9" scale="17"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1"/>
  <sheetViews>
    <sheetView workbookViewId="0"/>
  </sheetViews>
  <sheetFormatPr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65"/>
  <sheetViews>
    <sheetView workbookViewId="0"/>
  </sheetViews>
  <sheetFormatPr defaultColWidth="8.77734375" defaultRowHeight="14.4" x14ac:dyDescent="0.3"/>
  <cols>
    <col min="1" max="1" width="11.77734375" style="48" customWidth="1"/>
    <col min="2" max="2" width="62.5546875" style="15" bestFit="1" customWidth="1"/>
    <col min="3" max="5" width="6.77734375" style="23" bestFit="1" customWidth="1"/>
    <col min="6" max="16384" width="8.77734375" style="15"/>
  </cols>
  <sheetData>
    <row r="1" spans="1:6" x14ac:dyDescent="0.3">
      <c r="A1" s="42" t="s">
        <v>170</v>
      </c>
      <c r="B1" s="42" t="s">
        <v>171</v>
      </c>
      <c r="C1" s="42" t="s">
        <v>172</v>
      </c>
      <c r="D1" s="42" t="s">
        <v>59</v>
      </c>
      <c r="E1" s="42" t="s">
        <v>60</v>
      </c>
      <c r="F1" s="42"/>
    </row>
    <row r="2" spans="1:6" x14ac:dyDescent="0.3">
      <c r="A2" s="48" t="s">
        <v>173</v>
      </c>
      <c r="B2" s="15" t="s">
        <v>174</v>
      </c>
      <c r="C2" s="23" t="s">
        <v>175</v>
      </c>
      <c r="D2" s="23" t="s">
        <v>176</v>
      </c>
      <c r="E2" s="23" t="s">
        <v>175</v>
      </c>
    </row>
    <row r="3" spans="1:6" x14ac:dyDescent="0.3">
      <c r="A3" s="48" t="s">
        <v>177</v>
      </c>
      <c r="B3" s="15" t="s">
        <v>178</v>
      </c>
      <c r="C3" s="23" t="s">
        <v>175</v>
      </c>
      <c r="D3" s="23" t="s">
        <v>176</v>
      </c>
      <c r="E3" s="23" t="s">
        <v>175</v>
      </c>
    </row>
    <row r="4" spans="1:6" x14ac:dyDescent="0.3">
      <c r="A4" s="48" t="s">
        <v>179</v>
      </c>
      <c r="B4" s="15" t="s">
        <v>180</v>
      </c>
      <c r="C4" s="23" t="s">
        <v>175</v>
      </c>
      <c r="D4" s="23" t="s">
        <v>175</v>
      </c>
      <c r="E4" s="23" t="s">
        <v>175</v>
      </c>
    </row>
    <row r="5" spans="1:6" x14ac:dyDescent="0.3">
      <c r="A5" s="48" t="s">
        <v>181</v>
      </c>
      <c r="B5" s="15" t="s">
        <v>182</v>
      </c>
      <c r="C5" s="23" t="s">
        <v>175</v>
      </c>
      <c r="D5" s="23" t="s">
        <v>176</v>
      </c>
      <c r="E5" s="23" t="s">
        <v>175</v>
      </c>
    </row>
    <row r="6" spans="1:6" x14ac:dyDescent="0.3">
      <c r="A6" s="48" t="s">
        <v>95</v>
      </c>
      <c r="B6" s="15" t="s">
        <v>183</v>
      </c>
      <c r="C6" s="23" t="s">
        <v>175</v>
      </c>
      <c r="D6" s="23" t="s">
        <v>175</v>
      </c>
      <c r="E6" s="23" t="s">
        <v>175</v>
      </c>
    </row>
    <row r="7" spans="1:6" x14ac:dyDescent="0.3">
      <c r="A7" s="48" t="s">
        <v>99</v>
      </c>
      <c r="B7" s="15" t="s">
        <v>100</v>
      </c>
      <c r="C7" s="23" t="s">
        <v>175</v>
      </c>
      <c r="D7" s="23" t="s">
        <v>175</v>
      </c>
      <c r="E7" s="23" t="s">
        <v>175</v>
      </c>
    </row>
    <row r="8" spans="1:6" x14ac:dyDescent="0.3">
      <c r="A8" s="48" t="s">
        <v>184</v>
      </c>
      <c r="B8" s="15" t="s">
        <v>185</v>
      </c>
      <c r="C8" s="23" t="s">
        <v>175</v>
      </c>
      <c r="D8" s="23" t="s">
        <v>175</v>
      </c>
      <c r="E8" s="23" t="s">
        <v>175</v>
      </c>
    </row>
    <row r="9" spans="1:6" x14ac:dyDescent="0.3">
      <c r="A9" s="48" t="s">
        <v>186</v>
      </c>
      <c r="B9" s="15" t="s">
        <v>187</v>
      </c>
      <c r="C9" s="23" t="s">
        <v>175</v>
      </c>
      <c r="D9" s="23" t="s">
        <v>176</v>
      </c>
      <c r="E9" s="23" t="s">
        <v>175</v>
      </c>
    </row>
    <row r="10" spans="1:6" x14ac:dyDescent="0.3">
      <c r="A10" s="48" t="s">
        <v>188</v>
      </c>
      <c r="B10" s="15" t="s">
        <v>189</v>
      </c>
      <c r="C10" s="23" t="s">
        <v>175</v>
      </c>
      <c r="D10" s="23" t="s">
        <v>176</v>
      </c>
      <c r="E10" s="23" t="s">
        <v>175</v>
      </c>
    </row>
    <row r="11" spans="1:6" x14ac:dyDescent="0.3">
      <c r="A11" s="48" t="s">
        <v>190</v>
      </c>
      <c r="B11" s="15" t="s">
        <v>191</v>
      </c>
      <c r="C11" s="23" t="s">
        <v>175</v>
      </c>
      <c r="D11" s="23" t="s">
        <v>176</v>
      </c>
      <c r="E11" s="23" t="s">
        <v>175</v>
      </c>
    </row>
    <row r="12" spans="1:6" x14ac:dyDescent="0.3">
      <c r="A12" s="48" t="s">
        <v>192</v>
      </c>
      <c r="B12" s="15" t="s">
        <v>193</v>
      </c>
      <c r="C12" s="23" t="s">
        <v>175</v>
      </c>
      <c r="D12" s="23" t="s">
        <v>176</v>
      </c>
      <c r="E12" s="23" t="s">
        <v>176</v>
      </c>
    </row>
    <row r="13" spans="1:6" x14ac:dyDescent="0.3">
      <c r="A13" s="48" t="s">
        <v>194</v>
      </c>
      <c r="B13" s="15" t="s">
        <v>195</v>
      </c>
      <c r="C13" s="23" t="s">
        <v>175</v>
      </c>
      <c r="D13" s="23" t="s">
        <v>176</v>
      </c>
      <c r="E13" s="23" t="s">
        <v>176</v>
      </c>
    </row>
    <row r="14" spans="1:6" x14ac:dyDescent="0.3">
      <c r="A14" s="48" t="s">
        <v>196</v>
      </c>
      <c r="B14" s="15" t="s">
        <v>197</v>
      </c>
      <c r="C14" s="23" t="s">
        <v>175</v>
      </c>
      <c r="D14" s="23" t="s">
        <v>176</v>
      </c>
      <c r="E14" s="23" t="s">
        <v>176</v>
      </c>
    </row>
    <row r="15" spans="1:6" x14ac:dyDescent="0.3">
      <c r="A15" s="48" t="s">
        <v>198</v>
      </c>
      <c r="B15" s="15" t="s">
        <v>199</v>
      </c>
      <c r="C15" s="23" t="s">
        <v>175</v>
      </c>
      <c r="D15" s="23" t="s">
        <v>176</v>
      </c>
      <c r="E15" s="23" t="s">
        <v>176</v>
      </c>
    </row>
    <row r="16" spans="1:6" x14ac:dyDescent="0.3">
      <c r="A16" s="48" t="s">
        <v>200</v>
      </c>
      <c r="B16" s="15" t="s">
        <v>201</v>
      </c>
      <c r="C16" s="23" t="s">
        <v>175</v>
      </c>
      <c r="D16" s="23" t="s">
        <v>176</v>
      </c>
      <c r="E16" s="23" t="s">
        <v>176</v>
      </c>
    </row>
    <row r="17" spans="1:6" x14ac:dyDescent="0.3">
      <c r="A17" s="48" t="s">
        <v>202</v>
      </c>
      <c r="B17" s="15" t="s">
        <v>203</v>
      </c>
      <c r="C17" s="23" t="s">
        <v>175</v>
      </c>
      <c r="D17" s="23" t="s">
        <v>175</v>
      </c>
      <c r="E17" s="23" t="s">
        <v>175</v>
      </c>
    </row>
    <row r="18" spans="1:6" x14ac:dyDescent="0.3">
      <c r="A18" s="48" t="s">
        <v>204</v>
      </c>
      <c r="B18" s="15" t="s">
        <v>205</v>
      </c>
      <c r="C18" s="23" t="s">
        <v>175</v>
      </c>
      <c r="D18" s="23" t="s">
        <v>175</v>
      </c>
      <c r="E18" s="23" t="s">
        <v>175</v>
      </c>
    </row>
    <row r="19" spans="1:6" x14ac:dyDescent="0.3">
      <c r="A19" s="48" t="s">
        <v>206</v>
      </c>
      <c r="B19" s="15" t="s">
        <v>207</v>
      </c>
      <c r="C19" s="23" t="s">
        <v>175</v>
      </c>
      <c r="D19" s="23" t="s">
        <v>175</v>
      </c>
      <c r="E19" s="23" t="s">
        <v>175</v>
      </c>
    </row>
    <row r="20" spans="1:6" x14ac:dyDescent="0.3">
      <c r="A20" s="48" t="s">
        <v>208</v>
      </c>
      <c r="B20" s="15" t="s">
        <v>209</v>
      </c>
      <c r="C20" s="23" t="s">
        <v>175</v>
      </c>
      <c r="D20" s="23" t="s">
        <v>176</v>
      </c>
      <c r="E20" s="23" t="s">
        <v>175</v>
      </c>
    </row>
    <row r="21" spans="1:6" x14ac:dyDescent="0.3">
      <c r="A21" s="48" t="s">
        <v>210</v>
      </c>
      <c r="B21" s="15" t="s">
        <v>211</v>
      </c>
      <c r="C21" s="23" t="s">
        <v>175</v>
      </c>
      <c r="D21" s="23" t="s">
        <v>176</v>
      </c>
      <c r="E21" s="23" t="s">
        <v>175</v>
      </c>
    </row>
    <row r="22" spans="1:6" x14ac:dyDescent="0.3">
      <c r="A22" s="48" t="s">
        <v>212</v>
      </c>
      <c r="B22" s="15" t="s">
        <v>213</v>
      </c>
      <c r="C22" s="23" t="s">
        <v>175</v>
      </c>
      <c r="D22" s="23" t="s">
        <v>176</v>
      </c>
      <c r="E22" s="23" t="s">
        <v>175</v>
      </c>
    </row>
    <row r="23" spans="1:6" x14ac:dyDescent="0.3">
      <c r="A23" s="48" t="s">
        <v>214</v>
      </c>
      <c r="B23" s="15" t="s">
        <v>215</v>
      </c>
      <c r="C23" s="23" t="s">
        <v>175</v>
      </c>
      <c r="D23" s="23" t="s">
        <v>176</v>
      </c>
      <c r="E23" s="23" t="s">
        <v>176</v>
      </c>
    </row>
    <row r="24" spans="1:6" x14ac:dyDescent="0.3">
      <c r="A24" s="48" t="s">
        <v>216</v>
      </c>
      <c r="B24" s="15" t="s">
        <v>217</v>
      </c>
      <c r="C24" s="23" t="s">
        <v>175</v>
      </c>
      <c r="D24" s="23" t="s">
        <v>176</v>
      </c>
      <c r="E24" s="23" t="s">
        <v>175</v>
      </c>
    </row>
    <row r="25" spans="1:6" x14ac:dyDescent="0.3">
      <c r="A25" s="48" t="s">
        <v>218</v>
      </c>
      <c r="B25" s="15" t="s">
        <v>219</v>
      </c>
      <c r="C25" s="23" t="s">
        <v>175</v>
      </c>
      <c r="D25" s="23" t="s">
        <v>176</v>
      </c>
      <c r="E25" s="23" t="s">
        <v>175</v>
      </c>
    </row>
    <row r="26" spans="1:6" x14ac:dyDescent="0.3">
      <c r="A26" s="48" t="s">
        <v>220</v>
      </c>
      <c r="B26" s="15" t="s">
        <v>221</v>
      </c>
      <c r="C26" s="23" t="s">
        <v>175</v>
      </c>
      <c r="D26" s="23" t="s">
        <v>176</v>
      </c>
      <c r="E26" s="23" t="s">
        <v>175</v>
      </c>
    </row>
    <row r="27" spans="1:6" x14ac:dyDescent="0.3">
      <c r="A27" s="48" t="s">
        <v>222</v>
      </c>
      <c r="B27" s="15" t="s">
        <v>223</v>
      </c>
      <c r="C27" s="23" t="s">
        <v>175</v>
      </c>
      <c r="D27" s="23" t="s">
        <v>176</v>
      </c>
      <c r="E27" s="23" t="s">
        <v>176</v>
      </c>
    </row>
    <row r="28" spans="1:6" x14ac:dyDescent="0.3">
      <c r="A28" s="48" t="s">
        <v>224</v>
      </c>
      <c r="B28" s="15" t="s">
        <v>225</v>
      </c>
      <c r="C28" s="23" t="s">
        <v>175</v>
      </c>
      <c r="D28" s="23" t="s">
        <v>176</v>
      </c>
      <c r="E28" s="23" t="s">
        <v>175</v>
      </c>
    </row>
    <row r="29" spans="1:6" x14ac:dyDescent="0.3">
      <c r="A29" s="48" t="s">
        <v>226</v>
      </c>
      <c r="B29" s="15" t="s">
        <v>227</v>
      </c>
      <c r="C29" s="23" t="s">
        <v>175</v>
      </c>
      <c r="D29" s="23" t="s">
        <v>228</v>
      </c>
      <c r="E29" s="23" t="s">
        <v>175</v>
      </c>
      <c r="F29" s="49" t="s">
        <v>229</v>
      </c>
    </row>
    <row r="30" spans="1:6" x14ac:dyDescent="0.3">
      <c r="A30" s="48" t="s">
        <v>230</v>
      </c>
      <c r="B30" s="15" t="s">
        <v>231</v>
      </c>
      <c r="C30" s="23" t="s">
        <v>175</v>
      </c>
      <c r="D30" s="23" t="s">
        <v>176</v>
      </c>
      <c r="E30" s="23" t="s">
        <v>176</v>
      </c>
    </row>
    <row r="31" spans="1:6" x14ac:dyDescent="0.3">
      <c r="A31" s="48" t="s">
        <v>232</v>
      </c>
      <c r="B31" s="15" t="s">
        <v>233</v>
      </c>
      <c r="C31" s="23" t="s">
        <v>175</v>
      </c>
      <c r="D31" s="23" t="s">
        <v>176</v>
      </c>
      <c r="E31" s="23" t="s">
        <v>175</v>
      </c>
    </row>
    <row r="32" spans="1:6" x14ac:dyDescent="0.3">
      <c r="A32" s="48" t="s">
        <v>234</v>
      </c>
      <c r="B32" s="15" t="s">
        <v>235</v>
      </c>
      <c r="C32" s="23" t="s">
        <v>175</v>
      </c>
      <c r="D32" s="23" t="s">
        <v>175</v>
      </c>
      <c r="E32" s="23" t="s">
        <v>175</v>
      </c>
    </row>
    <row r="33" spans="1:5" x14ac:dyDescent="0.3">
      <c r="A33" s="48" t="s">
        <v>236</v>
      </c>
      <c r="B33" s="15" t="s">
        <v>237</v>
      </c>
      <c r="C33" s="23" t="s">
        <v>175</v>
      </c>
      <c r="D33" s="23" t="s">
        <v>175</v>
      </c>
      <c r="E33" s="23" t="s">
        <v>175</v>
      </c>
    </row>
    <row r="34" spans="1:5" x14ac:dyDescent="0.3">
      <c r="A34" s="48" t="s">
        <v>238</v>
      </c>
      <c r="B34" s="15" t="s">
        <v>239</v>
      </c>
      <c r="C34" s="23" t="s">
        <v>175</v>
      </c>
      <c r="D34" s="23" t="s">
        <v>175</v>
      </c>
      <c r="E34" s="23" t="s">
        <v>175</v>
      </c>
    </row>
    <row r="35" spans="1:5" x14ac:dyDescent="0.3">
      <c r="A35" s="48" t="s">
        <v>240</v>
      </c>
      <c r="B35" s="15" t="s">
        <v>241</v>
      </c>
      <c r="C35" s="23" t="s">
        <v>175</v>
      </c>
      <c r="D35" s="23" t="s">
        <v>176</v>
      </c>
      <c r="E35" s="23" t="s">
        <v>175</v>
      </c>
    </row>
    <row r="36" spans="1:5" x14ac:dyDescent="0.3">
      <c r="A36" s="48" t="s">
        <v>242</v>
      </c>
      <c r="B36" s="15" t="s">
        <v>243</v>
      </c>
      <c r="C36" s="23" t="s">
        <v>175</v>
      </c>
      <c r="D36" s="23" t="s">
        <v>175</v>
      </c>
      <c r="E36" s="23" t="s">
        <v>175</v>
      </c>
    </row>
    <row r="37" spans="1:5" x14ac:dyDescent="0.3">
      <c r="A37" s="48" t="s">
        <v>244</v>
      </c>
      <c r="B37" s="15" t="s">
        <v>245</v>
      </c>
      <c r="C37" s="23" t="s">
        <v>175</v>
      </c>
      <c r="D37" s="23" t="s">
        <v>175</v>
      </c>
      <c r="E37" s="23" t="s">
        <v>175</v>
      </c>
    </row>
    <row r="38" spans="1:5" x14ac:dyDescent="0.3">
      <c r="A38" s="48" t="s">
        <v>246</v>
      </c>
      <c r="B38" s="15" t="s">
        <v>247</v>
      </c>
      <c r="C38" s="23" t="s">
        <v>175</v>
      </c>
      <c r="D38" s="23" t="s">
        <v>176</v>
      </c>
      <c r="E38" s="23" t="s">
        <v>175</v>
      </c>
    </row>
    <row r="39" spans="1:5" x14ac:dyDescent="0.3">
      <c r="A39" s="48" t="s">
        <v>248</v>
      </c>
      <c r="B39" s="15" t="s">
        <v>249</v>
      </c>
      <c r="C39" s="23" t="s">
        <v>175</v>
      </c>
      <c r="D39" s="23" t="s">
        <v>175</v>
      </c>
      <c r="E39" s="23" t="s">
        <v>175</v>
      </c>
    </row>
    <row r="40" spans="1:5" x14ac:dyDescent="0.3">
      <c r="A40" s="48" t="s">
        <v>250</v>
      </c>
      <c r="B40" s="15" t="s">
        <v>251</v>
      </c>
      <c r="C40" s="23" t="s">
        <v>175</v>
      </c>
      <c r="D40" s="23" t="s">
        <v>175</v>
      </c>
      <c r="E40" s="23" t="s">
        <v>175</v>
      </c>
    </row>
    <row r="41" spans="1:5" x14ac:dyDescent="0.3">
      <c r="A41" s="48" t="s">
        <v>252</v>
      </c>
      <c r="B41" s="15" t="s">
        <v>253</v>
      </c>
      <c r="C41" s="23" t="s">
        <v>175</v>
      </c>
      <c r="D41" s="23" t="s">
        <v>176</v>
      </c>
      <c r="E41" s="23" t="s">
        <v>175</v>
      </c>
    </row>
    <row r="42" spans="1:5" x14ac:dyDescent="0.3">
      <c r="A42" s="48" t="s">
        <v>254</v>
      </c>
      <c r="B42" s="15" t="s">
        <v>255</v>
      </c>
      <c r="C42" s="23" t="s">
        <v>175</v>
      </c>
      <c r="D42" s="23" t="s">
        <v>175</v>
      </c>
      <c r="E42" s="23" t="s">
        <v>175</v>
      </c>
    </row>
    <row r="43" spans="1:5" x14ac:dyDescent="0.3">
      <c r="A43" s="48" t="s">
        <v>256</v>
      </c>
      <c r="B43" s="15" t="s">
        <v>257</v>
      </c>
      <c r="C43" s="23" t="s">
        <v>175</v>
      </c>
      <c r="D43" s="23" t="s">
        <v>176</v>
      </c>
      <c r="E43" s="23" t="s">
        <v>175</v>
      </c>
    </row>
    <row r="44" spans="1:5" x14ac:dyDescent="0.3">
      <c r="A44" s="48" t="s">
        <v>73</v>
      </c>
      <c r="B44" s="15" t="s">
        <v>74</v>
      </c>
      <c r="C44" s="23" t="s">
        <v>175</v>
      </c>
      <c r="D44" s="23" t="s">
        <v>175</v>
      </c>
      <c r="E44" s="23" t="s">
        <v>175</v>
      </c>
    </row>
    <row r="45" spans="1:5" x14ac:dyDescent="0.3">
      <c r="A45" s="48" t="s">
        <v>258</v>
      </c>
      <c r="B45" s="15" t="s">
        <v>259</v>
      </c>
      <c r="C45" s="23" t="s">
        <v>175</v>
      </c>
      <c r="D45" s="23" t="s">
        <v>175</v>
      </c>
      <c r="E45" s="23" t="s">
        <v>175</v>
      </c>
    </row>
    <row r="46" spans="1:5" x14ac:dyDescent="0.3">
      <c r="A46" s="48" t="s">
        <v>260</v>
      </c>
      <c r="B46" s="15" t="s">
        <v>261</v>
      </c>
      <c r="C46" s="23" t="s">
        <v>175</v>
      </c>
      <c r="D46" s="23" t="s">
        <v>175</v>
      </c>
      <c r="E46" s="23" t="s">
        <v>175</v>
      </c>
    </row>
    <row r="47" spans="1:5" x14ac:dyDescent="0.3">
      <c r="A47" s="48" t="s">
        <v>262</v>
      </c>
      <c r="B47" s="15" t="s">
        <v>263</v>
      </c>
      <c r="C47" s="23" t="s">
        <v>175</v>
      </c>
      <c r="D47" s="23" t="s">
        <v>175</v>
      </c>
      <c r="E47" s="23" t="s">
        <v>175</v>
      </c>
    </row>
    <row r="48" spans="1:5" x14ac:dyDescent="0.3">
      <c r="A48" s="48" t="s">
        <v>264</v>
      </c>
      <c r="B48" s="15" t="s">
        <v>265</v>
      </c>
      <c r="C48" s="23" t="s">
        <v>175</v>
      </c>
      <c r="D48" s="23" t="s">
        <v>176</v>
      </c>
      <c r="E48" s="23" t="s">
        <v>175</v>
      </c>
    </row>
    <row r="49" spans="1:5" x14ac:dyDescent="0.3">
      <c r="A49" s="48" t="s">
        <v>266</v>
      </c>
      <c r="B49" s="15" t="s">
        <v>267</v>
      </c>
      <c r="C49" s="23" t="s">
        <v>175</v>
      </c>
      <c r="D49" s="23" t="s">
        <v>175</v>
      </c>
      <c r="E49" s="23" t="s">
        <v>175</v>
      </c>
    </row>
    <row r="50" spans="1:5" x14ac:dyDescent="0.3">
      <c r="A50" s="48" t="s">
        <v>268</v>
      </c>
      <c r="B50" s="15" t="s">
        <v>269</v>
      </c>
      <c r="C50" s="23" t="s">
        <v>175</v>
      </c>
      <c r="D50" s="23" t="s">
        <v>176</v>
      </c>
      <c r="E50" s="23" t="s">
        <v>175</v>
      </c>
    </row>
    <row r="51" spans="1:5" x14ac:dyDescent="0.3">
      <c r="A51" s="48" t="s">
        <v>270</v>
      </c>
      <c r="B51" s="15" t="s">
        <v>271</v>
      </c>
      <c r="C51" s="23" t="s">
        <v>175</v>
      </c>
      <c r="D51" s="23" t="s">
        <v>176</v>
      </c>
      <c r="E51" s="23" t="s">
        <v>175</v>
      </c>
    </row>
    <row r="52" spans="1:5" x14ac:dyDescent="0.3">
      <c r="A52" s="48" t="s">
        <v>272</v>
      </c>
      <c r="B52" s="15" t="s">
        <v>273</v>
      </c>
      <c r="C52" s="23" t="s">
        <v>175</v>
      </c>
      <c r="D52" s="23" t="s">
        <v>176</v>
      </c>
      <c r="E52" s="23" t="s">
        <v>175</v>
      </c>
    </row>
    <row r="53" spans="1:5" x14ac:dyDescent="0.3">
      <c r="A53" s="48" t="s">
        <v>274</v>
      </c>
      <c r="B53" s="15" t="s">
        <v>275</v>
      </c>
      <c r="C53" s="23" t="s">
        <v>175</v>
      </c>
      <c r="D53" s="23" t="s">
        <v>176</v>
      </c>
      <c r="E53" s="23" t="s">
        <v>175</v>
      </c>
    </row>
    <row r="54" spans="1:5" x14ac:dyDescent="0.3">
      <c r="A54" s="48" t="s">
        <v>276</v>
      </c>
      <c r="B54" s="15" t="s">
        <v>277</v>
      </c>
      <c r="C54" s="23" t="s">
        <v>175</v>
      </c>
      <c r="D54" s="23" t="s">
        <v>175</v>
      </c>
      <c r="E54" s="23" t="s">
        <v>175</v>
      </c>
    </row>
    <row r="55" spans="1:5" x14ac:dyDescent="0.3">
      <c r="A55" s="48" t="s">
        <v>278</v>
      </c>
      <c r="B55" s="15" t="s">
        <v>279</v>
      </c>
      <c r="C55" s="23" t="s">
        <v>175</v>
      </c>
      <c r="D55" s="23" t="s">
        <v>175</v>
      </c>
      <c r="E55" s="23" t="s">
        <v>175</v>
      </c>
    </row>
    <row r="56" spans="1:5" x14ac:dyDescent="0.3">
      <c r="A56" s="48" t="s">
        <v>280</v>
      </c>
      <c r="B56" s="15" t="s">
        <v>281</v>
      </c>
      <c r="C56" s="23" t="s">
        <v>175</v>
      </c>
      <c r="D56" s="23" t="s">
        <v>176</v>
      </c>
      <c r="E56" s="23" t="s">
        <v>175</v>
      </c>
    </row>
    <row r="57" spans="1:5" x14ac:dyDescent="0.3">
      <c r="A57" s="48" t="s">
        <v>282</v>
      </c>
      <c r="B57" s="15" t="s">
        <v>283</v>
      </c>
      <c r="C57" s="23" t="s">
        <v>175</v>
      </c>
      <c r="D57" s="23" t="s">
        <v>176</v>
      </c>
      <c r="E57" s="23" t="s">
        <v>175</v>
      </c>
    </row>
    <row r="58" spans="1:5" x14ac:dyDescent="0.3">
      <c r="A58" s="48" t="s">
        <v>284</v>
      </c>
      <c r="B58" s="15" t="s">
        <v>285</v>
      </c>
      <c r="C58" s="23" t="s">
        <v>175</v>
      </c>
      <c r="D58" s="23" t="s">
        <v>176</v>
      </c>
      <c r="E58" s="23" t="s">
        <v>175</v>
      </c>
    </row>
    <row r="59" spans="1:5" x14ac:dyDescent="0.3">
      <c r="A59" s="48" t="s">
        <v>286</v>
      </c>
      <c r="B59" s="15" t="s">
        <v>287</v>
      </c>
      <c r="C59" s="23" t="s">
        <v>175</v>
      </c>
      <c r="D59" s="23" t="s">
        <v>176</v>
      </c>
      <c r="E59" s="23" t="s">
        <v>175</v>
      </c>
    </row>
    <row r="60" spans="1:5" x14ac:dyDescent="0.3">
      <c r="A60" s="48" t="s">
        <v>288</v>
      </c>
      <c r="B60" s="15" t="s">
        <v>289</v>
      </c>
      <c r="C60" s="23" t="s">
        <v>175</v>
      </c>
      <c r="D60" s="23" t="s">
        <v>176</v>
      </c>
      <c r="E60" s="23" t="s">
        <v>175</v>
      </c>
    </row>
    <row r="61" spans="1:5" x14ac:dyDescent="0.3">
      <c r="A61" s="48" t="s">
        <v>290</v>
      </c>
      <c r="B61" s="15" t="s">
        <v>291</v>
      </c>
      <c r="C61" s="23" t="s">
        <v>175</v>
      </c>
      <c r="D61" s="23" t="s">
        <v>176</v>
      </c>
      <c r="E61" s="23" t="s">
        <v>175</v>
      </c>
    </row>
    <row r="62" spans="1:5" x14ac:dyDescent="0.3">
      <c r="A62" s="48" t="s">
        <v>292</v>
      </c>
      <c r="B62" s="15" t="s">
        <v>293</v>
      </c>
      <c r="C62" s="23" t="s">
        <v>175</v>
      </c>
      <c r="D62" s="23" t="s">
        <v>176</v>
      </c>
      <c r="E62" s="23" t="s">
        <v>175</v>
      </c>
    </row>
    <row r="63" spans="1:5" x14ac:dyDescent="0.3">
      <c r="A63" s="48" t="s">
        <v>81</v>
      </c>
      <c r="B63" s="15" t="s">
        <v>294</v>
      </c>
      <c r="C63" s="23" t="s">
        <v>175</v>
      </c>
      <c r="D63" s="23" t="s">
        <v>175</v>
      </c>
      <c r="E63" s="23" t="s">
        <v>175</v>
      </c>
    </row>
    <row r="64" spans="1:5" x14ac:dyDescent="0.3">
      <c r="A64" s="48" t="s">
        <v>91</v>
      </c>
      <c r="B64" s="15" t="s">
        <v>295</v>
      </c>
      <c r="C64" s="23" t="s">
        <v>175</v>
      </c>
      <c r="D64" s="23" t="s">
        <v>175</v>
      </c>
      <c r="E64" s="23" t="s">
        <v>175</v>
      </c>
    </row>
    <row r="65" spans="1:5" x14ac:dyDescent="0.3">
      <c r="A65" s="48" t="s">
        <v>296</v>
      </c>
      <c r="B65" s="15" t="s">
        <v>297</v>
      </c>
      <c r="C65" s="23" t="s">
        <v>175</v>
      </c>
      <c r="D65" s="23" t="s">
        <v>176</v>
      </c>
      <c r="E65" s="23" t="s">
        <v>175</v>
      </c>
    </row>
    <row r="66" spans="1:5" x14ac:dyDescent="0.3">
      <c r="A66" s="48" t="s">
        <v>298</v>
      </c>
      <c r="B66" s="15" t="s">
        <v>299</v>
      </c>
      <c r="C66" s="23" t="s">
        <v>175</v>
      </c>
      <c r="D66" s="23" t="s">
        <v>176</v>
      </c>
      <c r="E66" s="23" t="s">
        <v>175</v>
      </c>
    </row>
    <row r="67" spans="1:5" x14ac:dyDescent="0.3">
      <c r="A67" s="48" t="s">
        <v>300</v>
      </c>
      <c r="B67" s="15" t="s">
        <v>301</v>
      </c>
      <c r="C67" s="23" t="s">
        <v>175</v>
      </c>
      <c r="D67" s="23" t="s">
        <v>176</v>
      </c>
      <c r="E67" s="23" t="s">
        <v>175</v>
      </c>
    </row>
    <row r="68" spans="1:5" x14ac:dyDescent="0.3">
      <c r="A68" s="48" t="s">
        <v>302</v>
      </c>
      <c r="B68" s="15" t="s">
        <v>303</v>
      </c>
      <c r="C68" s="23" t="s">
        <v>175</v>
      </c>
      <c r="D68" s="23" t="s">
        <v>176</v>
      </c>
      <c r="E68" s="23" t="s">
        <v>175</v>
      </c>
    </row>
    <row r="69" spans="1:5" x14ac:dyDescent="0.3">
      <c r="A69" s="48" t="s">
        <v>304</v>
      </c>
      <c r="B69" s="15" t="s">
        <v>305</v>
      </c>
      <c r="C69" s="23" t="s">
        <v>175</v>
      </c>
      <c r="D69" s="23" t="s">
        <v>176</v>
      </c>
      <c r="E69" s="23" t="s">
        <v>175</v>
      </c>
    </row>
    <row r="70" spans="1:5" x14ac:dyDescent="0.3">
      <c r="A70" s="48" t="s">
        <v>306</v>
      </c>
      <c r="B70" s="15" t="s">
        <v>307</v>
      </c>
      <c r="C70" s="23" t="s">
        <v>175</v>
      </c>
      <c r="D70" s="23" t="s">
        <v>175</v>
      </c>
      <c r="E70" s="23" t="s">
        <v>175</v>
      </c>
    </row>
    <row r="71" spans="1:5" x14ac:dyDescent="0.3">
      <c r="A71" s="48" t="s">
        <v>308</v>
      </c>
      <c r="B71" s="15" t="s">
        <v>309</v>
      </c>
      <c r="C71" s="23" t="s">
        <v>175</v>
      </c>
      <c r="D71" s="23" t="s">
        <v>175</v>
      </c>
      <c r="E71" s="23" t="s">
        <v>175</v>
      </c>
    </row>
    <row r="72" spans="1:5" x14ac:dyDescent="0.3">
      <c r="A72" s="48" t="s">
        <v>310</v>
      </c>
      <c r="B72" s="15" t="s">
        <v>311</v>
      </c>
      <c r="C72" s="23" t="s">
        <v>175</v>
      </c>
      <c r="D72" s="23" t="s">
        <v>175</v>
      </c>
      <c r="E72" s="23" t="s">
        <v>175</v>
      </c>
    </row>
    <row r="73" spans="1:5" x14ac:dyDescent="0.3">
      <c r="A73" s="48" t="s">
        <v>312</v>
      </c>
      <c r="B73" s="15" t="s">
        <v>313</v>
      </c>
      <c r="C73" s="23" t="s">
        <v>175</v>
      </c>
      <c r="D73" s="23" t="s">
        <v>176</v>
      </c>
      <c r="E73" s="23" t="s">
        <v>175</v>
      </c>
    </row>
    <row r="74" spans="1:5" x14ac:dyDescent="0.3">
      <c r="A74" s="48" t="s">
        <v>314</v>
      </c>
      <c r="B74" s="15" t="s">
        <v>315</v>
      </c>
      <c r="C74" s="23" t="s">
        <v>175</v>
      </c>
      <c r="D74" s="23" t="s">
        <v>176</v>
      </c>
      <c r="E74" s="23" t="s">
        <v>175</v>
      </c>
    </row>
    <row r="75" spans="1:5" x14ac:dyDescent="0.3">
      <c r="A75" s="48" t="s">
        <v>316</v>
      </c>
      <c r="B75" s="15" t="s">
        <v>317</v>
      </c>
      <c r="C75" s="23" t="s">
        <v>175</v>
      </c>
      <c r="D75" s="23" t="s">
        <v>176</v>
      </c>
      <c r="E75" s="23" t="s">
        <v>175</v>
      </c>
    </row>
    <row r="76" spans="1:5" x14ac:dyDescent="0.3">
      <c r="A76" s="48" t="s">
        <v>318</v>
      </c>
      <c r="B76" s="15" t="s">
        <v>319</v>
      </c>
      <c r="C76" s="23" t="s">
        <v>175</v>
      </c>
      <c r="D76" s="23" t="s">
        <v>176</v>
      </c>
      <c r="E76" s="23" t="s">
        <v>175</v>
      </c>
    </row>
    <row r="77" spans="1:5" x14ac:dyDescent="0.3">
      <c r="A77" s="48" t="s">
        <v>320</v>
      </c>
      <c r="B77" s="15" t="s">
        <v>321</v>
      </c>
      <c r="C77" s="23" t="s">
        <v>175</v>
      </c>
      <c r="D77" s="23" t="s">
        <v>176</v>
      </c>
      <c r="E77" s="23" t="s">
        <v>175</v>
      </c>
    </row>
    <row r="78" spans="1:5" x14ac:dyDescent="0.3">
      <c r="A78" s="48" t="s">
        <v>322</v>
      </c>
      <c r="B78" s="15" t="s">
        <v>323</v>
      </c>
      <c r="C78" s="23" t="s">
        <v>175</v>
      </c>
      <c r="D78" s="23" t="s">
        <v>176</v>
      </c>
      <c r="E78" s="23" t="s">
        <v>175</v>
      </c>
    </row>
    <row r="79" spans="1:5" x14ac:dyDescent="0.3">
      <c r="A79" s="48" t="s">
        <v>93</v>
      </c>
      <c r="B79" s="15" t="s">
        <v>94</v>
      </c>
      <c r="C79" s="23" t="s">
        <v>175</v>
      </c>
      <c r="D79" s="23" t="s">
        <v>175</v>
      </c>
      <c r="E79" s="23" t="s">
        <v>175</v>
      </c>
    </row>
    <row r="80" spans="1:5" x14ac:dyDescent="0.3">
      <c r="A80" s="48" t="s">
        <v>324</v>
      </c>
      <c r="B80" s="15" t="s">
        <v>325</v>
      </c>
      <c r="C80" s="23" t="s">
        <v>175</v>
      </c>
      <c r="D80" s="23" t="s">
        <v>175</v>
      </c>
      <c r="E80" s="23" t="s">
        <v>175</v>
      </c>
    </row>
    <row r="81" spans="1:5" x14ac:dyDescent="0.3">
      <c r="A81" s="48" t="s">
        <v>326</v>
      </c>
      <c r="B81" s="15" t="s">
        <v>327</v>
      </c>
      <c r="C81" s="23" t="s">
        <v>175</v>
      </c>
      <c r="D81" s="23" t="s">
        <v>176</v>
      </c>
      <c r="E81" s="23" t="s">
        <v>175</v>
      </c>
    </row>
    <row r="82" spans="1:5" x14ac:dyDescent="0.3">
      <c r="A82" s="48" t="s">
        <v>328</v>
      </c>
      <c r="B82" s="15" t="s">
        <v>329</v>
      </c>
      <c r="C82" s="23" t="s">
        <v>175</v>
      </c>
      <c r="D82" s="23" t="s">
        <v>176</v>
      </c>
      <c r="E82" s="23" t="s">
        <v>175</v>
      </c>
    </row>
    <row r="83" spans="1:5" x14ac:dyDescent="0.3">
      <c r="A83" s="48" t="s">
        <v>330</v>
      </c>
      <c r="B83" s="15" t="s">
        <v>331</v>
      </c>
      <c r="C83" s="23" t="s">
        <v>175</v>
      </c>
      <c r="D83" s="23" t="s">
        <v>176</v>
      </c>
      <c r="E83" s="23" t="s">
        <v>175</v>
      </c>
    </row>
    <row r="84" spans="1:5" x14ac:dyDescent="0.3">
      <c r="A84" s="48" t="s">
        <v>332</v>
      </c>
      <c r="B84" s="15" t="s">
        <v>333</v>
      </c>
      <c r="C84" s="23" t="s">
        <v>175</v>
      </c>
      <c r="D84" s="23" t="s">
        <v>175</v>
      </c>
      <c r="E84" s="23" t="s">
        <v>175</v>
      </c>
    </row>
    <row r="85" spans="1:5" x14ac:dyDescent="0.3">
      <c r="A85" s="48" t="s">
        <v>334</v>
      </c>
      <c r="B85" s="15" t="s">
        <v>335</v>
      </c>
      <c r="C85" s="23" t="s">
        <v>175</v>
      </c>
      <c r="D85" s="23" t="s">
        <v>176</v>
      </c>
      <c r="E85" s="23" t="s">
        <v>175</v>
      </c>
    </row>
    <row r="86" spans="1:5" x14ac:dyDescent="0.3">
      <c r="A86" s="48" t="s">
        <v>336</v>
      </c>
      <c r="B86" s="15" t="s">
        <v>337</v>
      </c>
      <c r="C86" s="23" t="s">
        <v>175</v>
      </c>
      <c r="D86" s="23" t="s">
        <v>176</v>
      </c>
      <c r="E86" s="23" t="s">
        <v>175</v>
      </c>
    </row>
    <row r="87" spans="1:5" x14ac:dyDescent="0.3">
      <c r="A87" s="48" t="s">
        <v>338</v>
      </c>
      <c r="B87" s="15" t="s">
        <v>339</v>
      </c>
      <c r="C87" s="23" t="s">
        <v>175</v>
      </c>
      <c r="D87" s="23" t="s">
        <v>176</v>
      </c>
      <c r="E87" s="23" t="s">
        <v>175</v>
      </c>
    </row>
    <row r="88" spans="1:5" x14ac:dyDescent="0.3">
      <c r="A88" s="48" t="s">
        <v>340</v>
      </c>
      <c r="B88" s="15" t="s">
        <v>341</v>
      </c>
      <c r="C88" s="23" t="s">
        <v>175</v>
      </c>
      <c r="D88" s="23" t="s">
        <v>176</v>
      </c>
      <c r="E88" s="23" t="s">
        <v>175</v>
      </c>
    </row>
    <row r="89" spans="1:5" x14ac:dyDescent="0.3">
      <c r="A89" s="48" t="s">
        <v>342</v>
      </c>
      <c r="B89" s="15" t="s">
        <v>343</v>
      </c>
      <c r="C89" s="23" t="s">
        <v>175</v>
      </c>
      <c r="D89" s="23" t="s">
        <v>176</v>
      </c>
      <c r="E89" s="23" t="s">
        <v>175</v>
      </c>
    </row>
    <row r="90" spans="1:5" x14ac:dyDescent="0.3">
      <c r="A90" s="48" t="s">
        <v>344</v>
      </c>
      <c r="B90" s="15" t="s">
        <v>345</v>
      </c>
      <c r="C90" s="23" t="s">
        <v>175</v>
      </c>
      <c r="D90" s="23" t="s">
        <v>176</v>
      </c>
      <c r="E90" s="23" t="s">
        <v>175</v>
      </c>
    </row>
    <row r="91" spans="1:5" x14ac:dyDescent="0.3">
      <c r="A91" s="48" t="s">
        <v>346</v>
      </c>
      <c r="B91" s="15" t="s">
        <v>347</v>
      </c>
      <c r="C91" s="23" t="s">
        <v>175</v>
      </c>
      <c r="D91" s="23" t="s">
        <v>176</v>
      </c>
      <c r="E91" s="23" t="s">
        <v>175</v>
      </c>
    </row>
    <row r="92" spans="1:5" x14ac:dyDescent="0.3">
      <c r="A92" s="48" t="s">
        <v>348</v>
      </c>
      <c r="B92" s="15" t="s">
        <v>349</v>
      </c>
      <c r="C92" s="23" t="s">
        <v>175</v>
      </c>
      <c r="D92" s="23" t="s">
        <v>176</v>
      </c>
      <c r="E92" s="23" t="s">
        <v>175</v>
      </c>
    </row>
    <row r="93" spans="1:5" x14ac:dyDescent="0.3">
      <c r="A93" s="48" t="s">
        <v>350</v>
      </c>
      <c r="B93" s="15" t="s">
        <v>351</v>
      </c>
      <c r="C93" s="23" t="s">
        <v>175</v>
      </c>
      <c r="D93" s="23" t="s">
        <v>176</v>
      </c>
      <c r="E93" s="23" t="s">
        <v>175</v>
      </c>
    </row>
    <row r="94" spans="1:5" x14ac:dyDescent="0.3">
      <c r="A94" s="48" t="s">
        <v>352</v>
      </c>
      <c r="B94" s="15" t="s">
        <v>353</v>
      </c>
      <c r="C94" s="23" t="s">
        <v>175</v>
      </c>
      <c r="D94" s="23" t="s">
        <v>176</v>
      </c>
      <c r="E94" s="23" t="s">
        <v>175</v>
      </c>
    </row>
    <row r="95" spans="1:5" x14ac:dyDescent="0.3">
      <c r="A95" s="48" t="s">
        <v>354</v>
      </c>
      <c r="B95" s="15" t="s">
        <v>355</v>
      </c>
      <c r="C95" s="23" t="s">
        <v>175</v>
      </c>
      <c r="D95" s="50" t="s">
        <v>176</v>
      </c>
      <c r="E95" s="23" t="s">
        <v>175</v>
      </c>
    </row>
    <row r="96" spans="1:5" x14ac:dyDescent="0.3">
      <c r="A96" s="48" t="s">
        <v>356</v>
      </c>
      <c r="B96" s="15" t="s">
        <v>357</v>
      </c>
      <c r="C96" s="23" t="s">
        <v>175</v>
      </c>
      <c r="D96" s="23" t="s">
        <v>176</v>
      </c>
      <c r="E96" s="23" t="s">
        <v>175</v>
      </c>
    </row>
    <row r="97" spans="1:5" x14ac:dyDescent="0.3">
      <c r="A97" s="48" t="s">
        <v>358</v>
      </c>
      <c r="B97" s="15" t="s">
        <v>359</v>
      </c>
      <c r="C97" s="23" t="s">
        <v>175</v>
      </c>
      <c r="D97" s="23" t="s">
        <v>176</v>
      </c>
      <c r="E97" s="23" t="s">
        <v>175</v>
      </c>
    </row>
    <row r="98" spans="1:5" x14ac:dyDescent="0.3">
      <c r="A98" s="48" t="s">
        <v>360</v>
      </c>
      <c r="B98" s="15" t="s">
        <v>361</v>
      </c>
      <c r="C98" s="23" t="s">
        <v>175</v>
      </c>
      <c r="D98" s="23" t="s">
        <v>176</v>
      </c>
      <c r="E98" s="23" t="s">
        <v>175</v>
      </c>
    </row>
    <row r="99" spans="1:5" x14ac:dyDescent="0.3">
      <c r="A99" s="48" t="s">
        <v>362</v>
      </c>
      <c r="B99" s="15" t="s">
        <v>363</v>
      </c>
      <c r="C99" s="23" t="s">
        <v>175</v>
      </c>
      <c r="D99" s="23" t="s">
        <v>176</v>
      </c>
      <c r="E99" s="23" t="s">
        <v>175</v>
      </c>
    </row>
    <row r="100" spans="1:5" x14ac:dyDescent="0.3">
      <c r="A100" s="48" t="s">
        <v>83</v>
      </c>
      <c r="B100" s="15" t="s">
        <v>364</v>
      </c>
      <c r="C100" s="23" t="s">
        <v>175</v>
      </c>
      <c r="D100" s="23" t="s">
        <v>175</v>
      </c>
      <c r="E100" s="23" t="s">
        <v>175</v>
      </c>
    </row>
    <row r="101" spans="1:5" x14ac:dyDescent="0.3">
      <c r="A101" s="48" t="s">
        <v>152</v>
      </c>
      <c r="B101" s="15" t="s">
        <v>365</v>
      </c>
      <c r="C101" s="23" t="s">
        <v>175</v>
      </c>
      <c r="D101" s="23" t="s">
        <v>176</v>
      </c>
      <c r="E101" s="23" t="s">
        <v>175</v>
      </c>
    </row>
    <row r="102" spans="1:5" x14ac:dyDescent="0.3">
      <c r="A102" s="48" t="s">
        <v>366</v>
      </c>
      <c r="B102" s="15" t="s">
        <v>367</v>
      </c>
      <c r="C102" s="23" t="s">
        <v>175</v>
      </c>
      <c r="D102" s="23" t="s">
        <v>176</v>
      </c>
      <c r="E102" s="23" t="s">
        <v>175</v>
      </c>
    </row>
    <row r="103" spans="1:5" x14ac:dyDescent="0.3">
      <c r="A103" s="48" t="s">
        <v>368</v>
      </c>
      <c r="B103" s="15" t="s">
        <v>369</v>
      </c>
      <c r="C103" s="23" t="s">
        <v>175</v>
      </c>
      <c r="D103" s="23" t="s">
        <v>176</v>
      </c>
      <c r="E103" s="23" t="s">
        <v>175</v>
      </c>
    </row>
    <row r="104" spans="1:5" x14ac:dyDescent="0.3">
      <c r="A104" s="48" t="s">
        <v>370</v>
      </c>
      <c r="B104" s="15" t="s">
        <v>371</v>
      </c>
      <c r="C104" s="23" t="s">
        <v>175</v>
      </c>
      <c r="D104" s="23" t="s">
        <v>176</v>
      </c>
      <c r="E104" s="23" t="s">
        <v>175</v>
      </c>
    </row>
    <row r="105" spans="1:5" x14ac:dyDescent="0.3">
      <c r="A105" s="48" t="s">
        <v>372</v>
      </c>
      <c r="B105" s="15" t="s">
        <v>373</v>
      </c>
      <c r="C105" s="23" t="s">
        <v>175</v>
      </c>
      <c r="D105" s="23" t="s">
        <v>176</v>
      </c>
      <c r="E105" s="23" t="s">
        <v>175</v>
      </c>
    </row>
    <row r="106" spans="1:5" x14ac:dyDescent="0.3">
      <c r="A106" s="48" t="s">
        <v>374</v>
      </c>
      <c r="B106" s="15" t="s">
        <v>375</v>
      </c>
      <c r="C106" s="23" t="s">
        <v>175</v>
      </c>
      <c r="D106" s="23" t="s">
        <v>176</v>
      </c>
      <c r="E106" s="23" t="s">
        <v>175</v>
      </c>
    </row>
    <row r="107" spans="1:5" x14ac:dyDescent="0.3">
      <c r="A107" s="48" t="s">
        <v>376</v>
      </c>
      <c r="B107" s="15" t="s">
        <v>377</v>
      </c>
      <c r="C107" s="23" t="s">
        <v>175</v>
      </c>
      <c r="D107" s="23" t="s">
        <v>176</v>
      </c>
      <c r="E107" s="23" t="s">
        <v>175</v>
      </c>
    </row>
    <row r="108" spans="1:5" x14ac:dyDescent="0.3">
      <c r="A108" s="48" t="s">
        <v>378</v>
      </c>
      <c r="B108" s="15" t="s">
        <v>379</v>
      </c>
      <c r="C108" s="23" t="s">
        <v>175</v>
      </c>
      <c r="D108" s="23" t="s">
        <v>176</v>
      </c>
      <c r="E108" s="23" t="s">
        <v>175</v>
      </c>
    </row>
    <row r="109" spans="1:5" x14ac:dyDescent="0.3">
      <c r="A109" s="48" t="s">
        <v>380</v>
      </c>
      <c r="B109" s="15" t="s">
        <v>381</v>
      </c>
      <c r="C109" s="23" t="s">
        <v>175</v>
      </c>
      <c r="D109" s="23" t="s">
        <v>176</v>
      </c>
      <c r="E109" s="23" t="s">
        <v>175</v>
      </c>
    </row>
    <row r="110" spans="1:5" x14ac:dyDescent="0.3">
      <c r="A110" s="48" t="s">
        <v>382</v>
      </c>
      <c r="B110" s="15" t="s">
        <v>383</v>
      </c>
      <c r="C110" s="23" t="s">
        <v>175</v>
      </c>
      <c r="D110" s="23" t="s">
        <v>175</v>
      </c>
      <c r="E110" s="23" t="s">
        <v>175</v>
      </c>
    </row>
    <row r="111" spans="1:5" x14ac:dyDescent="0.3">
      <c r="A111" s="48" t="s">
        <v>384</v>
      </c>
      <c r="B111" s="15" t="s">
        <v>385</v>
      </c>
      <c r="C111" s="23" t="s">
        <v>175</v>
      </c>
      <c r="D111" s="23" t="s">
        <v>175</v>
      </c>
      <c r="E111" s="23" t="s">
        <v>175</v>
      </c>
    </row>
    <row r="112" spans="1:5" x14ac:dyDescent="0.3">
      <c r="A112" s="48" t="s">
        <v>386</v>
      </c>
      <c r="B112" s="15" t="s">
        <v>387</v>
      </c>
      <c r="C112" s="23" t="s">
        <v>175</v>
      </c>
      <c r="D112" s="23" t="s">
        <v>176</v>
      </c>
      <c r="E112" s="23" t="s">
        <v>175</v>
      </c>
    </row>
    <row r="113" spans="1:5" x14ac:dyDescent="0.3">
      <c r="A113" s="48" t="s">
        <v>388</v>
      </c>
      <c r="B113" s="15" t="s">
        <v>389</v>
      </c>
      <c r="C113" s="23" t="s">
        <v>175</v>
      </c>
      <c r="D113" s="50" t="s">
        <v>176</v>
      </c>
      <c r="E113" s="23" t="s">
        <v>175</v>
      </c>
    </row>
    <row r="114" spans="1:5" x14ac:dyDescent="0.3">
      <c r="A114" s="48" t="s">
        <v>110</v>
      </c>
      <c r="B114" s="15" t="s">
        <v>390</v>
      </c>
      <c r="C114" s="23" t="s">
        <v>175</v>
      </c>
      <c r="D114" s="23" t="s">
        <v>176</v>
      </c>
      <c r="E114" s="23" t="s">
        <v>175</v>
      </c>
    </row>
    <row r="115" spans="1:5" x14ac:dyDescent="0.3">
      <c r="A115" s="48" t="s">
        <v>391</v>
      </c>
      <c r="B115" s="15" t="s">
        <v>392</v>
      </c>
      <c r="C115" s="23" t="s">
        <v>175</v>
      </c>
      <c r="D115" s="23" t="s">
        <v>175</v>
      </c>
      <c r="E115" s="23" t="s">
        <v>175</v>
      </c>
    </row>
    <row r="116" spans="1:5" x14ac:dyDescent="0.3">
      <c r="A116" s="48" t="s">
        <v>393</v>
      </c>
      <c r="B116" s="15" t="s">
        <v>394</v>
      </c>
      <c r="C116" s="23" t="s">
        <v>175</v>
      </c>
      <c r="D116" s="23" t="s">
        <v>175</v>
      </c>
      <c r="E116" s="23" t="s">
        <v>175</v>
      </c>
    </row>
    <row r="117" spans="1:5" x14ac:dyDescent="0.3">
      <c r="A117" s="48" t="s">
        <v>395</v>
      </c>
      <c r="B117" s="15" t="s">
        <v>396</v>
      </c>
      <c r="C117" s="23" t="s">
        <v>175</v>
      </c>
      <c r="D117" s="23" t="s">
        <v>176</v>
      </c>
      <c r="E117" s="23" t="s">
        <v>175</v>
      </c>
    </row>
    <row r="118" spans="1:5" x14ac:dyDescent="0.3">
      <c r="A118" s="48" t="s">
        <v>397</v>
      </c>
      <c r="B118" s="15" t="s">
        <v>398</v>
      </c>
      <c r="C118" s="23" t="s">
        <v>175</v>
      </c>
      <c r="D118" s="23" t="s">
        <v>176</v>
      </c>
      <c r="E118" s="23" t="s">
        <v>175</v>
      </c>
    </row>
    <row r="119" spans="1:5" x14ac:dyDescent="0.3">
      <c r="A119" s="48" t="s">
        <v>399</v>
      </c>
      <c r="B119" s="15" t="s">
        <v>400</v>
      </c>
      <c r="C119" s="23" t="s">
        <v>175</v>
      </c>
      <c r="D119" s="23" t="s">
        <v>176</v>
      </c>
      <c r="E119" s="23" t="s">
        <v>175</v>
      </c>
    </row>
    <row r="120" spans="1:5" x14ac:dyDescent="0.3">
      <c r="A120" s="48" t="s">
        <v>401</v>
      </c>
      <c r="B120" s="15" t="s">
        <v>402</v>
      </c>
      <c r="C120" s="23" t="s">
        <v>175</v>
      </c>
      <c r="D120" s="23" t="s">
        <v>176</v>
      </c>
      <c r="E120" s="23" t="s">
        <v>175</v>
      </c>
    </row>
    <row r="121" spans="1:5" x14ac:dyDescent="0.3">
      <c r="A121" s="48" t="s">
        <v>403</v>
      </c>
      <c r="B121" s="15" t="s">
        <v>404</v>
      </c>
      <c r="C121" s="23" t="s">
        <v>175</v>
      </c>
      <c r="D121" s="23" t="s">
        <v>175</v>
      </c>
      <c r="E121" s="23" t="s">
        <v>175</v>
      </c>
    </row>
    <row r="122" spans="1:5" x14ac:dyDescent="0.3">
      <c r="A122" s="48" t="s">
        <v>405</v>
      </c>
      <c r="B122" s="15" t="s">
        <v>406</v>
      </c>
      <c r="C122" s="23" t="s">
        <v>175</v>
      </c>
      <c r="D122" s="23" t="s">
        <v>176</v>
      </c>
      <c r="E122" s="23" t="s">
        <v>175</v>
      </c>
    </row>
    <row r="123" spans="1:5" x14ac:dyDescent="0.3">
      <c r="A123" s="48" t="s">
        <v>407</v>
      </c>
      <c r="B123" s="15" t="s">
        <v>408</v>
      </c>
      <c r="C123" s="23" t="s">
        <v>175</v>
      </c>
      <c r="D123" s="23" t="s">
        <v>175</v>
      </c>
      <c r="E123" s="23" t="s">
        <v>175</v>
      </c>
    </row>
    <row r="124" spans="1:5" x14ac:dyDescent="0.3">
      <c r="A124" s="48" t="s">
        <v>409</v>
      </c>
      <c r="B124" s="15" t="s">
        <v>410</v>
      </c>
      <c r="C124" s="23" t="s">
        <v>175</v>
      </c>
      <c r="D124" s="23" t="s">
        <v>176</v>
      </c>
      <c r="E124" s="23" t="s">
        <v>175</v>
      </c>
    </row>
    <row r="125" spans="1:5" x14ac:dyDescent="0.3">
      <c r="A125" s="48" t="s">
        <v>411</v>
      </c>
      <c r="B125" s="15" t="s">
        <v>412</v>
      </c>
      <c r="C125" s="23" t="s">
        <v>175</v>
      </c>
      <c r="D125" s="23" t="s">
        <v>176</v>
      </c>
      <c r="E125" s="23" t="s">
        <v>175</v>
      </c>
    </row>
    <row r="126" spans="1:5" x14ac:dyDescent="0.3">
      <c r="A126" s="48" t="s">
        <v>413</v>
      </c>
      <c r="B126" s="15" t="s">
        <v>414</v>
      </c>
      <c r="C126" s="23" t="s">
        <v>175</v>
      </c>
      <c r="D126" s="23" t="s">
        <v>175</v>
      </c>
      <c r="E126" s="23" t="s">
        <v>175</v>
      </c>
    </row>
    <row r="127" spans="1:5" x14ac:dyDescent="0.3">
      <c r="A127" s="48" t="s">
        <v>415</v>
      </c>
      <c r="B127" s="15" t="s">
        <v>416</v>
      </c>
      <c r="C127" s="23" t="s">
        <v>175</v>
      </c>
      <c r="D127" s="23" t="s">
        <v>175</v>
      </c>
      <c r="E127" s="23" t="s">
        <v>175</v>
      </c>
    </row>
    <row r="128" spans="1:5" x14ac:dyDescent="0.3">
      <c r="A128" s="48" t="s">
        <v>417</v>
      </c>
      <c r="B128" s="15" t="s">
        <v>418</v>
      </c>
      <c r="C128" s="23" t="s">
        <v>175</v>
      </c>
      <c r="D128" s="23" t="s">
        <v>175</v>
      </c>
      <c r="E128" s="23" t="s">
        <v>175</v>
      </c>
    </row>
    <row r="129" spans="1:5" x14ac:dyDescent="0.3">
      <c r="A129" s="48" t="s">
        <v>419</v>
      </c>
      <c r="B129" s="15" t="s">
        <v>420</v>
      </c>
      <c r="C129" s="23" t="s">
        <v>175</v>
      </c>
      <c r="D129" s="23" t="s">
        <v>175</v>
      </c>
      <c r="E129" s="23" t="s">
        <v>176</v>
      </c>
    </row>
    <row r="130" spans="1:5" x14ac:dyDescent="0.3">
      <c r="A130" s="48" t="s">
        <v>421</v>
      </c>
      <c r="B130" s="15" t="s">
        <v>422</v>
      </c>
      <c r="C130" s="23" t="s">
        <v>175</v>
      </c>
      <c r="D130" s="23" t="s">
        <v>176</v>
      </c>
      <c r="E130" s="23" t="s">
        <v>175</v>
      </c>
    </row>
    <row r="131" spans="1:5" x14ac:dyDescent="0.3">
      <c r="A131" s="48" t="s">
        <v>423</v>
      </c>
      <c r="B131" s="15" t="s">
        <v>424</v>
      </c>
      <c r="C131" s="23" t="s">
        <v>175</v>
      </c>
      <c r="D131" s="23" t="s">
        <v>175</v>
      </c>
      <c r="E131" s="23" t="s">
        <v>175</v>
      </c>
    </row>
    <row r="132" spans="1:5" x14ac:dyDescent="0.3">
      <c r="A132" s="48" t="s">
        <v>425</v>
      </c>
      <c r="B132" s="15" t="s">
        <v>426</v>
      </c>
      <c r="C132" s="23" t="s">
        <v>175</v>
      </c>
      <c r="D132" s="23" t="s">
        <v>175</v>
      </c>
      <c r="E132" s="23" t="s">
        <v>175</v>
      </c>
    </row>
    <row r="133" spans="1:5" x14ac:dyDescent="0.3">
      <c r="A133" s="48" t="s">
        <v>427</v>
      </c>
      <c r="B133" s="15" t="s">
        <v>428</v>
      </c>
      <c r="C133" s="23" t="s">
        <v>175</v>
      </c>
      <c r="D133" s="23" t="s">
        <v>176</v>
      </c>
      <c r="E133" s="23" t="s">
        <v>175</v>
      </c>
    </row>
    <row r="134" spans="1:5" x14ac:dyDescent="0.3">
      <c r="A134" s="48" t="s">
        <v>429</v>
      </c>
      <c r="B134" s="15" t="s">
        <v>430</v>
      </c>
      <c r="C134" s="23" t="s">
        <v>175</v>
      </c>
      <c r="D134" s="23" t="s">
        <v>175</v>
      </c>
      <c r="E134" s="23" t="s">
        <v>175</v>
      </c>
    </row>
    <row r="135" spans="1:5" x14ac:dyDescent="0.3">
      <c r="A135" s="48" t="s">
        <v>431</v>
      </c>
      <c r="B135" s="15" t="s">
        <v>432</v>
      </c>
      <c r="C135" s="23" t="s">
        <v>175</v>
      </c>
      <c r="D135" s="23" t="s">
        <v>176</v>
      </c>
      <c r="E135" s="23" t="s">
        <v>175</v>
      </c>
    </row>
    <row r="136" spans="1:5" x14ac:dyDescent="0.3">
      <c r="A136" s="48" t="s">
        <v>433</v>
      </c>
      <c r="B136" s="15" t="s">
        <v>434</v>
      </c>
      <c r="C136" s="23" t="s">
        <v>175</v>
      </c>
      <c r="D136" s="23" t="s">
        <v>176</v>
      </c>
      <c r="E136" s="23" t="s">
        <v>175</v>
      </c>
    </row>
    <row r="137" spans="1:5" x14ac:dyDescent="0.3">
      <c r="A137" s="48" t="s">
        <v>435</v>
      </c>
      <c r="B137" s="15" t="s">
        <v>436</v>
      </c>
      <c r="C137" s="23" t="s">
        <v>175</v>
      </c>
      <c r="D137" s="23" t="s">
        <v>176</v>
      </c>
      <c r="E137" s="23" t="s">
        <v>175</v>
      </c>
    </row>
    <row r="138" spans="1:5" x14ac:dyDescent="0.3">
      <c r="A138" s="48" t="s">
        <v>437</v>
      </c>
      <c r="B138" s="15" t="s">
        <v>438</v>
      </c>
      <c r="C138" s="23" t="s">
        <v>175</v>
      </c>
      <c r="D138" s="23" t="s">
        <v>176</v>
      </c>
      <c r="E138" s="23" t="s">
        <v>176</v>
      </c>
    </row>
    <row r="139" spans="1:5" x14ac:dyDescent="0.3">
      <c r="A139" s="48" t="s">
        <v>439</v>
      </c>
      <c r="B139" s="15" t="s">
        <v>440</v>
      </c>
      <c r="C139" s="23" t="s">
        <v>175</v>
      </c>
      <c r="D139" s="23" t="s">
        <v>176</v>
      </c>
      <c r="E139" s="23" t="s">
        <v>175</v>
      </c>
    </row>
    <row r="140" spans="1:5" x14ac:dyDescent="0.3">
      <c r="A140" s="48" t="s">
        <v>441</v>
      </c>
      <c r="B140" s="15" t="s">
        <v>442</v>
      </c>
      <c r="C140" s="23" t="s">
        <v>175</v>
      </c>
      <c r="D140" s="23" t="s">
        <v>176</v>
      </c>
      <c r="E140" s="23" t="s">
        <v>175</v>
      </c>
    </row>
    <row r="141" spans="1:5" x14ac:dyDescent="0.3">
      <c r="A141" s="48" t="s">
        <v>443</v>
      </c>
      <c r="B141" s="15" t="s">
        <v>444</v>
      </c>
      <c r="C141" s="23" t="s">
        <v>175</v>
      </c>
      <c r="D141" s="23" t="s">
        <v>175</v>
      </c>
      <c r="E141" s="23" t="s">
        <v>175</v>
      </c>
    </row>
    <row r="142" spans="1:5" x14ac:dyDescent="0.3">
      <c r="A142" s="48" t="s">
        <v>445</v>
      </c>
      <c r="B142" s="15" t="s">
        <v>446</v>
      </c>
      <c r="C142" s="23" t="s">
        <v>175</v>
      </c>
      <c r="D142" s="23" t="s">
        <v>176</v>
      </c>
      <c r="E142" s="23" t="s">
        <v>175</v>
      </c>
    </row>
    <row r="143" spans="1:5" x14ac:dyDescent="0.3">
      <c r="A143" s="48" t="s">
        <v>447</v>
      </c>
      <c r="B143" s="15" t="s">
        <v>448</v>
      </c>
      <c r="C143" s="23" t="s">
        <v>175</v>
      </c>
      <c r="D143" s="23" t="s">
        <v>175</v>
      </c>
      <c r="E143" s="23" t="s">
        <v>175</v>
      </c>
    </row>
    <row r="144" spans="1:5" x14ac:dyDescent="0.3">
      <c r="A144" s="48" t="s">
        <v>144</v>
      </c>
      <c r="B144" s="15" t="s">
        <v>145</v>
      </c>
      <c r="C144" s="23" t="s">
        <v>175</v>
      </c>
      <c r="D144" s="23" t="s">
        <v>175</v>
      </c>
      <c r="E144" s="23" t="s">
        <v>175</v>
      </c>
    </row>
    <row r="145" spans="1:5" x14ac:dyDescent="0.3">
      <c r="A145" s="48" t="s">
        <v>449</v>
      </c>
      <c r="B145" s="15" t="s">
        <v>450</v>
      </c>
      <c r="C145" s="23" t="s">
        <v>175</v>
      </c>
      <c r="D145" s="23" t="s">
        <v>176</v>
      </c>
      <c r="E145" s="23" t="s">
        <v>175</v>
      </c>
    </row>
    <row r="146" spans="1:5" x14ac:dyDescent="0.3">
      <c r="A146" s="48" t="s">
        <v>451</v>
      </c>
      <c r="B146" s="15" t="s">
        <v>452</v>
      </c>
      <c r="C146" s="23" t="s">
        <v>175</v>
      </c>
      <c r="D146" s="23" t="s">
        <v>176</v>
      </c>
      <c r="E146" s="23" t="s">
        <v>176</v>
      </c>
    </row>
    <row r="147" spans="1:5" x14ac:dyDescent="0.3">
      <c r="A147" s="48" t="s">
        <v>453</v>
      </c>
      <c r="B147" s="15" t="s">
        <v>454</v>
      </c>
      <c r="C147" s="23" t="s">
        <v>175</v>
      </c>
      <c r="D147" s="23" t="s">
        <v>176</v>
      </c>
      <c r="E147" s="23" t="s">
        <v>175</v>
      </c>
    </row>
    <row r="148" spans="1:5" x14ac:dyDescent="0.3">
      <c r="A148" s="48" t="s">
        <v>455</v>
      </c>
      <c r="B148" s="15" t="s">
        <v>456</v>
      </c>
      <c r="C148" s="23" t="s">
        <v>175</v>
      </c>
      <c r="D148" s="23" t="s">
        <v>175</v>
      </c>
      <c r="E148" s="23" t="s">
        <v>175</v>
      </c>
    </row>
    <row r="149" spans="1:5" x14ac:dyDescent="0.3">
      <c r="A149" s="48" t="s">
        <v>457</v>
      </c>
      <c r="B149" s="15" t="s">
        <v>458</v>
      </c>
      <c r="C149" s="23" t="s">
        <v>175</v>
      </c>
      <c r="D149" s="23" t="s">
        <v>176</v>
      </c>
      <c r="E149" s="23" t="s">
        <v>175</v>
      </c>
    </row>
    <row r="150" spans="1:5" x14ac:dyDescent="0.3">
      <c r="A150" s="48" t="s">
        <v>459</v>
      </c>
      <c r="B150" s="15" t="s">
        <v>460</v>
      </c>
      <c r="C150" s="23" t="s">
        <v>175</v>
      </c>
      <c r="D150" s="23" t="s">
        <v>176</v>
      </c>
      <c r="E150" s="23" t="s">
        <v>175</v>
      </c>
    </row>
    <row r="151" spans="1:5" x14ac:dyDescent="0.3">
      <c r="A151" s="48" t="s">
        <v>461</v>
      </c>
      <c r="B151" s="15" t="s">
        <v>462</v>
      </c>
      <c r="C151" s="23" t="s">
        <v>175</v>
      </c>
      <c r="D151" s="23" t="s">
        <v>176</v>
      </c>
      <c r="E151" s="23" t="s">
        <v>175</v>
      </c>
    </row>
    <row r="152" spans="1:5" x14ac:dyDescent="0.3">
      <c r="A152" s="48" t="s">
        <v>463</v>
      </c>
      <c r="B152" s="15" t="s">
        <v>464</v>
      </c>
      <c r="C152" s="23" t="s">
        <v>175</v>
      </c>
      <c r="D152" s="23" t="s">
        <v>176</v>
      </c>
      <c r="E152" s="23" t="s">
        <v>175</v>
      </c>
    </row>
    <row r="153" spans="1:5" x14ac:dyDescent="0.3">
      <c r="A153" s="48" t="s">
        <v>465</v>
      </c>
      <c r="B153" s="15" t="s">
        <v>466</v>
      </c>
      <c r="C153" s="23" t="s">
        <v>175</v>
      </c>
      <c r="D153" s="23" t="s">
        <v>176</v>
      </c>
      <c r="E153" s="23" t="s">
        <v>175</v>
      </c>
    </row>
    <row r="154" spans="1:5" x14ac:dyDescent="0.3">
      <c r="A154" s="48" t="s">
        <v>467</v>
      </c>
      <c r="B154" s="15" t="s">
        <v>468</v>
      </c>
      <c r="C154" s="23" t="s">
        <v>175</v>
      </c>
      <c r="D154" s="23" t="s">
        <v>175</v>
      </c>
      <c r="E154" s="23" t="s">
        <v>175</v>
      </c>
    </row>
    <row r="155" spans="1:5" x14ac:dyDescent="0.3">
      <c r="A155" s="48" t="s">
        <v>469</v>
      </c>
      <c r="B155" s="15" t="s">
        <v>470</v>
      </c>
      <c r="C155" s="23" t="s">
        <v>175</v>
      </c>
      <c r="D155" s="23" t="s">
        <v>176</v>
      </c>
      <c r="E155" s="23" t="s">
        <v>176</v>
      </c>
    </row>
    <row r="156" spans="1:5" x14ac:dyDescent="0.3">
      <c r="A156" s="48" t="s">
        <v>471</v>
      </c>
      <c r="B156" s="15" t="s">
        <v>472</v>
      </c>
      <c r="C156" s="23" t="s">
        <v>175</v>
      </c>
      <c r="D156" s="23" t="s">
        <v>175</v>
      </c>
      <c r="E156" s="23" t="s">
        <v>176</v>
      </c>
    </row>
    <row r="157" spans="1:5" x14ac:dyDescent="0.3">
      <c r="A157" s="48" t="s">
        <v>473</v>
      </c>
      <c r="B157" s="15" t="s">
        <v>474</v>
      </c>
      <c r="C157" s="23" t="s">
        <v>175</v>
      </c>
      <c r="D157" s="23" t="s">
        <v>176</v>
      </c>
      <c r="E157" s="23" t="s">
        <v>175</v>
      </c>
    </row>
    <row r="158" spans="1:5" x14ac:dyDescent="0.3">
      <c r="A158" s="48" t="s">
        <v>475</v>
      </c>
      <c r="B158" s="15" t="s">
        <v>476</v>
      </c>
      <c r="C158" s="23" t="s">
        <v>175</v>
      </c>
      <c r="D158" s="23" t="s">
        <v>176</v>
      </c>
      <c r="E158" s="23" t="s">
        <v>175</v>
      </c>
    </row>
    <row r="159" spans="1:5" x14ac:dyDescent="0.3">
      <c r="A159" s="48" t="s">
        <v>477</v>
      </c>
      <c r="B159" s="15" t="s">
        <v>478</v>
      </c>
      <c r="C159" s="23" t="s">
        <v>175</v>
      </c>
      <c r="D159" s="23" t="s">
        <v>176</v>
      </c>
      <c r="E159" s="23" t="s">
        <v>175</v>
      </c>
    </row>
    <row r="160" spans="1:5" x14ac:dyDescent="0.3">
      <c r="A160" s="48" t="s">
        <v>479</v>
      </c>
      <c r="B160" s="15" t="s">
        <v>480</v>
      </c>
      <c r="C160" s="23" t="s">
        <v>175</v>
      </c>
      <c r="D160" s="23" t="s">
        <v>176</v>
      </c>
      <c r="E160" s="23" t="s">
        <v>175</v>
      </c>
    </row>
    <row r="161" spans="1:5" x14ac:dyDescent="0.3">
      <c r="A161" s="48" t="s">
        <v>481</v>
      </c>
      <c r="B161" s="15" t="s">
        <v>482</v>
      </c>
      <c r="C161" s="23" t="s">
        <v>175</v>
      </c>
      <c r="D161" s="23" t="s">
        <v>176</v>
      </c>
      <c r="E161" s="23" t="s">
        <v>176</v>
      </c>
    </row>
    <row r="162" spans="1:5" x14ac:dyDescent="0.3">
      <c r="A162" s="48" t="s">
        <v>483</v>
      </c>
      <c r="B162" s="15" t="s">
        <v>484</v>
      </c>
      <c r="C162" s="23" t="s">
        <v>175</v>
      </c>
      <c r="D162" s="23" t="s">
        <v>176</v>
      </c>
      <c r="E162" s="23" t="s">
        <v>176</v>
      </c>
    </row>
    <row r="163" spans="1:5" x14ac:dyDescent="0.3">
      <c r="A163" s="48" t="s">
        <v>485</v>
      </c>
      <c r="B163" s="15" t="s">
        <v>486</v>
      </c>
      <c r="C163" s="23" t="s">
        <v>175</v>
      </c>
      <c r="D163" s="23" t="s">
        <v>176</v>
      </c>
      <c r="E163" s="23" t="s">
        <v>176</v>
      </c>
    </row>
    <row r="164" spans="1:5" x14ac:dyDescent="0.3">
      <c r="A164" s="48" t="s">
        <v>487</v>
      </c>
      <c r="B164" s="15" t="s">
        <v>488</v>
      </c>
      <c r="C164" s="23" t="s">
        <v>175</v>
      </c>
      <c r="D164" s="23" t="s">
        <v>176</v>
      </c>
      <c r="E164" s="23" t="s">
        <v>176</v>
      </c>
    </row>
    <row r="165" spans="1:5" x14ac:dyDescent="0.3">
      <c r="A165" s="48" t="s">
        <v>489</v>
      </c>
      <c r="B165" s="15" t="s">
        <v>490</v>
      </c>
      <c r="C165" s="23" t="s">
        <v>175</v>
      </c>
      <c r="D165" s="23" t="s">
        <v>176</v>
      </c>
      <c r="E165" s="23" t="s">
        <v>176</v>
      </c>
    </row>
    <row r="166" spans="1:5" x14ac:dyDescent="0.3">
      <c r="A166" s="48" t="s">
        <v>491</v>
      </c>
      <c r="B166" s="15" t="s">
        <v>492</v>
      </c>
      <c r="C166" s="23" t="s">
        <v>175</v>
      </c>
      <c r="D166" s="23" t="s">
        <v>176</v>
      </c>
      <c r="E166" s="23" t="s">
        <v>176</v>
      </c>
    </row>
    <row r="167" spans="1:5" x14ac:dyDescent="0.3">
      <c r="A167" s="48" t="s">
        <v>493</v>
      </c>
      <c r="B167" s="15" t="s">
        <v>494</v>
      </c>
      <c r="C167" s="23" t="s">
        <v>175</v>
      </c>
      <c r="D167" s="23" t="s">
        <v>176</v>
      </c>
      <c r="E167" s="23" t="s">
        <v>176</v>
      </c>
    </row>
    <row r="168" spans="1:5" x14ac:dyDescent="0.3">
      <c r="A168" s="48" t="s">
        <v>495</v>
      </c>
      <c r="B168" s="15" t="s">
        <v>496</v>
      </c>
      <c r="C168" s="23" t="s">
        <v>175</v>
      </c>
      <c r="D168" s="23" t="s">
        <v>176</v>
      </c>
      <c r="E168" s="23" t="s">
        <v>176</v>
      </c>
    </row>
    <row r="169" spans="1:5" x14ac:dyDescent="0.3">
      <c r="A169" s="48" t="s">
        <v>497</v>
      </c>
      <c r="B169" s="15" t="s">
        <v>498</v>
      </c>
      <c r="C169" s="23" t="s">
        <v>175</v>
      </c>
      <c r="D169" s="23" t="s">
        <v>175</v>
      </c>
      <c r="E169" s="23" t="s">
        <v>175</v>
      </c>
    </row>
    <row r="170" spans="1:5" x14ac:dyDescent="0.3">
      <c r="A170" s="48" t="s">
        <v>499</v>
      </c>
      <c r="B170" s="15" t="s">
        <v>500</v>
      </c>
      <c r="C170" s="23" t="s">
        <v>175</v>
      </c>
      <c r="D170" s="23" t="s">
        <v>176</v>
      </c>
      <c r="E170" s="23" t="s">
        <v>176</v>
      </c>
    </row>
    <row r="171" spans="1:5" x14ac:dyDescent="0.3">
      <c r="A171" s="48" t="s">
        <v>501</v>
      </c>
      <c r="B171" s="15" t="s">
        <v>502</v>
      </c>
      <c r="C171" s="23" t="s">
        <v>175</v>
      </c>
      <c r="D171" s="23" t="s">
        <v>176</v>
      </c>
      <c r="E171" s="23" t="s">
        <v>176</v>
      </c>
    </row>
    <row r="172" spans="1:5" x14ac:dyDescent="0.3">
      <c r="A172" s="48" t="s">
        <v>503</v>
      </c>
      <c r="B172" s="15" t="s">
        <v>504</v>
      </c>
      <c r="C172" s="23" t="s">
        <v>175</v>
      </c>
      <c r="D172" s="23" t="s">
        <v>176</v>
      </c>
      <c r="E172" s="23" t="s">
        <v>175</v>
      </c>
    </row>
    <row r="173" spans="1:5" x14ac:dyDescent="0.3">
      <c r="A173" s="48" t="s">
        <v>505</v>
      </c>
      <c r="B173" s="15" t="s">
        <v>506</v>
      </c>
      <c r="C173" s="23" t="s">
        <v>175</v>
      </c>
      <c r="D173" s="23" t="s">
        <v>176</v>
      </c>
      <c r="E173" s="23" t="s">
        <v>176</v>
      </c>
    </row>
    <row r="174" spans="1:5" x14ac:dyDescent="0.3">
      <c r="A174" s="48" t="s">
        <v>507</v>
      </c>
      <c r="B174" s="15" t="s">
        <v>508</v>
      </c>
      <c r="C174" s="23" t="s">
        <v>175</v>
      </c>
      <c r="D174" s="23" t="s">
        <v>176</v>
      </c>
      <c r="E174" s="23" t="s">
        <v>176</v>
      </c>
    </row>
    <row r="175" spans="1:5" x14ac:dyDescent="0.3">
      <c r="A175" s="48" t="s">
        <v>509</v>
      </c>
      <c r="B175" s="15" t="s">
        <v>510</v>
      </c>
      <c r="C175" s="23" t="s">
        <v>175</v>
      </c>
      <c r="D175" s="23" t="s">
        <v>176</v>
      </c>
      <c r="E175" s="23" t="s">
        <v>176</v>
      </c>
    </row>
    <row r="176" spans="1:5" x14ac:dyDescent="0.3">
      <c r="A176" s="48" t="s">
        <v>511</v>
      </c>
      <c r="B176" s="15" t="s">
        <v>512</v>
      </c>
      <c r="C176" s="23" t="s">
        <v>175</v>
      </c>
      <c r="D176" s="23" t="s">
        <v>176</v>
      </c>
      <c r="E176" s="23" t="s">
        <v>176</v>
      </c>
    </row>
    <row r="177" spans="1:5" x14ac:dyDescent="0.3">
      <c r="A177" s="48" t="s">
        <v>513</v>
      </c>
      <c r="B177" s="15" t="s">
        <v>514</v>
      </c>
      <c r="C177" s="23" t="s">
        <v>175</v>
      </c>
      <c r="D177" s="23" t="s">
        <v>175</v>
      </c>
      <c r="E177" s="23" t="s">
        <v>175</v>
      </c>
    </row>
    <row r="178" spans="1:5" x14ac:dyDescent="0.3">
      <c r="A178" s="48" t="s">
        <v>515</v>
      </c>
      <c r="B178" s="15" t="s">
        <v>516</v>
      </c>
      <c r="C178" s="23" t="s">
        <v>175</v>
      </c>
      <c r="D178" s="23" t="s">
        <v>175</v>
      </c>
      <c r="E178" s="23" t="s">
        <v>175</v>
      </c>
    </row>
    <row r="179" spans="1:5" x14ac:dyDescent="0.3">
      <c r="A179" s="48" t="s">
        <v>517</v>
      </c>
      <c r="B179" s="15" t="s">
        <v>518</v>
      </c>
      <c r="C179" s="23" t="s">
        <v>175</v>
      </c>
      <c r="D179" s="23" t="s">
        <v>176</v>
      </c>
      <c r="E179" s="23" t="s">
        <v>175</v>
      </c>
    </row>
    <row r="180" spans="1:5" x14ac:dyDescent="0.3">
      <c r="A180" s="48" t="s">
        <v>519</v>
      </c>
      <c r="B180" s="15" t="s">
        <v>520</v>
      </c>
      <c r="C180" s="23" t="s">
        <v>175</v>
      </c>
      <c r="D180" s="23" t="s">
        <v>176</v>
      </c>
      <c r="E180" s="23" t="s">
        <v>175</v>
      </c>
    </row>
    <row r="181" spans="1:5" x14ac:dyDescent="0.3">
      <c r="A181" s="48" t="s">
        <v>521</v>
      </c>
      <c r="B181" s="15" t="s">
        <v>522</v>
      </c>
      <c r="C181" s="23" t="s">
        <v>175</v>
      </c>
      <c r="D181" s="23" t="s">
        <v>176</v>
      </c>
      <c r="E181" s="23" t="s">
        <v>175</v>
      </c>
    </row>
    <row r="182" spans="1:5" x14ac:dyDescent="0.3">
      <c r="A182" s="48" t="s">
        <v>523</v>
      </c>
      <c r="B182" s="15" t="s">
        <v>524</v>
      </c>
      <c r="C182" s="23" t="s">
        <v>175</v>
      </c>
      <c r="D182" s="23" t="s">
        <v>175</v>
      </c>
      <c r="E182" s="23" t="s">
        <v>175</v>
      </c>
    </row>
    <row r="183" spans="1:5" x14ac:dyDescent="0.3">
      <c r="A183" s="48" t="s">
        <v>525</v>
      </c>
      <c r="B183" s="15" t="s">
        <v>526</v>
      </c>
      <c r="C183" s="23" t="s">
        <v>175</v>
      </c>
      <c r="D183" s="23" t="s">
        <v>175</v>
      </c>
      <c r="E183" s="23" t="s">
        <v>175</v>
      </c>
    </row>
    <row r="184" spans="1:5" x14ac:dyDescent="0.3">
      <c r="A184" s="48" t="s">
        <v>527</v>
      </c>
      <c r="B184" s="15" t="s">
        <v>528</v>
      </c>
      <c r="C184" s="23" t="s">
        <v>175</v>
      </c>
      <c r="D184" s="23" t="s">
        <v>175</v>
      </c>
      <c r="E184" s="23" t="s">
        <v>175</v>
      </c>
    </row>
    <row r="185" spans="1:5" x14ac:dyDescent="0.3">
      <c r="A185" s="48" t="s">
        <v>529</v>
      </c>
      <c r="B185" s="15" t="s">
        <v>530</v>
      </c>
      <c r="C185" s="23" t="s">
        <v>175</v>
      </c>
      <c r="D185" s="23" t="s">
        <v>175</v>
      </c>
      <c r="E185" s="23" t="s">
        <v>176</v>
      </c>
    </row>
    <row r="186" spans="1:5" x14ac:dyDescent="0.3">
      <c r="A186" s="48" t="s">
        <v>531</v>
      </c>
      <c r="B186" s="15" t="s">
        <v>532</v>
      </c>
      <c r="C186" s="23" t="s">
        <v>175</v>
      </c>
      <c r="D186" s="23" t="s">
        <v>176</v>
      </c>
      <c r="E186" s="23" t="s">
        <v>176</v>
      </c>
    </row>
    <row r="187" spans="1:5" x14ac:dyDescent="0.3">
      <c r="A187" s="48" t="s">
        <v>533</v>
      </c>
      <c r="B187" s="15" t="s">
        <v>534</v>
      </c>
      <c r="C187" s="23" t="s">
        <v>175</v>
      </c>
      <c r="D187" s="23" t="s">
        <v>176</v>
      </c>
      <c r="E187" s="23" t="s">
        <v>175</v>
      </c>
    </row>
    <row r="188" spans="1:5" x14ac:dyDescent="0.3">
      <c r="A188" s="48" t="s">
        <v>535</v>
      </c>
      <c r="B188" s="15" t="s">
        <v>536</v>
      </c>
      <c r="C188" s="23" t="s">
        <v>175</v>
      </c>
      <c r="D188" s="23" t="s">
        <v>176</v>
      </c>
      <c r="E188" s="23" t="s">
        <v>175</v>
      </c>
    </row>
    <row r="189" spans="1:5" x14ac:dyDescent="0.3">
      <c r="A189" s="48" t="s">
        <v>537</v>
      </c>
      <c r="B189" s="15" t="s">
        <v>538</v>
      </c>
      <c r="C189" s="23" t="s">
        <v>175</v>
      </c>
      <c r="D189" s="23" t="s">
        <v>175</v>
      </c>
      <c r="E189" s="23" t="s">
        <v>175</v>
      </c>
    </row>
    <row r="190" spans="1:5" x14ac:dyDescent="0.3">
      <c r="A190" s="48" t="s">
        <v>539</v>
      </c>
      <c r="B190" s="15" t="s">
        <v>540</v>
      </c>
      <c r="C190" s="23" t="s">
        <v>175</v>
      </c>
      <c r="D190" s="23" t="s">
        <v>176</v>
      </c>
      <c r="E190" s="23" t="s">
        <v>175</v>
      </c>
    </row>
    <row r="191" spans="1:5" x14ac:dyDescent="0.3">
      <c r="A191" s="48" t="s">
        <v>541</v>
      </c>
      <c r="B191" s="15" t="s">
        <v>542</v>
      </c>
      <c r="C191" s="23" t="s">
        <v>175</v>
      </c>
      <c r="D191" s="23" t="s">
        <v>176</v>
      </c>
      <c r="E191" s="23" t="s">
        <v>175</v>
      </c>
    </row>
    <row r="192" spans="1:5" x14ac:dyDescent="0.3">
      <c r="A192" s="48" t="s">
        <v>543</v>
      </c>
      <c r="B192" s="15" t="s">
        <v>544</v>
      </c>
      <c r="C192" s="23" t="s">
        <v>175</v>
      </c>
      <c r="D192" s="23" t="s">
        <v>176</v>
      </c>
      <c r="E192" s="23" t="s">
        <v>176</v>
      </c>
    </row>
    <row r="193" spans="1:5" x14ac:dyDescent="0.3">
      <c r="A193" s="48" t="s">
        <v>545</v>
      </c>
      <c r="B193" s="15" t="s">
        <v>546</v>
      </c>
      <c r="C193" s="23" t="s">
        <v>175</v>
      </c>
      <c r="D193" s="23" t="s">
        <v>176</v>
      </c>
      <c r="E193" s="23" t="s">
        <v>176</v>
      </c>
    </row>
    <row r="194" spans="1:5" x14ac:dyDescent="0.3">
      <c r="A194" s="48" t="s">
        <v>547</v>
      </c>
      <c r="B194" s="15" t="s">
        <v>548</v>
      </c>
      <c r="C194" s="23" t="s">
        <v>175</v>
      </c>
      <c r="D194" s="23" t="s">
        <v>176</v>
      </c>
      <c r="E194" s="23" t="s">
        <v>176</v>
      </c>
    </row>
    <row r="195" spans="1:5" x14ac:dyDescent="0.3">
      <c r="A195" s="48" t="s">
        <v>549</v>
      </c>
      <c r="B195" s="15" t="s">
        <v>550</v>
      </c>
      <c r="C195" s="23" t="s">
        <v>175</v>
      </c>
      <c r="D195" s="23" t="s">
        <v>176</v>
      </c>
      <c r="E195" s="23" t="s">
        <v>175</v>
      </c>
    </row>
    <row r="196" spans="1:5" x14ac:dyDescent="0.3">
      <c r="A196" s="48" t="s">
        <v>551</v>
      </c>
      <c r="B196" s="15" t="s">
        <v>552</v>
      </c>
      <c r="C196" s="23" t="s">
        <v>175</v>
      </c>
      <c r="D196" s="23" t="s">
        <v>176</v>
      </c>
      <c r="E196" s="23" t="s">
        <v>176</v>
      </c>
    </row>
    <row r="197" spans="1:5" x14ac:dyDescent="0.3">
      <c r="A197" s="48" t="s">
        <v>553</v>
      </c>
      <c r="B197" s="15" t="s">
        <v>554</v>
      </c>
      <c r="C197" s="23" t="s">
        <v>175</v>
      </c>
      <c r="D197" s="23" t="s">
        <v>176</v>
      </c>
      <c r="E197" s="23" t="s">
        <v>175</v>
      </c>
    </row>
    <row r="198" spans="1:5" x14ac:dyDescent="0.3">
      <c r="A198" s="48" t="s">
        <v>555</v>
      </c>
      <c r="B198" s="15" t="s">
        <v>556</v>
      </c>
      <c r="C198" s="23" t="s">
        <v>175</v>
      </c>
      <c r="D198" s="23" t="s">
        <v>176</v>
      </c>
      <c r="E198" s="23" t="s">
        <v>175</v>
      </c>
    </row>
    <row r="199" spans="1:5" x14ac:dyDescent="0.3">
      <c r="A199" s="48" t="s">
        <v>557</v>
      </c>
      <c r="B199" s="15" t="s">
        <v>558</v>
      </c>
      <c r="C199" s="23" t="s">
        <v>175</v>
      </c>
      <c r="D199" s="23" t="s">
        <v>176</v>
      </c>
      <c r="E199" s="23" t="s">
        <v>175</v>
      </c>
    </row>
    <row r="200" spans="1:5" x14ac:dyDescent="0.3">
      <c r="A200" s="48" t="s">
        <v>559</v>
      </c>
      <c r="B200" s="15" t="s">
        <v>560</v>
      </c>
      <c r="C200" s="23" t="s">
        <v>175</v>
      </c>
      <c r="D200" s="23" t="s">
        <v>176</v>
      </c>
      <c r="E200" s="23" t="s">
        <v>175</v>
      </c>
    </row>
    <row r="201" spans="1:5" x14ac:dyDescent="0.3">
      <c r="A201" s="48" t="s">
        <v>561</v>
      </c>
      <c r="B201" s="15" t="s">
        <v>562</v>
      </c>
      <c r="C201" s="23" t="s">
        <v>175</v>
      </c>
      <c r="D201" s="50" t="s">
        <v>176</v>
      </c>
      <c r="E201" s="23" t="s">
        <v>176</v>
      </c>
    </row>
    <row r="202" spans="1:5" x14ac:dyDescent="0.3">
      <c r="A202" s="48" t="s">
        <v>563</v>
      </c>
      <c r="B202" s="15" t="s">
        <v>564</v>
      </c>
      <c r="C202" s="23" t="s">
        <v>175</v>
      </c>
      <c r="D202" s="23" t="s">
        <v>176</v>
      </c>
      <c r="E202" s="23" t="s">
        <v>175</v>
      </c>
    </row>
    <row r="203" spans="1:5" x14ac:dyDescent="0.3">
      <c r="A203" s="48" t="s">
        <v>565</v>
      </c>
      <c r="B203" s="15" t="s">
        <v>566</v>
      </c>
      <c r="C203" s="23" t="s">
        <v>175</v>
      </c>
      <c r="D203" s="23" t="s">
        <v>176</v>
      </c>
      <c r="E203" s="23" t="s">
        <v>175</v>
      </c>
    </row>
    <row r="204" spans="1:5" x14ac:dyDescent="0.3">
      <c r="A204" s="48" t="s">
        <v>567</v>
      </c>
      <c r="B204" s="15" t="s">
        <v>568</v>
      </c>
      <c r="C204" s="23" t="s">
        <v>175</v>
      </c>
      <c r="D204" s="23" t="s">
        <v>176</v>
      </c>
      <c r="E204" s="23" t="s">
        <v>175</v>
      </c>
    </row>
    <row r="205" spans="1:5" x14ac:dyDescent="0.3">
      <c r="A205" s="48" t="s">
        <v>569</v>
      </c>
      <c r="B205" s="15" t="s">
        <v>570</v>
      </c>
      <c r="C205" s="23" t="s">
        <v>175</v>
      </c>
      <c r="D205" s="23" t="s">
        <v>176</v>
      </c>
      <c r="E205" s="23" t="s">
        <v>175</v>
      </c>
    </row>
    <row r="206" spans="1:5" x14ac:dyDescent="0.3">
      <c r="A206" s="48" t="s">
        <v>571</v>
      </c>
      <c r="B206" s="15" t="s">
        <v>572</v>
      </c>
      <c r="C206" s="23" t="s">
        <v>175</v>
      </c>
      <c r="D206" s="23" t="s">
        <v>176</v>
      </c>
      <c r="E206" s="23" t="s">
        <v>175</v>
      </c>
    </row>
    <row r="207" spans="1:5" x14ac:dyDescent="0.3">
      <c r="A207" s="48" t="s">
        <v>573</v>
      </c>
      <c r="B207" s="15" t="s">
        <v>574</v>
      </c>
      <c r="C207" s="23" t="s">
        <v>175</v>
      </c>
      <c r="D207" s="23" t="s">
        <v>175</v>
      </c>
      <c r="E207" s="23" t="s">
        <v>175</v>
      </c>
    </row>
    <row r="208" spans="1:5" x14ac:dyDescent="0.3">
      <c r="A208" s="48" t="s">
        <v>575</v>
      </c>
      <c r="B208" s="15" t="s">
        <v>576</v>
      </c>
      <c r="C208" s="23" t="s">
        <v>175</v>
      </c>
      <c r="D208" s="23" t="s">
        <v>176</v>
      </c>
      <c r="E208" s="23" t="s">
        <v>175</v>
      </c>
    </row>
    <row r="209" spans="1:5" x14ac:dyDescent="0.3">
      <c r="A209" s="48" t="s">
        <v>577</v>
      </c>
      <c r="B209" s="15" t="s">
        <v>578</v>
      </c>
      <c r="C209" s="23" t="s">
        <v>175</v>
      </c>
      <c r="D209" s="23" t="s">
        <v>176</v>
      </c>
      <c r="E209" s="23" t="s">
        <v>175</v>
      </c>
    </row>
    <row r="210" spans="1:5" x14ac:dyDescent="0.3">
      <c r="A210" s="48" t="s">
        <v>579</v>
      </c>
      <c r="B210" s="15" t="s">
        <v>580</v>
      </c>
      <c r="C210" s="23" t="s">
        <v>175</v>
      </c>
      <c r="D210" s="23" t="s">
        <v>176</v>
      </c>
      <c r="E210" s="23" t="s">
        <v>175</v>
      </c>
    </row>
    <row r="211" spans="1:5" x14ac:dyDescent="0.3">
      <c r="A211" s="48" t="s">
        <v>101</v>
      </c>
      <c r="B211" s="15" t="s">
        <v>581</v>
      </c>
      <c r="C211" s="23" t="s">
        <v>175</v>
      </c>
      <c r="D211" s="23" t="s">
        <v>176</v>
      </c>
      <c r="E211" s="23" t="s">
        <v>175</v>
      </c>
    </row>
    <row r="212" spans="1:5" x14ac:dyDescent="0.3">
      <c r="A212" s="48" t="s">
        <v>582</v>
      </c>
      <c r="B212" s="15" t="s">
        <v>583</v>
      </c>
      <c r="C212" s="23" t="s">
        <v>175</v>
      </c>
      <c r="D212" s="23" t="s">
        <v>176</v>
      </c>
      <c r="E212" s="23" t="s">
        <v>175</v>
      </c>
    </row>
    <row r="213" spans="1:5" x14ac:dyDescent="0.3">
      <c r="A213" s="48" t="s">
        <v>584</v>
      </c>
      <c r="B213" s="15" t="s">
        <v>585</v>
      </c>
      <c r="C213" s="23" t="s">
        <v>175</v>
      </c>
      <c r="D213" s="23" t="s">
        <v>176</v>
      </c>
      <c r="E213" s="23" t="s">
        <v>175</v>
      </c>
    </row>
    <row r="214" spans="1:5" x14ac:dyDescent="0.3">
      <c r="A214" s="48" t="s">
        <v>104</v>
      </c>
      <c r="B214" s="15" t="s">
        <v>586</v>
      </c>
      <c r="C214" s="23" t="s">
        <v>175</v>
      </c>
      <c r="D214" s="23" t="s">
        <v>176</v>
      </c>
      <c r="E214" s="23" t="s">
        <v>175</v>
      </c>
    </row>
    <row r="215" spans="1:5" x14ac:dyDescent="0.3">
      <c r="A215" s="48" t="s">
        <v>587</v>
      </c>
      <c r="B215" s="15" t="s">
        <v>588</v>
      </c>
      <c r="C215" s="23" t="s">
        <v>175</v>
      </c>
      <c r="D215" s="23" t="s">
        <v>176</v>
      </c>
      <c r="E215" s="23" t="s">
        <v>175</v>
      </c>
    </row>
    <row r="216" spans="1:5" x14ac:dyDescent="0.3">
      <c r="A216" s="48" t="s">
        <v>589</v>
      </c>
      <c r="B216" s="15" t="s">
        <v>590</v>
      </c>
      <c r="C216" s="23" t="s">
        <v>175</v>
      </c>
      <c r="D216" s="23" t="s">
        <v>176</v>
      </c>
      <c r="E216" s="23" t="s">
        <v>175</v>
      </c>
    </row>
    <row r="217" spans="1:5" x14ac:dyDescent="0.3">
      <c r="A217" s="48" t="s">
        <v>591</v>
      </c>
      <c r="B217" s="15" t="s">
        <v>592</v>
      </c>
      <c r="C217" s="23" t="s">
        <v>175</v>
      </c>
      <c r="D217" s="23" t="s">
        <v>176</v>
      </c>
      <c r="E217" s="23" t="s">
        <v>175</v>
      </c>
    </row>
    <row r="218" spans="1:5" x14ac:dyDescent="0.3">
      <c r="A218" s="48" t="s">
        <v>593</v>
      </c>
      <c r="B218" s="15" t="s">
        <v>594</v>
      </c>
      <c r="C218" s="23" t="s">
        <v>175</v>
      </c>
      <c r="D218" s="23" t="s">
        <v>176</v>
      </c>
      <c r="E218" s="23" t="s">
        <v>175</v>
      </c>
    </row>
    <row r="219" spans="1:5" x14ac:dyDescent="0.3">
      <c r="A219" s="48" t="s">
        <v>595</v>
      </c>
      <c r="B219" s="15" t="s">
        <v>596</v>
      </c>
      <c r="C219" s="23" t="s">
        <v>175</v>
      </c>
      <c r="D219" s="23" t="s">
        <v>176</v>
      </c>
      <c r="E219" s="23" t="s">
        <v>176</v>
      </c>
    </row>
    <row r="220" spans="1:5" x14ac:dyDescent="0.3">
      <c r="A220" s="48" t="s">
        <v>597</v>
      </c>
      <c r="B220" s="15" t="s">
        <v>598</v>
      </c>
      <c r="C220" s="23" t="s">
        <v>175</v>
      </c>
      <c r="D220" s="23" t="s">
        <v>176</v>
      </c>
      <c r="E220" s="23" t="s">
        <v>175</v>
      </c>
    </row>
    <row r="221" spans="1:5" x14ac:dyDescent="0.3">
      <c r="A221" s="48" t="s">
        <v>599</v>
      </c>
      <c r="B221" s="15" t="s">
        <v>600</v>
      </c>
      <c r="C221" s="23" t="s">
        <v>175</v>
      </c>
      <c r="D221" s="23" t="s">
        <v>175</v>
      </c>
      <c r="E221" s="23" t="s">
        <v>175</v>
      </c>
    </row>
    <row r="222" spans="1:5" x14ac:dyDescent="0.3">
      <c r="A222" s="48" t="s">
        <v>601</v>
      </c>
      <c r="B222" s="15" t="s">
        <v>602</v>
      </c>
      <c r="C222" s="23" t="s">
        <v>175</v>
      </c>
      <c r="D222" s="23" t="s">
        <v>176</v>
      </c>
      <c r="E222" s="23" t="s">
        <v>175</v>
      </c>
    </row>
    <row r="223" spans="1:5" x14ac:dyDescent="0.3">
      <c r="A223" s="48" t="s">
        <v>603</v>
      </c>
      <c r="B223" s="15" t="s">
        <v>604</v>
      </c>
      <c r="C223" s="23" t="s">
        <v>175</v>
      </c>
      <c r="D223" s="23" t="s">
        <v>175</v>
      </c>
      <c r="E223" s="23" t="s">
        <v>176</v>
      </c>
    </row>
    <row r="224" spans="1:5" x14ac:dyDescent="0.3">
      <c r="A224" s="48" t="s">
        <v>605</v>
      </c>
      <c r="B224" s="15" t="s">
        <v>606</v>
      </c>
      <c r="C224" s="23" t="s">
        <v>175</v>
      </c>
      <c r="D224" s="23" t="s">
        <v>176</v>
      </c>
      <c r="E224" s="23" t="s">
        <v>175</v>
      </c>
    </row>
    <row r="225" spans="1:5" x14ac:dyDescent="0.3">
      <c r="A225" s="48" t="s">
        <v>607</v>
      </c>
      <c r="B225" s="15" t="s">
        <v>608</v>
      </c>
      <c r="C225" s="23" t="s">
        <v>175</v>
      </c>
      <c r="D225" s="23" t="s">
        <v>175</v>
      </c>
      <c r="E225" s="23" t="s">
        <v>175</v>
      </c>
    </row>
    <row r="226" spans="1:5" x14ac:dyDescent="0.3">
      <c r="A226" s="48" t="s">
        <v>609</v>
      </c>
      <c r="B226" s="15" t="s">
        <v>610</v>
      </c>
      <c r="C226" s="23" t="s">
        <v>175</v>
      </c>
      <c r="D226" s="23" t="s">
        <v>176</v>
      </c>
      <c r="E226" s="23" t="s">
        <v>175</v>
      </c>
    </row>
    <row r="227" spans="1:5" x14ac:dyDescent="0.3">
      <c r="A227" s="48" t="s">
        <v>611</v>
      </c>
      <c r="B227" s="15" t="s">
        <v>612</v>
      </c>
      <c r="C227" s="23" t="s">
        <v>175</v>
      </c>
      <c r="D227" s="23" t="s">
        <v>176</v>
      </c>
      <c r="E227" s="23" t="s">
        <v>175</v>
      </c>
    </row>
    <row r="228" spans="1:5" x14ac:dyDescent="0.3">
      <c r="A228" s="48" t="s">
        <v>613</v>
      </c>
      <c r="B228" s="15" t="s">
        <v>614</v>
      </c>
      <c r="C228" s="23" t="s">
        <v>175</v>
      </c>
      <c r="D228" s="23" t="s">
        <v>175</v>
      </c>
      <c r="E228" s="23" t="s">
        <v>175</v>
      </c>
    </row>
    <row r="229" spans="1:5" x14ac:dyDescent="0.3">
      <c r="A229" s="48" t="s">
        <v>615</v>
      </c>
      <c r="B229" s="15" t="s">
        <v>616</v>
      </c>
      <c r="C229" s="23" t="s">
        <v>175</v>
      </c>
      <c r="D229" s="23" t="s">
        <v>176</v>
      </c>
      <c r="E229" s="23" t="s">
        <v>175</v>
      </c>
    </row>
    <row r="230" spans="1:5" x14ac:dyDescent="0.3">
      <c r="A230" s="48" t="s">
        <v>617</v>
      </c>
      <c r="B230" s="15" t="s">
        <v>618</v>
      </c>
      <c r="C230" s="23" t="s">
        <v>175</v>
      </c>
      <c r="D230" s="23" t="s">
        <v>176</v>
      </c>
      <c r="E230" s="23" t="s">
        <v>175</v>
      </c>
    </row>
    <row r="231" spans="1:5" x14ac:dyDescent="0.3">
      <c r="A231" s="48" t="s">
        <v>619</v>
      </c>
      <c r="B231" s="15" t="s">
        <v>620</v>
      </c>
      <c r="C231" s="23" t="s">
        <v>175</v>
      </c>
      <c r="D231" s="23" t="s">
        <v>176</v>
      </c>
      <c r="E231" s="23" t="s">
        <v>175</v>
      </c>
    </row>
    <row r="232" spans="1:5" x14ac:dyDescent="0.3">
      <c r="A232" s="48" t="s">
        <v>621</v>
      </c>
      <c r="B232" s="15" t="s">
        <v>622</v>
      </c>
      <c r="C232" s="23" t="s">
        <v>175</v>
      </c>
      <c r="D232" s="23" t="s">
        <v>176</v>
      </c>
      <c r="E232" s="23" t="s">
        <v>176</v>
      </c>
    </row>
    <row r="233" spans="1:5" x14ac:dyDescent="0.3">
      <c r="A233" s="48" t="s">
        <v>623</v>
      </c>
      <c r="B233" s="15" t="s">
        <v>624</v>
      </c>
      <c r="C233" s="23" t="s">
        <v>175</v>
      </c>
      <c r="D233" s="23" t="s">
        <v>175</v>
      </c>
      <c r="E233" s="23" t="s">
        <v>175</v>
      </c>
    </row>
    <row r="234" spans="1:5" x14ac:dyDescent="0.3">
      <c r="A234" s="48" t="s">
        <v>625</v>
      </c>
      <c r="B234" s="15" t="s">
        <v>626</v>
      </c>
      <c r="C234" s="23" t="s">
        <v>175</v>
      </c>
      <c r="D234" s="23" t="s">
        <v>176</v>
      </c>
      <c r="E234" s="23" t="s">
        <v>175</v>
      </c>
    </row>
    <row r="235" spans="1:5" x14ac:dyDescent="0.3">
      <c r="A235" s="48" t="s">
        <v>627</v>
      </c>
      <c r="B235" s="15" t="s">
        <v>628</v>
      </c>
      <c r="C235" s="23" t="s">
        <v>175</v>
      </c>
      <c r="D235" s="23" t="s">
        <v>176</v>
      </c>
      <c r="E235" s="23" t="s">
        <v>175</v>
      </c>
    </row>
    <row r="236" spans="1:5" x14ac:dyDescent="0.3">
      <c r="A236" s="48" t="s">
        <v>629</v>
      </c>
      <c r="B236" s="15" t="s">
        <v>630</v>
      </c>
      <c r="C236" s="23" t="s">
        <v>175</v>
      </c>
      <c r="D236" s="23" t="s">
        <v>176</v>
      </c>
      <c r="E236" s="23" t="s">
        <v>175</v>
      </c>
    </row>
    <row r="237" spans="1:5" x14ac:dyDescent="0.3">
      <c r="A237" s="48" t="s">
        <v>631</v>
      </c>
      <c r="B237" s="15" t="s">
        <v>632</v>
      </c>
      <c r="C237" s="23" t="s">
        <v>175</v>
      </c>
      <c r="D237" s="23" t="s">
        <v>176</v>
      </c>
      <c r="E237" s="23" t="s">
        <v>175</v>
      </c>
    </row>
    <row r="238" spans="1:5" x14ac:dyDescent="0.3">
      <c r="A238" s="48" t="s">
        <v>633</v>
      </c>
      <c r="B238" s="15" t="s">
        <v>634</v>
      </c>
      <c r="C238" s="23" t="s">
        <v>175</v>
      </c>
      <c r="D238" s="23" t="s">
        <v>176</v>
      </c>
      <c r="E238" s="23" t="s">
        <v>175</v>
      </c>
    </row>
    <row r="239" spans="1:5" x14ac:dyDescent="0.3">
      <c r="A239" s="48" t="s">
        <v>635</v>
      </c>
      <c r="B239" s="15" t="s">
        <v>636</v>
      </c>
      <c r="C239" s="23" t="s">
        <v>175</v>
      </c>
      <c r="D239" s="23" t="s">
        <v>176</v>
      </c>
      <c r="E239" s="23" t="s">
        <v>175</v>
      </c>
    </row>
    <row r="240" spans="1:5" x14ac:dyDescent="0.3">
      <c r="A240" s="48" t="s">
        <v>637</v>
      </c>
      <c r="B240" s="15" t="s">
        <v>638</v>
      </c>
      <c r="C240" s="23" t="s">
        <v>175</v>
      </c>
      <c r="D240" s="23" t="s">
        <v>176</v>
      </c>
      <c r="E240" s="23" t="s">
        <v>175</v>
      </c>
    </row>
    <row r="241" spans="1:5" x14ac:dyDescent="0.3">
      <c r="A241" s="48" t="s">
        <v>639</v>
      </c>
      <c r="B241" s="15" t="s">
        <v>640</v>
      </c>
      <c r="C241" s="23" t="s">
        <v>175</v>
      </c>
      <c r="D241" s="23" t="s">
        <v>176</v>
      </c>
      <c r="E241" s="23" t="s">
        <v>175</v>
      </c>
    </row>
    <row r="242" spans="1:5" x14ac:dyDescent="0.3">
      <c r="A242" s="48" t="s">
        <v>641</v>
      </c>
      <c r="B242" s="15" t="s">
        <v>642</v>
      </c>
      <c r="C242" s="23" t="s">
        <v>175</v>
      </c>
      <c r="D242" s="23" t="s">
        <v>176</v>
      </c>
      <c r="E242" s="23" t="s">
        <v>175</v>
      </c>
    </row>
    <row r="243" spans="1:5" x14ac:dyDescent="0.3">
      <c r="A243" s="48" t="s">
        <v>643</v>
      </c>
      <c r="B243" s="15" t="s">
        <v>644</v>
      </c>
      <c r="C243" s="23" t="s">
        <v>175</v>
      </c>
      <c r="D243" s="23" t="s">
        <v>176</v>
      </c>
      <c r="E243" s="23" t="s">
        <v>175</v>
      </c>
    </row>
    <row r="244" spans="1:5" x14ac:dyDescent="0.3">
      <c r="A244" s="48" t="s">
        <v>645</v>
      </c>
      <c r="B244" s="15" t="s">
        <v>646</v>
      </c>
      <c r="C244" s="23" t="s">
        <v>175</v>
      </c>
      <c r="D244" s="23" t="s">
        <v>176</v>
      </c>
      <c r="E244" s="23" t="s">
        <v>175</v>
      </c>
    </row>
    <row r="245" spans="1:5" x14ac:dyDescent="0.3">
      <c r="A245" s="48" t="s">
        <v>647</v>
      </c>
      <c r="B245" s="15" t="s">
        <v>648</v>
      </c>
      <c r="C245" s="23" t="s">
        <v>175</v>
      </c>
      <c r="D245" s="23" t="s">
        <v>176</v>
      </c>
      <c r="E245" s="23" t="s">
        <v>175</v>
      </c>
    </row>
    <row r="246" spans="1:5" x14ac:dyDescent="0.3">
      <c r="A246" s="48" t="s">
        <v>649</v>
      </c>
      <c r="B246" s="15" t="s">
        <v>650</v>
      </c>
      <c r="C246" s="23" t="s">
        <v>175</v>
      </c>
      <c r="D246" s="23" t="s">
        <v>176</v>
      </c>
      <c r="E246" s="23" t="s">
        <v>175</v>
      </c>
    </row>
    <row r="247" spans="1:5" x14ac:dyDescent="0.3">
      <c r="A247" s="48" t="s">
        <v>651</v>
      </c>
      <c r="B247" s="15" t="s">
        <v>652</v>
      </c>
      <c r="C247" s="23" t="s">
        <v>175</v>
      </c>
      <c r="D247" s="23" t="s">
        <v>176</v>
      </c>
      <c r="E247" s="23" t="s">
        <v>175</v>
      </c>
    </row>
    <row r="248" spans="1:5" x14ac:dyDescent="0.3">
      <c r="A248" s="48" t="s">
        <v>653</v>
      </c>
      <c r="B248" s="15" t="s">
        <v>654</v>
      </c>
      <c r="C248" s="23" t="s">
        <v>175</v>
      </c>
      <c r="D248" s="23" t="s">
        <v>176</v>
      </c>
      <c r="E248" s="23" t="s">
        <v>175</v>
      </c>
    </row>
    <row r="249" spans="1:5" x14ac:dyDescent="0.3">
      <c r="A249" s="48" t="s">
        <v>655</v>
      </c>
      <c r="B249" s="15" t="s">
        <v>656</v>
      </c>
      <c r="C249" s="23" t="s">
        <v>175</v>
      </c>
      <c r="D249" s="23" t="s">
        <v>176</v>
      </c>
      <c r="E249" s="23" t="s">
        <v>175</v>
      </c>
    </row>
    <row r="250" spans="1:5" x14ac:dyDescent="0.3">
      <c r="A250" s="48" t="s">
        <v>657</v>
      </c>
      <c r="B250" s="15" t="s">
        <v>658</v>
      </c>
      <c r="C250" s="23" t="s">
        <v>175</v>
      </c>
      <c r="D250" s="23" t="s">
        <v>176</v>
      </c>
      <c r="E250" s="23" t="s">
        <v>175</v>
      </c>
    </row>
    <row r="251" spans="1:5" x14ac:dyDescent="0.3">
      <c r="A251" s="48" t="s">
        <v>659</v>
      </c>
      <c r="B251" s="15" t="s">
        <v>660</v>
      </c>
      <c r="C251" s="23" t="s">
        <v>175</v>
      </c>
      <c r="D251" s="23" t="s">
        <v>176</v>
      </c>
      <c r="E251" s="23" t="s">
        <v>175</v>
      </c>
    </row>
    <row r="252" spans="1:5" x14ac:dyDescent="0.3">
      <c r="A252" s="48" t="s">
        <v>661</v>
      </c>
      <c r="B252" s="15" t="s">
        <v>662</v>
      </c>
      <c r="C252" s="23" t="s">
        <v>175</v>
      </c>
      <c r="D252" s="23" t="s">
        <v>176</v>
      </c>
      <c r="E252" s="23" t="s">
        <v>175</v>
      </c>
    </row>
    <row r="253" spans="1:5" x14ac:dyDescent="0.3">
      <c r="A253" s="48" t="s">
        <v>663</v>
      </c>
      <c r="B253" s="15" t="s">
        <v>664</v>
      </c>
      <c r="C253" s="23" t="s">
        <v>175</v>
      </c>
      <c r="D253" s="23" t="s">
        <v>176</v>
      </c>
      <c r="E253" s="23" t="s">
        <v>175</v>
      </c>
    </row>
    <row r="254" spans="1:5" x14ac:dyDescent="0.3">
      <c r="A254" s="48" t="s">
        <v>665</v>
      </c>
      <c r="B254" s="15" t="s">
        <v>666</v>
      </c>
      <c r="C254" s="23" t="s">
        <v>175</v>
      </c>
      <c r="D254" s="23" t="s">
        <v>176</v>
      </c>
      <c r="E254" s="23" t="s">
        <v>175</v>
      </c>
    </row>
    <row r="255" spans="1:5" x14ac:dyDescent="0.3">
      <c r="A255" s="48" t="s">
        <v>667</v>
      </c>
      <c r="B255" s="15" t="s">
        <v>668</v>
      </c>
      <c r="C255" s="23" t="s">
        <v>175</v>
      </c>
      <c r="D255" s="23" t="s">
        <v>176</v>
      </c>
      <c r="E255" s="23" t="s">
        <v>176</v>
      </c>
    </row>
    <row r="256" spans="1:5" x14ac:dyDescent="0.3">
      <c r="A256" s="48" t="s">
        <v>669</v>
      </c>
      <c r="B256" s="15" t="s">
        <v>670</v>
      </c>
      <c r="C256" s="23" t="s">
        <v>175</v>
      </c>
      <c r="D256" s="23" t="s">
        <v>176</v>
      </c>
      <c r="E256" s="23" t="s">
        <v>175</v>
      </c>
    </row>
    <row r="257" spans="1:5" x14ac:dyDescent="0.3">
      <c r="A257" s="48" t="s">
        <v>671</v>
      </c>
      <c r="B257" s="15" t="s">
        <v>672</v>
      </c>
      <c r="C257" s="23" t="s">
        <v>175</v>
      </c>
      <c r="D257" s="23" t="s">
        <v>176</v>
      </c>
      <c r="E257" s="23" t="s">
        <v>175</v>
      </c>
    </row>
    <row r="258" spans="1:5" x14ac:dyDescent="0.3">
      <c r="A258" s="48" t="s">
        <v>673</v>
      </c>
      <c r="B258" s="15" t="s">
        <v>674</v>
      </c>
      <c r="C258" s="23" t="s">
        <v>175</v>
      </c>
      <c r="D258" s="23" t="s">
        <v>176</v>
      </c>
      <c r="E258" s="23" t="s">
        <v>175</v>
      </c>
    </row>
    <row r="259" spans="1:5" x14ac:dyDescent="0.3">
      <c r="A259" s="48" t="s">
        <v>675</v>
      </c>
      <c r="B259" s="15" t="s">
        <v>676</v>
      </c>
      <c r="C259" s="23" t="s">
        <v>175</v>
      </c>
      <c r="D259" s="23" t="s">
        <v>176</v>
      </c>
      <c r="E259" s="23" t="s">
        <v>175</v>
      </c>
    </row>
    <row r="260" spans="1:5" x14ac:dyDescent="0.3">
      <c r="A260" s="48" t="s">
        <v>677</v>
      </c>
      <c r="B260" s="15" t="s">
        <v>678</v>
      </c>
      <c r="C260" s="23" t="s">
        <v>175</v>
      </c>
      <c r="D260" s="23" t="s">
        <v>176</v>
      </c>
      <c r="E260" s="23" t="s">
        <v>175</v>
      </c>
    </row>
    <row r="261" spans="1:5" x14ac:dyDescent="0.3">
      <c r="A261" s="48" t="s">
        <v>679</v>
      </c>
      <c r="B261" s="15" t="s">
        <v>680</v>
      </c>
      <c r="C261" s="23" t="s">
        <v>175</v>
      </c>
      <c r="D261" s="23" t="s">
        <v>176</v>
      </c>
      <c r="E261" s="23" t="s">
        <v>175</v>
      </c>
    </row>
    <row r="262" spans="1:5" x14ac:dyDescent="0.3">
      <c r="A262" s="48" t="s">
        <v>681</v>
      </c>
      <c r="B262" s="15" t="s">
        <v>682</v>
      </c>
      <c r="C262" s="23" t="s">
        <v>175</v>
      </c>
      <c r="D262" s="23" t="s">
        <v>176</v>
      </c>
      <c r="E262" s="23" t="s">
        <v>175</v>
      </c>
    </row>
    <row r="263" spans="1:5" x14ac:dyDescent="0.3">
      <c r="A263" s="48" t="s">
        <v>683</v>
      </c>
      <c r="B263" s="15" t="s">
        <v>684</v>
      </c>
      <c r="C263" s="23" t="s">
        <v>175</v>
      </c>
      <c r="D263" s="23" t="s">
        <v>176</v>
      </c>
      <c r="E263" s="23" t="s">
        <v>175</v>
      </c>
    </row>
    <row r="264" spans="1:5" x14ac:dyDescent="0.3">
      <c r="A264" s="48" t="s">
        <v>685</v>
      </c>
      <c r="B264" s="15" t="s">
        <v>686</v>
      </c>
      <c r="C264" s="23" t="s">
        <v>175</v>
      </c>
      <c r="D264" s="23" t="s">
        <v>176</v>
      </c>
      <c r="E264" s="23" t="s">
        <v>175</v>
      </c>
    </row>
    <row r="265" spans="1:5" x14ac:dyDescent="0.3">
      <c r="A265" s="48" t="s">
        <v>687</v>
      </c>
      <c r="B265" s="15" t="s">
        <v>688</v>
      </c>
      <c r="C265" s="23" t="s">
        <v>175</v>
      </c>
      <c r="D265" s="23" t="s">
        <v>176</v>
      </c>
      <c r="E265" s="23" t="s">
        <v>175</v>
      </c>
    </row>
    <row r="266" spans="1:5" x14ac:dyDescent="0.3">
      <c r="A266" s="48" t="s">
        <v>689</v>
      </c>
      <c r="B266" s="15" t="s">
        <v>690</v>
      </c>
      <c r="C266" s="23" t="s">
        <v>175</v>
      </c>
      <c r="D266" s="23" t="s">
        <v>176</v>
      </c>
      <c r="E266" s="23" t="s">
        <v>175</v>
      </c>
    </row>
    <row r="267" spans="1:5" x14ac:dyDescent="0.3">
      <c r="A267" s="48" t="s">
        <v>691</v>
      </c>
      <c r="B267" s="15" t="s">
        <v>692</v>
      </c>
      <c r="C267" s="23" t="s">
        <v>175</v>
      </c>
      <c r="D267" s="23" t="s">
        <v>176</v>
      </c>
      <c r="E267" s="23" t="s">
        <v>175</v>
      </c>
    </row>
    <row r="268" spans="1:5" x14ac:dyDescent="0.3">
      <c r="A268" s="48" t="s">
        <v>693</v>
      </c>
      <c r="B268" s="15" t="s">
        <v>694</v>
      </c>
      <c r="C268" s="23" t="s">
        <v>175</v>
      </c>
      <c r="D268" s="23" t="s">
        <v>176</v>
      </c>
      <c r="E268" s="23" t="s">
        <v>175</v>
      </c>
    </row>
    <row r="269" spans="1:5" x14ac:dyDescent="0.3">
      <c r="A269" s="48" t="s">
        <v>695</v>
      </c>
      <c r="B269" s="15" t="s">
        <v>696</v>
      </c>
      <c r="C269" s="23" t="s">
        <v>175</v>
      </c>
      <c r="D269" s="23" t="s">
        <v>176</v>
      </c>
      <c r="E269" s="23" t="s">
        <v>176</v>
      </c>
    </row>
    <row r="270" spans="1:5" x14ac:dyDescent="0.3">
      <c r="A270" s="48" t="s">
        <v>697</v>
      </c>
      <c r="B270" s="15" t="s">
        <v>698</v>
      </c>
      <c r="C270" s="23" t="s">
        <v>175</v>
      </c>
      <c r="D270" s="23" t="s">
        <v>176</v>
      </c>
      <c r="E270" s="23" t="s">
        <v>175</v>
      </c>
    </row>
    <row r="271" spans="1:5" x14ac:dyDescent="0.3">
      <c r="A271" s="48" t="s">
        <v>699</v>
      </c>
      <c r="B271" s="15" t="s">
        <v>700</v>
      </c>
      <c r="C271" s="23" t="s">
        <v>175</v>
      </c>
      <c r="D271" s="23" t="s">
        <v>176</v>
      </c>
      <c r="E271" s="23" t="s">
        <v>175</v>
      </c>
    </row>
    <row r="272" spans="1:5" x14ac:dyDescent="0.3">
      <c r="A272" s="48" t="s">
        <v>701</v>
      </c>
      <c r="B272" s="15" t="s">
        <v>702</v>
      </c>
      <c r="C272" s="23" t="s">
        <v>175</v>
      </c>
      <c r="D272" s="23" t="s">
        <v>176</v>
      </c>
      <c r="E272" s="23" t="s">
        <v>175</v>
      </c>
    </row>
    <row r="273" spans="1:5" x14ac:dyDescent="0.3">
      <c r="A273" s="48" t="s">
        <v>703</v>
      </c>
      <c r="B273" s="15" t="s">
        <v>704</v>
      </c>
      <c r="C273" s="23" t="s">
        <v>175</v>
      </c>
      <c r="D273" s="23" t="s">
        <v>176</v>
      </c>
      <c r="E273" s="23" t="s">
        <v>175</v>
      </c>
    </row>
    <row r="274" spans="1:5" x14ac:dyDescent="0.3">
      <c r="A274" s="48" t="s">
        <v>705</v>
      </c>
      <c r="B274" s="15" t="s">
        <v>706</v>
      </c>
      <c r="C274" s="23" t="s">
        <v>175</v>
      </c>
      <c r="D274" s="23" t="s">
        <v>176</v>
      </c>
      <c r="E274" s="23" t="s">
        <v>175</v>
      </c>
    </row>
    <row r="275" spans="1:5" x14ac:dyDescent="0.3">
      <c r="A275" s="48" t="s">
        <v>707</v>
      </c>
      <c r="B275" s="15" t="s">
        <v>708</v>
      </c>
      <c r="C275" s="23" t="s">
        <v>175</v>
      </c>
      <c r="D275" s="23" t="s">
        <v>176</v>
      </c>
      <c r="E275" s="23" t="s">
        <v>175</v>
      </c>
    </row>
    <row r="276" spans="1:5" x14ac:dyDescent="0.3">
      <c r="A276" s="48" t="s">
        <v>709</v>
      </c>
      <c r="B276" s="15" t="s">
        <v>710</v>
      </c>
      <c r="C276" s="23" t="s">
        <v>175</v>
      </c>
      <c r="D276" s="23" t="s">
        <v>176</v>
      </c>
      <c r="E276" s="23" t="s">
        <v>176</v>
      </c>
    </row>
    <row r="277" spans="1:5" x14ac:dyDescent="0.3">
      <c r="A277" s="48" t="s">
        <v>711</v>
      </c>
      <c r="B277" s="15" t="s">
        <v>712</v>
      </c>
      <c r="C277" s="23" t="s">
        <v>175</v>
      </c>
      <c r="D277" s="23" t="s">
        <v>176</v>
      </c>
      <c r="E277" s="23" t="s">
        <v>175</v>
      </c>
    </row>
    <row r="278" spans="1:5" x14ac:dyDescent="0.3">
      <c r="A278" s="48" t="s">
        <v>713</v>
      </c>
      <c r="B278" s="15" t="s">
        <v>714</v>
      </c>
      <c r="C278" s="23" t="s">
        <v>175</v>
      </c>
      <c r="D278" s="23" t="s">
        <v>176</v>
      </c>
      <c r="E278" s="23" t="s">
        <v>175</v>
      </c>
    </row>
    <row r="279" spans="1:5" x14ac:dyDescent="0.3">
      <c r="A279" s="48" t="s">
        <v>715</v>
      </c>
      <c r="B279" s="15" t="s">
        <v>716</v>
      </c>
      <c r="C279" s="23" t="s">
        <v>175</v>
      </c>
      <c r="D279" s="23" t="s">
        <v>176</v>
      </c>
      <c r="E279" s="23" t="s">
        <v>175</v>
      </c>
    </row>
    <row r="280" spans="1:5" x14ac:dyDescent="0.3">
      <c r="A280" s="48" t="s">
        <v>717</v>
      </c>
      <c r="B280" s="15" t="s">
        <v>718</v>
      </c>
      <c r="C280" s="23" t="s">
        <v>175</v>
      </c>
      <c r="D280" s="23" t="s">
        <v>176</v>
      </c>
      <c r="E280" s="23" t="s">
        <v>175</v>
      </c>
    </row>
    <row r="281" spans="1:5" x14ac:dyDescent="0.3">
      <c r="A281" s="48" t="s">
        <v>719</v>
      </c>
      <c r="B281" s="15" t="s">
        <v>720</v>
      </c>
      <c r="C281" s="23" t="s">
        <v>175</v>
      </c>
      <c r="D281" s="23" t="s">
        <v>176</v>
      </c>
      <c r="E281" s="23" t="s">
        <v>175</v>
      </c>
    </row>
    <row r="282" spans="1:5" x14ac:dyDescent="0.3">
      <c r="A282" s="48" t="s">
        <v>721</v>
      </c>
      <c r="B282" s="15" t="s">
        <v>722</v>
      </c>
      <c r="C282" s="23" t="s">
        <v>175</v>
      </c>
      <c r="D282" s="23" t="s">
        <v>176</v>
      </c>
      <c r="E282" s="23" t="s">
        <v>175</v>
      </c>
    </row>
    <row r="283" spans="1:5" x14ac:dyDescent="0.3">
      <c r="A283" s="48" t="s">
        <v>723</v>
      </c>
      <c r="B283" s="15" t="s">
        <v>724</v>
      </c>
      <c r="C283" s="23" t="s">
        <v>175</v>
      </c>
      <c r="D283" s="23" t="s">
        <v>176</v>
      </c>
      <c r="E283" s="23" t="s">
        <v>175</v>
      </c>
    </row>
    <row r="284" spans="1:5" x14ac:dyDescent="0.3">
      <c r="A284" s="48" t="s">
        <v>725</v>
      </c>
      <c r="B284" s="15" t="s">
        <v>726</v>
      </c>
      <c r="C284" s="23" t="s">
        <v>175</v>
      </c>
      <c r="D284" s="23" t="s">
        <v>176</v>
      </c>
      <c r="E284" s="23" t="s">
        <v>175</v>
      </c>
    </row>
    <row r="285" spans="1:5" x14ac:dyDescent="0.3">
      <c r="A285" s="48" t="s">
        <v>727</v>
      </c>
      <c r="B285" s="15" t="s">
        <v>728</v>
      </c>
      <c r="C285" s="23" t="s">
        <v>175</v>
      </c>
      <c r="D285" s="23" t="s">
        <v>176</v>
      </c>
      <c r="E285" s="23" t="s">
        <v>175</v>
      </c>
    </row>
    <row r="286" spans="1:5" x14ac:dyDescent="0.3">
      <c r="A286" s="48" t="s">
        <v>729</v>
      </c>
      <c r="B286" s="15" t="s">
        <v>730</v>
      </c>
      <c r="C286" s="23" t="s">
        <v>175</v>
      </c>
      <c r="D286" s="23" t="s">
        <v>176</v>
      </c>
      <c r="E286" s="23" t="s">
        <v>175</v>
      </c>
    </row>
    <row r="287" spans="1:5" x14ac:dyDescent="0.3">
      <c r="A287" s="48" t="s">
        <v>731</v>
      </c>
      <c r="B287" s="15" t="s">
        <v>732</v>
      </c>
      <c r="C287" s="23" t="s">
        <v>175</v>
      </c>
      <c r="D287" s="23" t="s">
        <v>176</v>
      </c>
      <c r="E287" s="23" t="s">
        <v>175</v>
      </c>
    </row>
    <row r="288" spans="1:5" x14ac:dyDescent="0.3">
      <c r="A288" s="48" t="s">
        <v>733</v>
      </c>
      <c r="B288" s="15" t="s">
        <v>734</v>
      </c>
      <c r="C288" s="23" t="s">
        <v>175</v>
      </c>
      <c r="D288" s="23" t="s">
        <v>176</v>
      </c>
      <c r="E288" s="23" t="s">
        <v>175</v>
      </c>
    </row>
    <row r="289" spans="1:5" x14ac:dyDescent="0.3">
      <c r="A289" s="48" t="s">
        <v>735</v>
      </c>
      <c r="B289" s="15" t="s">
        <v>736</v>
      </c>
      <c r="C289" s="23" t="s">
        <v>175</v>
      </c>
      <c r="D289" s="23" t="s">
        <v>175</v>
      </c>
      <c r="E289" s="23" t="s">
        <v>176</v>
      </c>
    </row>
    <row r="290" spans="1:5" x14ac:dyDescent="0.3">
      <c r="A290" s="48" t="s">
        <v>737</v>
      </c>
      <c r="B290" s="15" t="s">
        <v>738</v>
      </c>
      <c r="C290" s="23" t="s">
        <v>175</v>
      </c>
      <c r="D290" s="23" t="s">
        <v>176</v>
      </c>
      <c r="E290" s="23" t="s">
        <v>175</v>
      </c>
    </row>
    <row r="291" spans="1:5" x14ac:dyDescent="0.3">
      <c r="A291" s="48" t="s">
        <v>739</v>
      </c>
      <c r="B291" s="15" t="s">
        <v>740</v>
      </c>
      <c r="C291" s="23" t="s">
        <v>175</v>
      </c>
      <c r="D291" s="23" t="s">
        <v>176</v>
      </c>
      <c r="E291" s="23" t="s">
        <v>175</v>
      </c>
    </row>
    <row r="292" spans="1:5" x14ac:dyDescent="0.3">
      <c r="A292" s="48" t="s">
        <v>741</v>
      </c>
      <c r="B292" s="15" t="s">
        <v>742</v>
      </c>
      <c r="C292" s="23" t="s">
        <v>175</v>
      </c>
      <c r="D292" s="23" t="s">
        <v>176</v>
      </c>
      <c r="E292" s="23" t="s">
        <v>175</v>
      </c>
    </row>
    <row r="293" spans="1:5" x14ac:dyDescent="0.3">
      <c r="A293" s="48" t="s">
        <v>743</v>
      </c>
      <c r="B293" s="15" t="s">
        <v>744</v>
      </c>
      <c r="C293" s="23" t="s">
        <v>175</v>
      </c>
      <c r="D293" s="23" t="s">
        <v>176</v>
      </c>
      <c r="E293" s="23" t="s">
        <v>175</v>
      </c>
    </row>
    <row r="294" spans="1:5" x14ac:dyDescent="0.3">
      <c r="A294" s="48" t="s">
        <v>745</v>
      </c>
      <c r="B294" s="15" t="s">
        <v>746</v>
      </c>
      <c r="C294" s="23" t="s">
        <v>175</v>
      </c>
      <c r="D294" s="23" t="s">
        <v>176</v>
      </c>
      <c r="E294" s="23" t="s">
        <v>175</v>
      </c>
    </row>
    <row r="295" spans="1:5" x14ac:dyDescent="0.3">
      <c r="A295" s="48" t="s">
        <v>747</v>
      </c>
      <c r="B295" s="15" t="s">
        <v>748</v>
      </c>
      <c r="C295" s="23" t="s">
        <v>175</v>
      </c>
      <c r="D295" s="23" t="s">
        <v>176</v>
      </c>
      <c r="E295" s="23" t="s">
        <v>175</v>
      </c>
    </row>
    <row r="296" spans="1:5" x14ac:dyDescent="0.3">
      <c r="A296" s="48" t="s">
        <v>749</v>
      </c>
      <c r="B296" s="15" t="s">
        <v>750</v>
      </c>
      <c r="C296" s="23" t="s">
        <v>175</v>
      </c>
      <c r="D296" s="23" t="s">
        <v>176</v>
      </c>
      <c r="E296" s="23" t="s">
        <v>175</v>
      </c>
    </row>
    <row r="297" spans="1:5" x14ac:dyDescent="0.3">
      <c r="A297" s="48" t="s">
        <v>751</v>
      </c>
      <c r="B297" s="15" t="s">
        <v>752</v>
      </c>
      <c r="C297" s="23" t="s">
        <v>175</v>
      </c>
      <c r="D297" s="23" t="s">
        <v>176</v>
      </c>
      <c r="E297" s="23" t="s">
        <v>175</v>
      </c>
    </row>
    <row r="298" spans="1:5" x14ac:dyDescent="0.3">
      <c r="A298" s="48" t="s">
        <v>753</v>
      </c>
      <c r="B298" s="15" t="s">
        <v>754</v>
      </c>
      <c r="C298" s="23" t="s">
        <v>175</v>
      </c>
      <c r="D298" s="23" t="s">
        <v>176</v>
      </c>
      <c r="E298" s="23" t="s">
        <v>175</v>
      </c>
    </row>
    <row r="299" spans="1:5" x14ac:dyDescent="0.3">
      <c r="A299" s="48" t="s">
        <v>755</v>
      </c>
      <c r="B299" s="15" t="s">
        <v>756</v>
      </c>
      <c r="C299" s="23" t="s">
        <v>175</v>
      </c>
      <c r="D299" s="23" t="s">
        <v>175</v>
      </c>
      <c r="E299" s="23" t="s">
        <v>175</v>
      </c>
    </row>
    <row r="300" spans="1:5" x14ac:dyDescent="0.3">
      <c r="A300" s="48" t="s">
        <v>757</v>
      </c>
      <c r="B300" s="15" t="s">
        <v>758</v>
      </c>
      <c r="C300" s="23" t="s">
        <v>175</v>
      </c>
      <c r="D300" s="23" t="s">
        <v>176</v>
      </c>
      <c r="E300" s="23" t="s">
        <v>175</v>
      </c>
    </row>
    <row r="301" spans="1:5" x14ac:dyDescent="0.3">
      <c r="A301" s="48" t="s">
        <v>759</v>
      </c>
      <c r="B301" s="15" t="s">
        <v>760</v>
      </c>
      <c r="C301" s="23" t="s">
        <v>175</v>
      </c>
      <c r="D301" s="23" t="s">
        <v>176</v>
      </c>
      <c r="E301" s="23" t="s">
        <v>175</v>
      </c>
    </row>
    <row r="302" spans="1:5" x14ac:dyDescent="0.3">
      <c r="A302" s="48" t="s">
        <v>761</v>
      </c>
      <c r="B302" s="15" t="s">
        <v>762</v>
      </c>
      <c r="C302" s="23" t="s">
        <v>175</v>
      </c>
      <c r="D302" s="23" t="s">
        <v>176</v>
      </c>
      <c r="E302" s="23" t="s">
        <v>175</v>
      </c>
    </row>
    <row r="303" spans="1:5" x14ac:dyDescent="0.3">
      <c r="A303" s="48" t="s">
        <v>763</v>
      </c>
      <c r="B303" s="15" t="s">
        <v>764</v>
      </c>
      <c r="C303" s="23" t="s">
        <v>175</v>
      </c>
      <c r="D303" s="23" t="s">
        <v>176</v>
      </c>
      <c r="E303" s="23" t="s">
        <v>175</v>
      </c>
    </row>
    <row r="304" spans="1:5" x14ac:dyDescent="0.3">
      <c r="A304" s="48" t="s">
        <v>765</v>
      </c>
      <c r="B304" s="15" t="s">
        <v>766</v>
      </c>
      <c r="C304" s="23" t="s">
        <v>175</v>
      </c>
      <c r="D304" s="23" t="s">
        <v>176</v>
      </c>
      <c r="E304" s="23" t="s">
        <v>175</v>
      </c>
    </row>
    <row r="305" spans="1:5" x14ac:dyDescent="0.3">
      <c r="A305" s="48" t="s">
        <v>767</v>
      </c>
      <c r="B305" s="15" t="s">
        <v>768</v>
      </c>
      <c r="C305" s="23" t="s">
        <v>175</v>
      </c>
      <c r="D305" s="23" t="s">
        <v>175</v>
      </c>
      <c r="E305" s="23" t="s">
        <v>175</v>
      </c>
    </row>
    <row r="306" spans="1:5" x14ac:dyDescent="0.3">
      <c r="A306" s="48" t="s">
        <v>769</v>
      </c>
      <c r="B306" s="15" t="s">
        <v>770</v>
      </c>
      <c r="C306" s="23" t="s">
        <v>175</v>
      </c>
      <c r="D306" s="23" t="s">
        <v>176</v>
      </c>
      <c r="E306" s="23" t="s">
        <v>176</v>
      </c>
    </row>
    <row r="307" spans="1:5" x14ac:dyDescent="0.3">
      <c r="A307" s="48" t="s">
        <v>771</v>
      </c>
      <c r="B307" s="15" t="s">
        <v>772</v>
      </c>
      <c r="C307" s="23" t="s">
        <v>175</v>
      </c>
      <c r="D307" s="23" t="s">
        <v>176</v>
      </c>
      <c r="E307" s="23" t="s">
        <v>175</v>
      </c>
    </row>
    <row r="308" spans="1:5" x14ac:dyDescent="0.3">
      <c r="A308" s="48" t="s">
        <v>773</v>
      </c>
      <c r="B308" s="15" t="s">
        <v>774</v>
      </c>
      <c r="C308" s="23" t="s">
        <v>175</v>
      </c>
      <c r="D308" s="23" t="s">
        <v>176</v>
      </c>
      <c r="E308" s="23" t="s">
        <v>175</v>
      </c>
    </row>
    <row r="309" spans="1:5" x14ac:dyDescent="0.3">
      <c r="A309" s="48" t="s">
        <v>775</v>
      </c>
      <c r="B309" s="15" t="s">
        <v>776</v>
      </c>
      <c r="C309" s="23" t="s">
        <v>175</v>
      </c>
      <c r="D309" s="23" t="s">
        <v>176</v>
      </c>
      <c r="E309" s="23" t="s">
        <v>175</v>
      </c>
    </row>
    <row r="310" spans="1:5" x14ac:dyDescent="0.3">
      <c r="A310" s="48" t="s">
        <v>777</v>
      </c>
      <c r="B310" s="15" t="s">
        <v>778</v>
      </c>
      <c r="C310" s="23" t="s">
        <v>175</v>
      </c>
      <c r="D310" s="23" t="s">
        <v>176</v>
      </c>
      <c r="E310" s="23" t="s">
        <v>176</v>
      </c>
    </row>
    <row r="311" spans="1:5" x14ac:dyDescent="0.3">
      <c r="A311" s="48" t="s">
        <v>779</v>
      </c>
      <c r="B311" s="15" t="s">
        <v>780</v>
      </c>
      <c r="C311" s="23" t="s">
        <v>175</v>
      </c>
      <c r="D311" s="23" t="s">
        <v>176</v>
      </c>
      <c r="E311" s="23" t="s">
        <v>175</v>
      </c>
    </row>
    <row r="312" spans="1:5" x14ac:dyDescent="0.3">
      <c r="A312" s="48" t="s">
        <v>781</v>
      </c>
      <c r="B312" s="15" t="s">
        <v>782</v>
      </c>
      <c r="C312" s="23" t="s">
        <v>175</v>
      </c>
      <c r="D312" s="23" t="s">
        <v>176</v>
      </c>
      <c r="E312" s="23" t="s">
        <v>175</v>
      </c>
    </row>
    <row r="313" spans="1:5" x14ac:dyDescent="0.3">
      <c r="A313" s="48" t="s">
        <v>783</v>
      </c>
      <c r="B313" s="15" t="s">
        <v>784</v>
      </c>
      <c r="C313" s="23" t="s">
        <v>175</v>
      </c>
      <c r="D313" s="23" t="s">
        <v>176</v>
      </c>
      <c r="E313" s="23" t="s">
        <v>175</v>
      </c>
    </row>
    <row r="314" spans="1:5" x14ac:dyDescent="0.3">
      <c r="A314" s="48" t="s">
        <v>785</v>
      </c>
      <c r="B314" s="15" t="s">
        <v>786</v>
      </c>
      <c r="C314" s="23" t="s">
        <v>175</v>
      </c>
      <c r="D314" s="23" t="s">
        <v>176</v>
      </c>
      <c r="E314" s="23" t="s">
        <v>175</v>
      </c>
    </row>
    <row r="315" spans="1:5" x14ac:dyDescent="0.3">
      <c r="A315" s="48" t="s">
        <v>787</v>
      </c>
      <c r="B315" s="15" t="s">
        <v>788</v>
      </c>
      <c r="C315" s="23" t="s">
        <v>175</v>
      </c>
      <c r="D315" s="23" t="s">
        <v>176</v>
      </c>
      <c r="E315" s="23" t="s">
        <v>175</v>
      </c>
    </row>
    <row r="316" spans="1:5" x14ac:dyDescent="0.3">
      <c r="A316" s="48" t="s">
        <v>789</v>
      </c>
      <c r="B316" s="15" t="s">
        <v>790</v>
      </c>
      <c r="C316" s="23" t="s">
        <v>175</v>
      </c>
      <c r="D316" s="23" t="s">
        <v>176</v>
      </c>
      <c r="E316" s="23" t="s">
        <v>175</v>
      </c>
    </row>
    <row r="317" spans="1:5" x14ac:dyDescent="0.3">
      <c r="A317" s="48" t="s">
        <v>791</v>
      </c>
      <c r="B317" s="15" t="s">
        <v>792</v>
      </c>
      <c r="C317" s="23" t="s">
        <v>175</v>
      </c>
      <c r="D317" s="23" t="s">
        <v>176</v>
      </c>
      <c r="E317" s="23" t="s">
        <v>176</v>
      </c>
    </row>
    <row r="318" spans="1:5" x14ac:dyDescent="0.3">
      <c r="A318" s="48" t="s">
        <v>793</v>
      </c>
      <c r="B318" s="15" t="s">
        <v>794</v>
      </c>
      <c r="C318" s="23" t="s">
        <v>175</v>
      </c>
      <c r="D318" s="23" t="s">
        <v>176</v>
      </c>
      <c r="E318" s="23" t="s">
        <v>175</v>
      </c>
    </row>
    <row r="319" spans="1:5" x14ac:dyDescent="0.3">
      <c r="A319" s="48" t="s">
        <v>795</v>
      </c>
      <c r="B319" s="15" t="s">
        <v>796</v>
      </c>
      <c r="C319" s="23" t="s">
        <v>175</v>
      </c>
      <c r="D319" s="23" t="s">
        <v>176</v>
      </c>
      <c r="E319" s="23" t="s">
        <v>175</v>
      </c>
    </row>
    <row r="320" spans="1:5" x14ac:dyDescent="0.3">
      <c r="A320" s="48" t="s">
        <v>797</v>
      </c>
      <c r="B320" s="15" t="s">
        <v>798</v>
      </c>
      <c r="C320" s="23" t="s">
        <v>175</v>
      </c>
      <c r="D320" s="23" t="s">
        <v>176</v>
      </c>
      <c r="E320" s="23" t="s">
        <v>175</v>
      </c>
    </row>
    <row r="321" spans="1:5" x14ac:dyDescent="0.3">
      <c r="A321" s="48" t="s">
        <v>799</v>
      </c>
      <c r="B321" s="15" t="s">
        <v>800</v>
      </c>
      <c r="C321" s="23" t="s">
        <v>175</v>
      </c>
      <c r="D321" s="23" t="s">
        <v>176</v>
      </c>
      <c r="E321" s="23" t="s">
        <v>175</v>
      </c>
    </row>
    <row r="322" spans="1:5" x14ac:dyDescent="0.3">
      <c r="A322" s="48" t="s">
        <v>801</v>
      </c>
      <c r="B322" s="15" t="s">
        <v>802</v>
      </c>
      <c r="C322" s="23" t="s">
        <v>175</v>
      </c>
      <c r="D322" s="23" t="s">
        <v>176</v>
      </c>
      <c r="E322" s="23" t="s">
        <v>175</v>
      </c>
    </row>
    <row r="323" spans="1:5" x14ac:dyDescent="0.3">
      <c r="A323" s="48" t="s">
        <v>803</v>
      </c>
      <c r="B323" s="15" t="s">
        <v>804</v>
      </c>
      <c r="C323" s="23" t="s">
        <v>175</v>
      </c>
      <c r="D323" s="23" t="s">
        <v>176</v>
      </c>
      <c r="E323" s="23" t="s">
        <v>175</v>
      </c>
    </row>
    <row r="324" spans="1:5" x14ac:dyDescent="0.3">
      <c r="A324" s="48" t="s">
        <v>805</v>
      </c>
      <c r="B324" s="15" t="s">
        <v>806</v>
      </c>
      <c r="C324" s="23" t="s">
        <v>175</v>
      </c>
      <c r="D324" s="23" t="s">
        <v>176</v>
      </c>
      <c r="E324" s="23" t="s">
        <v>175</v>
      </c>
    </row>
    <row r="325" spans="1:5" x14ac:dyDescent="0.3">
      <c r="A325" s="48" t="s">
        <v>131</v>
      </c>
      <c r="B325" s="15" t="s">
        <v>807</v>
      </c>
      <c r="C325" s="23" t="s">
        <v>175</v>
      </c>
      <c r="D325" s="23" t="s">
        <v>175</v>
      </c>
      <c r="E325" s="23" t="s">
        <v>175</v>
      </c>
    </row>
    <row r="326" spans="1:5" x14ac:dyDescent="0.3">
      <c r="A326" s="48" t="s">
        <v>808</v>
      </c>
      <c r="B326" s="15" t="s">
        <v>809</v>
      </c>
      <c r="C326" s="23" t="s">
        <v>175</v>
      </c>
      <c r="D326" s="23" t="s">
        <v>176</v>
      </c>
      <c r="E326" s="23" t="s">
        <v>175</v>
      </c>
    </row>
    <row r="327" spans="1:5" x14ac:dyDescent="0.3">
      <c r="A327" s="48" t="s">
        <v>810</v>
      </c>
      <c r="B327" s="15" t="s">
        <v>811</v>
      </c>
      <c r="C327" s="23" t="s">
        <v>175</v>
      </c>
      <c r="D327" s="23" t="s">
        <v>176</v>
      </c>
      <c r="E327" s="23" t="s">
        <v>175</v>
      </c>
    </row>
    <row r="328" spans="1:5" x14ac:dyDescent="0.3">
      <c r="A328" s="48" t="s">
        <v>140</v>
      </c>
      <c r="B328" s="15" t="s">
        <v>141</v>
      </c>
      <c r="C328" s="23" t="s">
        <v>175</v>
      </c>
      <c r="D328" s="23" t="s">
        <v>175</v>
      </c>
      <c r="E328" s="23" t="s">
        <v>175</v>
      </c>
    </row>
    <row r="329" spans="1:5" x14ac:dyDescent="0.3">
      <c r="A329" s="48" t="s">
        <v>812</v>
      </c>
      <c r="B329" s="15" t="s">
        <v>813</v>
      </c>
      <c r="C329" s="23" t="s">
        <v>175</v>
      </c>
      <c r="D329" s="23" t="s">
        <v>176</v>
      </c>
      <c r="E329" s="23" t="s">
        <v>175</v>
      </c>
    </row>
    <row r="330" spans="1:5" x14ac:dyDescent="0.3">
      <c r="A330" s="48" t="s">
        <v>814</v>
      </c>
      <c r="B330" s="15" t="s">
        <v>815</v>
      </c>
      <c r="C330" s="23" t="s">
        <v>175</v>
      </c>
      <c r="D330" s="23" t="s">
        <v>176</v>
      </c>
      <c r="E330" s="23" t="s">
        <v>175</v>
      </c>
    </row>
    <row r="331" spans="1:5" x14ac:dyDescent="0.3">
      <c r="A331" s="48" t="s">
        <v>816</v>
      </c>
      <c r="B331" s="15" t="s">
        <v>817</v>
      </c>
      <c r="C331" s="23" t="s">
        <v>175</v>
      </c>
      <c r="D331" s="23" t="s">
        <v>176</v>
      </c>
      <c r="E331" s="23" t="s">
        <v>175</v>
      </c>
    </row>
    <row r="332" spans="1:5" x14ac:dyDescent="0.3">
      <c r="A332" s="48" t="s">
        <v>818</v>
      </c>
      <c r="B332" s="15" t="s">
        <v>819</v>
      </c>
      <c r="C332" s="23" t="s">
        <v>175</v>
      </c>
      <c r="D332" s="23" t="s">
        <v>176</v>
      </c>
      <c r="E332" s="23" t="s">
        <v>175</v>
      </c>
    </row>
    <row r="333" spans="1:5" x14ac:dyDescent="0.3">
      <c r="A333" s="48" t="s">
        <v>820</v>
      </c>
      <c r="B333" s="15" t="s">
        <v>821</v>
      </c>
      <c r="C333" s="23" t="s">
        <v>175</v>
      </c>
      <c r="D333" s="23" t="s">
        <v>176</v>
      </c>
      <c r="E333" s="23" t="s">
        <v>175</v>
      </c>
    </row>
    <row r="334" spans="1:5" x14ac:dyDescent="0.3">
      <c r="A334" s="48" t="s">
        <v>822</v>
      </c>
      <c r="B334" s="15" t="s">
        <v>823</v>
      </c>
      <c r="C334" s="23" t="s">
        <v>175</v>
      </c>
      <c r="D334" s="23" t="s">
        <v>175</v>
      </c>
      <c r="E334" s="23" t="s">
        <v>175</v>
      </c>
    </row>
    <row r="335" spans="1:5" x14ac:dyDescent="0.3">
      <c r="A335" s="48" t="s">
        <v>824</v>
      </c>
      <c r="B335" s="15" t="s">
        <v>825</v>
      </c>
      <c r="C335" s="23" t="s">
        <v>175</v>
      </c>
      <c r="D335" s="23" t="s">
        <v>175</v>
      </c>
      <c r="E335" s="23" t="s">
        <v>175</v>
      </c>
    </row>
    <row r="336" spans="1:5" x14ac:dyDescent="0.3">
      <c r="A336" s="48" t="s">
        <v>826</v>
      </c>
      <c r="B336" s="15" t="s">
        <v>827</v>
      </c>
      <c r="C336" s="23" t="s">
        <v>175</v>
      </c>
      <c r="D336" s="23" t="s">
        <v>175</v>
      </c>
      <c r="E336" s="23" t="s">
        <v>175</v>
      </c>
    </row>
    <row r="337" spans="1:5" x14ac:dyDescent="0.3">
      <c r="A337" s="48" t="s">
        <v>828</v>
      </c>
      <c r="B337" s="15" t="s">
        <v>829</v>
      </c>
      <c r="C337" s="23" t="s">
        <v>175</v>
      </c>
      <c r="D337" s="23" t="s">
        <v>176</v>
      </c>
      <c r="E337" s="23" t="s">
        <v>175</v>
      </c>
    </row>
    <row r="338" spans="1:5" x14ac:dyDescent="0.3">
      <c r="A338" s="48" t="s">
        <v>830</v>
      </c>
      <c r="B338" s="15" t="s">
        <v>831</v>
      </c>
      <c r="C338" s="23" t="s">
        <v>175</v>
      </c>
      <c r="D338" s="23" t="s">
        <v>176</v>
      </c>
      <c r="E338" s="23" t="s">
        <v>175</v>
      </c>
    </row>
    <row r="339" spans="1:5" x14ac:dyDescent="0.3">
      <c r="A339" s="48" t="s">
        <v>832</v>
      </c>
      <c r="B339" s="15" t="s">
        <v>833</v>
      </c>
      <c r="C339" s="23" t="s">
        <v>175</v>
      </c>
      <c r="D339" s="23" t="s">
        <v>176</v>
      </c>
      <c r="E339" s="23" t="s">
        <v>175</v>
      </c>
    </row>
    <row r="340" spans="1:5" x14ac:dyDescent="0.3">
      <c r="A340" s="48" t="s">
        <v>834</v>
      </c>
      <c r="B340" s="15" t="s">
        <v>835</v>
      </c>
      <c r="C340" s="23" t="s">
        <v>175</v>
      </c>
      <c r="D340" s="23" t="s">
        <v>176</v>
      </c>
      <c r="E340" s="23" t="s">
        <v>175</v>
      </c>
    </row>
    <row r="341" spans="1:5" x14ac:dyDescent="0.3">
      <c r="A341" s="48" t="s">
        <v>836</v>
      </c>
      <c r="B341" s="15" t="s">
        <v>837</v>
      </c>
      <c r="C341" s="23" t="s">
        <v>175</v>
      </c>
      <c r="D341" s="23" t="s">
        <v>175</v>
      </c>
      <c r="E341" s="23" t="s">
        <v>175</v>
      </c>
    </row>
    <row r="342" spans="1:5" x14ac:dyDescent="0.3">
      <c r="A342" s="48" t="s">
        <v>838</v>
      </c>
      <c r="B342" s="15" t="s">
        <v>839</v>
      </c>
      <c r="C342" s="23" t="s">
        <v>175</v>
      </c>
      <c r="D342" s="23" t="s">
        <v>176</v>
      </c>
      <c r="E342" s="23" t="s">
        <v>176</v>
      </c>
    </row>
    <row r="343" spans="1:5" x14ac:dyDescent="0.3">
      <c r="A343" s="48" t="s">
        <v>840</v>
      </c>
      <c r="B343" s="15" t="s">
        <v>841</v>
      </c>
      <c r="C343" s="23" t="s">
        <v>175</v>
      </c>
      <c r="D343" s="23" t="s">
        <v>175</v>
      </c>
      <c r="E343" s="23" t="s">
        <v>175</v>
      </c>
    </row>
    <row r="344" spans="1:5" x14ac:dyDescent="0.3">
      <c r="A344" s="48" t="s">
        <v>842</v>
      </c>
      <c r="B344" s="15" t="s">
        <v>843</v>
      </c>
      <c r="C344" s="23" t="s">
        <v>175</v>
      </c>
      <c r="D344" s="23" t="s">
        <v>175</v>
      </c>
      <c r="E344" s="23" t="s">
        <v>175</v>
      </c>
    </row>
    <row r="345" spans="1:5" x14ac:dyDescent="0.3">
      <c r="A345" s="48" t="s">
        <v>844</v>
      </c>
      <c r="B345" s="15" t="s">
        <v>845</v>
      </c>
      <c r="C345" s="23" t="s">
        <v>175</v>
      </c>
      <c r="D345" s="23" t="s">
        <v>176</v>
      </c>
      <c r="E345" s="23" t="s">
        <v>175</v>
      </c>
    </row>
    <row r="346" spans="1:5" x14ac:dyDescent="0.3">
      <c r="A346" s="48" t="s">
        <v>846</v>
      </c>
      <c r="B346" s="15" t="s">
        <v>847</v>
      </c>
      <c r="C346" s="23" t="s">
        <v>175</v>
      </c>
      <c r="D346" s="23" t="s">
        <v>176</v>
      </c>
      <c r="E346" s="23" t="s">
        <v>175</v>
      </c>
    </row>
    <row r="347" spans="1:5" x14ac:dyDescent="0.3">
      <c r="A347" s="48" t="s">
        <v>848</v>
      </c>
      <c r="B347" s="15" t="s">
        <v>849</v>
      </c>
      <c r="C347" s="23" t="s">
        <v>175</v>
      </c>
      <c r="D347" s="23" t="s">
        <v>176</v>
      </c>
      <c r="E347" s="23" t="s">
        <v>175</v>
      </c>
    </row>
    <row r="348" spans="1:5" x14ac:dyDescent="0.3">
      <c r="A348" s="48" t="s">
        <v>850</v>
      </c>
      <c r="B348" s="15" t="s">
        <v>851</v>
      </c>
      <c r="C348" s="23" t="s">
        <v>175</v>
      </c>
      <c r="D348" s="23" t="s">
        <v>175</v>
      </c>
      <c r="E348" s="23" t="s">
        <v>175</v>
      </c>
    </row>
    <row r="349" spans="1:5" x14ac:dyDescent="0.3">
      <c r="A349" s="48" t="s">
        <v>852</v>
      </c>
      <c r="B349" s="15" t="s">
        <v>853</v>
      </c>
      <c r="C349" s="23" t="s">
        <v>175</v>
      </c>
      <c r="D349" s="23" t="s">
        <v>176</v>
      </c>
      <c r="E349" s="23" t="s">
        <v>175</v>
      </c>
    </row>
    <row r="350" spans="1:5" x14ac:dyDescent="0.3">
      <c r="A350" s="48" t="s">
        <v>854</v>
      </c>
      <c r="B350" s="15" t="s">
        <v>855</v>
      </c>
      <c r="C350" s="23" t="s">
        <v>175</v>
      </c>
      <c r="D350" s="23" t="s">
        <v>176</v>
      </c>
      <c r="E350" s="23" t="s">
        <v>175</v>
      </c>
    </row>
    <row r="351" spans="1:5" x14ac:dyDescent="0.3">
      <c r="A351" s="48" t="s">
        <v>856</v>
      </c>
      <c r="B351" s="15" t="s">
        <v>857</v>
      </c>
      <c r="C351" s="23" t="s">
        <v>175</v>
      </c>
      <c r="D351" s="23" t="s">
        <v>175</v>
      </c>
      <c r="E351" s="23" t="s">
        <v>175</v>
      </c>
    </row>
    <row r="352" spans="1:5" x14ac:dyDescent="0.3">
      <c r="A352" s="48" t="s">
        <v>858</v>
      </c>
      <c r="B352" s="15" t="s">
        <v>859</v>
      </c>
      <c r="C352" s="23" t="s">
        <v>175</v>
      </c>
      <c r="D352" s="23" t="s">
        <v>175</v>
      </c>
      <c r="E352" s="23" t="s">
        <v>175</v>
      </c>
    </row>
    <row r="353" spans="1:5" x14ac:dyDescent="0.3">
      <c r="A353" s="48" t="s">
        <v>860</v>
      </c>
      <c r="B353" s="15" t="s">
        <v>861</v>
      </c>
      <c r="C353" s="23" t="s">
        <v>175</v>
      </c>
      <c r="D353" s="23" t="s">
        <v>176</v>
      </c>
      <c r="E353" s="23" t="s">
        <v>175</v>
      </c>
    </row>
    <row r="354" spans="1:5" x14ac:dyDescent="0.3">
      <c r="A354" s="48" t="s">
        <v>862</v>
      </c>
      <c r="B354" s="15" t="s">
        <v>863</v>
      </c>
      <c r="C354" s="23" t="s">
        <v>175</v>
      </c>
      <c r="D354" s="23" t="s">
        <v>176</v>
      </c>
      <c r="E354" s="23" t="s">
        <v>175</v>
      </c>
    </row>
    <row r="355" spans="1:5" x14ac:dyDescent="0.3">
      <c r="A355" s="48" t="s">
        <v>864</v>
      </c>
      <c r="B355" s="15" t="s">
        <v>865</v>
      </c>
      <c r="C355" s="23" t="s">
        <v>175</v>
      </c>
      <c r="D355" s="23" t="s">
        <v>176</v>
      </c>
      <c r="E355" s="23" t="s">
        <v>175</v>
      </c>
    </row>
    <row r="356" spans="1:5" x14ac:dyDescent="0.3">
      <c r="A356" s="48" t="s">
        <v>866</v>
      </c>
      <c r="B356" s="15" t="s">
        <v>867</v>
      </c>
      <c r="C356" s="23" t="s">
        <v>175</v>
      </c>
      <c r="D356" s="23" t="s">
        <v>176</v>
      </c>
      <c r="E356" s="23" t="s">
        <v>175</v>
      </c>
    </row>
    <row r="357" spans="1:5" x14ac:dyDescent="0.3">
      <c r="A357" s="48" t="s">
        <v>868</v>
      </c>
      <c r="B357" s="15" t="s">
        <v>869</v>
      </c>
      <c r="C357" s="23" t="s">
        <v>175</v>
      </c>
      <c r="D357" s="23" t="s">
        <v>176</v>
      </c>
      <c r="E357" s="23" t="s">
        <v>175</v>
      </c>
    </row>
    <row r="358" spans="1:5" x14ac:dyDescent="0.3">
      <c r="A358" s="48" t="s">
        <v>870</v>
      </c>
      <c r="B358" s="15" t="s">
        <v>871</v>
      </c>
      <c r="C358" s="23" t="s">
        <v>175</v>
      </c>
      <c r="D358" s="23" t="s">
        <v>176</v>
      </c>
      <c r="E358" s="23" t="s">
        <v>175</v>
      </c>
    </row>
    <row r="359" spans="1:5" x14ac:dyDescent="0.3">
      <c r="A359" s="48" t="s">
        <v>872</v>
      </c>
      <c r="B359" s="15" t="s">
        <v>873</v>
      </c>
      <c r="C359" s="23" t="s">
        <v>175</v>
      </c>
      <c r="D359" s="23" t="s">
        <v>176</v>
      </c>
      <c r="E359" s="23" t="s">
        <v>175</v>
      </c>
    </row>
    <row r="360" spans="1:5" x14ac:dyDescent="0.3">
      <c r="A360" s="48" t="s">
        <v>874</v>
      </c>
      <c r="B360" s="15" t="s">
        <v>875</v>
      </c>
      <c r="C360" s="23" t="s">
        <v>175</v>
      </c>
      <c r="D360" s="23" t="s">
        <v>176</v>
      </c>
      <c r="E360" s="23" t="s">
        <v>175</v>
      </c>
    </row>
    <row r="361" spans="1:5" x14ac:dyDescent="0.3">
      <c r="A361" s="48" t="s">
        <v>876</v>
      </c>
      <c r="B361" s="15" t="s">
        <v>877</v>
      </c>
      <c r="C361" s="23" t="s">
        <v>175</v>
      </c>
      <c r="D361" s="23" t="s">
        <v>176</v>
      </c>
      <c r="E361" s="23" t="s">
        <v>175</v>
      </c>
    </row>
    <row r="362" spans="1:5" x14ac:dyDescent="0.3">
      <c r="A362" s="48" t="s">
        <v>878</v>
      </c>
      <c r="B362" s="15" t="s">
        <v>879</v>
      </c>
      <c r="C362" s="23" t="s">
        <v>175</v>
      </c>
      <c r="D362" s="23" t="s">
        <v>176</v>
      </c>
      <c r="E362" s="23" t="s">
        <v>175</v>
      </c>
    </row>
    <row r="363" spans="1:5" x14ac:dyDescent="0.3">
      <c r="A363" s="48" t="s">
        <v>880</v>
      </c>
      <c r="B363" s="15" t="s">
        <v>881</v>
      </c>
      <c r="C363" s="23" t="s">
        <v>175</v>
      </c>
      <c r="D363" s="23" t="s">
        <v>175</v>
      </c>
      <c r="E363" s="23" t="s">
        <v>175</v>
      </c>
    </row>
    <row r="364" spans="1:5" x14ac:dyDescent="0.3">
      <c r="A364" s="48" t="s">
        <v>882</v>
      </c>
      <c r="B364" s="15" t="s">
        <v>883</v>
      </c>
      <c r="C364" s="23" t="s">
        <v>175</v>
      </c>
      <c r="D364" s="23" t="s">
        <v>175</v>
      </c>
      <c r="E364" s="23" t="s">
        <v>175</v>
      </c>
    </row>
    <row r="365" spans="1:5" x14ac:dyDescent="0.3">
      <c r="A365" s="48" t="s">
        <v>884</v>
      </c>
      <c r="B365" s="15" t="s">
        <v>885</v>
      </c>
      <c r="C365" s="23" t="s">
        <v>175</v>
      </c>
      <c r="D365" s="23" t="s">
        <v>176</v>
      </c>
      <c r="E365" s="23" t="s">
        <v>175</v>
      </c>
    </row>
    <row r="366" spans="1:5" x14ac:dyDescent="0.3">
      <c r="A366" s="48" t="s">
        <v>886</v>
      </c>
      <c r="B366" s="15" t="s">
        <v>887</v>
      </c>
      <c r="C366" s="23" t="s">
        <v>175</v>
      </c>
      <c r="D366" s="23" t="s">
        <v>176</v>
      </c>
      <c r="E366" s="23" t="s">
        <v>175</v>
      </c>
    </row>
    <row r="367" spans="1:5" x14ac:dyDescent="0.3">
      <c r="A367" s="48" t="s">
        <v>888</v>
      </c>
      <c r="B367" s="15" t="s">
        <v>889</v>
      </c>
      <c r="C367" s="23" t="s">
        <v>175</v>
      </c>
      <c r="D367" s="23" t="s">
        <v>176</v>
      </c>
      <c r="E367" s="23" t="s">
        <v>175</v>
      </c>
    </row>
    <row r="368" spans="1:5" x14ac:dyDescent="0.3">
      <c r="A368" s="48" t="s">
        <v>890</v>
      </c>
      <c r="B368" s="15" t="s">
        <v>891</v>
      </c>
      <c r="C368" s="23" t="s">
        <v>175</v>
      </c>
      <c r="D368" s="23" t="s">
        <v>175</v>
      </c>
      <c r="E368" s="23" t="s">
        <v>175</v>
      </c>
    </row>
    <row r="369" spans="1:5" x14ac:dyDescent="0.3">
      <c r="A369" s="48" t="s">
        <v>892</v>
      </c>
      <c r="B369" s="15" t="s">
        <v>893</v>
      </c>
      <c r="C369" s="23" t="s">
        <v>175</v>
      </c>
      <c r="D369" s="23" t="s">
        <v>175</v>
      </c>
      <c r="E369" s="23" t="s">
        <v>175</v>
      </c>
    </row>
    <row r="370" spans="1:5" x14ac:dyDescent="0.3">
      <c r="A370" s="48" t="s">
        <v>894</v>
      </c>
      <c r="B370" s="15" t="s">
        <v>895</v>
      </c>
      <c r="C370" s="23" t="s">
        <v>175</v>
      </c>
      <c r="D370" s="23" t="s">
        <v>176</v>
      </c>
      <c r="E370" s="23" t="s">
        <v>175</v>
      </c>
    </row>
    <row r="371" spans="1:5" x14ac:dyDescent="0.3">
      <c r="A371" s="48" t="s">
        <v>896</v>
      </c>
      <c r="B371" s="15" t="s">
        <v>897</v>
      </c>
      <c r="C371" s="23" t="s">
        <v>175</v>
      </c>
      <c r="D371" s="23" t="s">
        <v>175</v>
      </c>
      <c r="E371" s="23" t="s">
        <v>175</v>
      </c>
    </row>
    <row r="372" spans="1:5" x14ac:dyDescent="0.3">
      <c r="A372" s="48" t="s">
        <v>898</v>
      </c>
      <c r="B372" s="15" t="s">
        <v>899</v>
      </c>
      <c r="C372" s="23" t="s">
        <v>175</v>
      </c>
      <c r="D372" s="23" t="s">
        <v>175</v>
      </c>
      <c r="E372" s="23" t="s">
        <v>175</v>
      </c>
    </row>
    <row r="373" spans="1:5" x14ac:dyDescent="0.3">
      <c r="A373" s="48" t="s">
        <v>900</v>
      </c>
      <c r="B373" s="15" t="s">
        <v>901</v>
      </c>
      <c r="C373" s="23" t="s">
        <v>175</v>
      </c>
      <c r="D373" s="23" t="s">
        <v>176</v>
      </c>
      <c r="E373" s="23" t="s">
        <v>176</v>
      </c>
    </row>
    <row r="374" spans="1:5" x14ac:dyDescent="0.3">
      <c r="A374" s="48" t="s">
        <v>902</v>
      </c>
      <c r="B374" s="15" t="s">
        <v>903</v>
      </c>
      <c r="C374" s="23" t="s">
        <v>175</v>
      </c>
      <c r="D374" s="23" t="s">
        <v>175</v>
      </c>
      <c r="E374" s="23" t="s">
        <v>175</v>
      </c>
    </row>
    <row r="375" spans="1:5" x14ac:dyDescent="0.3">
      <c r="A375" s="48" t="s">
        <v>904</v>
      </c>
      <c r="B375" s="15" t="s">
        <v>905</v>
      </c>
      <c r="C375" s="23" t="s">
        <v>175</v>
      </c>
      <c r="D375" s="23" t="s">
        <v>176</v>
      </c>
      <c r="E375" s="23" t="s">
        <v>175</v>
      </c>
    </row>
    <row r="376" spans="1:5" x14ac:dyDescent="0.3">
      <c r="A376" s="48" t="s">
        <v>906</v>
      </c>
      <c r="B376" s="15" t="s">
        <v>907</v>
      </c>
      <c r="C376" s="23" t="s">
        <v>175</v>
      </c>
      <c r="D376" s="23" t="s">
        <v>175</v>
      </c>
      <c r="E376" s="23" t="s">
        <v>175</v>
      </c>
    </row>
    <row r="377" spans="1:5" x14ac:dyDescent="0.3">
      <c r="A377" s="48" t="s">
        <v>908</v>
      </c>
      <c r="B377" s="15" t="s">
        <v>909</v>
      </c>
      <c r="C377" s="23" t="s">
        <v>175</v>
      </c>
      <c r="D377" s="23" t="s">
        <v>176</v>
      </c>
      <c r="E377" s="23" t="s">
        <v>175</v>
      </c>
    </row>
    <row r="378" spans="1:5" x14ac:dyDescent="0.3">
      <c r="A378" s="48" t="s">
        <v>910</v>
      </c>
      <c r="B378" s="15" t="s">
        <v>911</v>
      </c>
      <c r="C378" s="23" t="s">
        <v>175</v>
      </c>
      <c r="D378" s="23" t="s">
        <v>175</v>
      </c>
      <c r="E378" s="23" t="s">
        <v>175</v>
      </c>
    </row>
    <row r="379" spans="1:5" x14ac:dyDescent="0.3">
      <c r="A379" s="48" t="s">
        <v>912</v>
      </c>
      <c r="B379" s="15" t="s">
        <v>913</v>
      </c>
      <c r="C379" s="23" t="s">
        <v>175</v>
      </c>
      <c r="D379" s="23" t="s">
        <v>176</v>
      </c>
      <c r="E379" s="23" t="s">
        <v>175</v>
      </c>
    </row>
    <row r="380" spans="1:5" x14ac:dyDescent="0.3">
      <c r="A380" s="48" t="s">
        <v>914</v>
      </c>
      <c r="B380" s="15" t="s">
        <v>915</v>
      </c>
      <c r="C380" s="23" t="s">
        <v>175</v>
      </c>
      <c r="D380" s="23" t="s">
        <v>176</v>
      </c>
      <c r="E380" s="23" t="s">
        <v>175</v>
      </c>
    </row>
    <row r="381" spans="1:5" x14ac:dyDescent="0.3">
      <c r="A381" s="48" t="s">
        <v>916</v>
      </c>
      <c r="B381" s="15" t="s">
        <v>917</v>
      </c>
      <c r="C381" s="23" t="s">
        <v>175</v>
      </c>
      <c r="D381" s="23" t="s">
        <v>175</v>
      </c>
      <c r="E381" s="23" t="s">
        <v>175</v>
      </c>
    </row>
    <row r="382" spans="1:5" x14ac:dyDescent="0.3">
      <c r="A382" s="48" t="s">
        <v>918</v>
      </c>
      <c r="B382" s="15" t="s">
        <v>919</v>
      </c>
      <c r="C382" s="23" t="s">
        <v>175</v>
      </c>
      <c r="D382" s="23" t="s">
        <v>176</v>
      </c>
      <c r="E382" s="23" t="s">
        <v>175</v>
      </c>
    </row>
    <row r="383" spans="1:5" x14ac:dyDescent="0.3">
      <c r="A383" s="48" t="s">
        <v>920</v>
      </c>
      <c r="B383" s="15" t="s">
        <v>921</v>
      </c>
      <c r="C383" s="23" t="s">
        <v>175</v>
      </c>
      <c r="D383" s="23" t="s">
        <v>176</v>
      </c>
      <c r="E383" s="23" t="s">
        <v>175</v>
      </c>
    </row>
    <row r="384" spans="1:5" x14ac:dyDescent="0.3">
      <c r="A384" s="48" t="s">
        <v>922</v>
      </c>
      <c r="B384" s="15" t="s">
        <v>923</v>
      </c>
      <c r="C384" s="23" t="s">
        <v>175</v>
      </c>
      <c r="D384" s="23" t="s">
        <v>176</v>
      </c>
      <c r="E384" s="23" t="s">
        <v>175</v>
      </c>
    </row>
    <row r="385" spans="1:5" x14ac:dyDescent="0.3">
      <c r="A385" s="48" t="s">
        <v>924</v>
      </c>
      <c r="B385" s="15" t="s">
        <v>925</v>
      </c>
      <c r="C385" s="23" t="s">
        <v>175</v>
      </c>
      <c r="D385" s="23" t="s">
        <v>175</v>
      </c>
      <c r="E385" s="23" t="s">
        <v>175</v>
      </c>
    </row>
    <row r="386" spans="1:5" x14ac:dyDescent="0.3">
      <c r="A386" s="48" t="s">
        <v>926</v>
      </c>
      <c r="B386" s="15" t="s">
        <v>927</v>
      </c>
      <c r="C386" s="23" t="s">
        <v>175</v>
      </c>
      <c r="D386" s="23" t="s">
        <v>176</v>
      </c>
      <c r="E386" s="23" t="s">
        <v>175</v>
      </c>
    </row>
    <row r="387" spans="1:5" x14ac:dyDescent="0.3">
      <c r="A387" s="48" t="s">
        <v>928</v>
      </c>
      <c r="B387" s="15" t="s">
        <v>929</v>
      </c>
      <c r="C387" s="23" t="s">
        <v>175</v>
      </c>
      <c r="D387" s="23" t="s">
        <v>175</v>
      </c>
      <c r="E387" s="23" t="s">
        <v>175</v>
      </c>
    </row>
    <row r="388" spans="1:5" x14ac:dyDescent="0.3">
      <c r="A388" s="48" t="s">
        <v>930</v>
      </c>
      <c r="B388" s="15" t="s">
        <v>931</v>
      </c>
      <c r="C388" s="23" t="s">
        <v>175</v>
      </c>
      <c r="D388" s="23" t="s">
        <v>175</v>
      </c>
      <c r="E388" s="23" t="s">
        <v>175</v>
      </c>
    </row>
    <row r="389" spans="1:5" x14ac:dyDescent="0.3">
      <c r="A389" s="48" t="s">
        <v>932</v>
      </c>
      <c r="B389" s="15" t="s">
        <v>933</v>
      </c>
      <c r="C389" s="23" t="s">
        <v>175</v>
      </c>
      <c r="D389" s="23" t="s">
        <v>176</v>
      </c>
      <c r="E389" s="23" t="s">
        <v>175</v>
      </c>
    </row>
    <row r="390" spans="1:5" x14ac:dyDescent="0.3">
      <c r="A390" s="48" t="s">
        <v>934</v>
      </c>
      <c r="B390" s="15" t="s">
        <v>935</v>
      </c>
      <c r="C390" s="23" t="s">
        <v>175</v>
      </c>
      <c r="D390" s="23" t="s">
        <v>176</v>
      </c>
      <c r="E390" s="23" t="s">
        <v>175</v>
      </c>
    </row>
    <row r="391" spans="1:5" x14ac:dyDescent="0.3">
      <c r="A391" s="48" t="s">
        <v>936</v>
      </c>
      <c r="B391" s="15" t="s">
        <v>937</v>
      </c>
      <c r="C391" s="23" t="s">
        <v>175</v>
      </c>
      <c r="D391" s="23" t="s">
        <v>176</v>
      </c>
      <c r="E391" s="23" t="s">
        <v>175</v>
      </c>
    </row>
    <row r="392" spans="1:5" x14ac:dyDescent="0.3">
      <c r="A392" s="48" t="s">
        <v>938</v>
      </c>
      <c r="B392" s="15" t="s">
        <v>939</v>
      </c>
      <c r="C392" s="23" t="s">
        <v>175</v>
      </c>
      <c r="D392" s="23" t="s">
        <v>176</v>
      </c>
      <c r="E392" s="23" t="s">
        <v>175</v>
      </c>
    </row>
    <row r="393" spans="1:5" x14ac:dyDescent="0.3">
      <c r="A393" s="48" t="s">
        <v>940</v>
      </c>
      <c r="B393" s="15" t="s">
        <v>941</v>
      </c>
      <c r="C393" s="23" t="s">
        <v>175</v>
      </c>
      <c r="D393" s="23" t="s">
        <v>176</v>
      </c>
      <c r="E393" s="23" t="s">
        <v>175</v>
      </c>
    </row>
    <row r="394" spans="1:5" x14ac:dyDescent="0.3">
      <c r="A394" s="48" t="s">
        <v>942</v>
      </c>
      <c r="B394" s="15" t="s">
        <v>943</v>
      </c>
      <c r="C394" s="23" t="s">
        <v>175</v>
      </c>
      <c r="D394" s="23" t="s">
        <v>176</v>
      </c>
      <c r="E394" s="23" t="s">
        <v>175</v>
      </c>
    </row>
    <row r="395" spans="1:5" x14ac:dyDescent="0.3">
      <c r="A395" s="48" t="s">
        <v>944</v>
      </c>
      <c r="B395" s="15" t="s">
        <v>945</v>
      </c>
      <c r="C395" s="23" t="s">
        <v>175</v>
      </c>
      <c r="D395" s="23" t="s">
        <v>176</v>
      </c>
      <c r="E395" s="23" t="s">
        <v>175</v>
      </c>
    </row>
    <row r="396" spans="1:5" x14ac:dyDescent="0.3">
      <c r="A396" s="48" t="s">
        <v>946</v>
      </c>
      <c r="B396" s="15" t="s">
        <v>947</v>
      </c>
      <c r="C396" s="23" t="s">
        <v>175</v>
      </c>
      <c r="D396" s="23" t="s">
        <v>175</v>
      </c>
      <c r="E396" s="23" t="s">
        <v>175</v>
      </c>
    </row>
    <row r="397" spans="1:5" x14ac:dyDescent="0.3">
      <c r="A397" s="48" t="s">
        <v>948</v>
      </c>
      <c r="B397" s="15" t="s">
        <v>949</v>
      </c>
      <c r="C397" s="23" t="s">
        <v>175</v>
      </c>
      <c r="D397" s="23" t="s">
        <v>175</v>
      </c>
      <c r="E397" s="23" t="s">
        <v>175</v>
      </c>
    </row>
    <row r="398" spans="1:5" x14ac:dyDescent="0.3">
      <c r="A398" s="48" t="s">
        <v>950</v>
      </c>
      <c r="B398" s="15" t="s">
        <v>951</v>
      </c>
      <c r="C398" s="23" t="s">
        <v>175</v>
      </c>
      <c r="D398" s="23" t="s">
        <v>176</v>
      </c>
      <c r="E398" s="23" t="s">
        <v>175</v>
      </c>
    </row>
    <row r="399" spans="1:5" x14ac:dyDescent="0.3">
      <c r="A399" s="48" t="s">
        <v>952</v>
      </c>
      <c r="B399" s="15" t="s">
        <v>953</v>
      </c>
      <c r="C399" s="23" t="s">
        <v>175</v>
      </c>
      <c r="D399" s="23" t="s">
        <v>175</v>
      </c>
      <c r="E399" s="23" t="s">
        <v>175</v>
      </c>
    </row>
    <row r="400" spans="1:5" x14ac:dyDescent="0.3">
      <c r="A400" s="48" t="s">
        <v>954</v>
      </c>
      <c r="B400" s="15" t="s">
        <v>955</v>
      </c>
      <c r="C400" s="23" t="s">
        <v>175</v>
      </c>
      <c r="D400" s="23" t="s">
        <v>176</v>
      </c>
      <c r="E400" s="23" t="s">
        <v>175</v>
      </c>
    </row>
    <row r="401" spans="1:5" x14ac:dyDescent="0.3">
      <c r="A401" s="48" t="s">
        <v>956</v>
      </c>
      <c r="B401" s="15" t="s">
        <v>957</v>
      </c>
      <c r="C401" s="23" t="s">
        <v>175</v>
      </c>
      <c r="D401" s="23" t="s">
        <v>175</v>
      </c>
      <c r="E401" s="23" t="s">
        <v>175</v>
      </c>
    </row>
    <row r="402" spans="1:5" x14ac:dyDescent="0.3">
      <c r="A402" s="48" t="s">
        <v>958</v>
      </c>
      <c r="B402" s="15" t="s">
        <v>959</v>
      </c>
      <c r="C402" s="23" t="s">
        <v>175</v>
      </c>
      <c r="D402" s="23" t="s">
        <v>176</v>
      </c>
      <c r="E402" s="23" t="s">
        <v>175</v>
      </c>
    </row>
    <row r="403" spans="1:5" x14ac:dyDescent="0.3">
      <c r="A403" s="48" t="s">
        <v>960</v>
      </c>
      <c r="B403" s="15" t="s">
        <v>961</v>
      </c>
      <c r="C403" s="23" t="s">
        <v>175</v>
      </c>
      <c r="D403" s="23" t="s">
        <v>176</v>
      </c>
      <c r="E403" s="23" t="s">
        <v>175</v>
      </c>
    </row>
    <row r="404" spans="1:5" x14ac:dyDescent="0.3">
      <c r="A404" s="48" t="s">
        <v>962</v>
      </c>
      <c r="B404" s="15" t="s">
        <v>963</v>
      </c>
      <c r="C404" s="23" t="s">
        <v>175</v>
      </c>
      <c r="D404" s="23" t="s">
        <v>176</v>
      </c>
      <c r="E404" s="23" t="s">
        <v>175</v>
      </c>
    </row>
    <row r="405" spans="1:5" x14ac:dyDescent="0.3">
      <c r="A405" s="48" t="s">
        <v>964</v>
      </c>
      <c r="B405" s="15" t="s">
        <v>965</v>
      </c>
      <c r="C405" s="23" t="s">
        <v>175</v>
      </c>
      <c r="D405" s="23" t="s">
        <v>176</v>
      </c>
      <c r="E405" s="23" t="s">
        <v>175</v>
      </c>
    </row>
    <row r="406" spans="1:5" x14ac:dyDescent="0.3">
      <c r="A406" s="48" t="s">
        <v>966</v>
      </c>
      <c r="B406" s="15" t="s">
        <v>967</v>
      </c>
      <c r="C406" s="23" t="s">
        <v>175</v>
      </c>
      <c r="D406" s="23" t="s">
        <v>176</v>
      </c>
      <c r="E406" s="23" t="s">
        <v>175</v>
      </c>
    </row>
    <row r="407" spans="1:5" x14ac:dyDescent="0.3">
      <c r="A407" s="48" t="s">
        <v>968</v>
      </c>
      <c r="B407" s="15" t="s">
        <v>969</v>
      </c>
      <c r="C407" s="23" t="s">
        <v>175</v>
      </c>
      <c r="D407" s="23" t="s">
        <v>175</v>
      </c>
      <c r="E407" s="23" t="s">
        <v>175</v>
      </c>
    </row>
    <row r="408" spans="1:5" x14ac:dyDescent="0.3">
      <c r="A408" s="48" t="s">
        <v>970</v>
      </c>
      <c r="B408" s="15" t="s">
        <v>971</v>
      </c>
      <c r="C408" s="23" t="s">
        <v>175</v>
      </c>
      <c r="D408" s="23" t="s">
        <v>176</v>
      </c>
      <c r="E408" s="23" t="s">
        <v>175</v>
      </c>
    </row>
    <row r="409" spans="1:5" x14ac:dyDescent="0.3">
      <c r="A409" s="48" t="s">
        <v>972</v>
      </c>
      <c r="B409" s="15" t="s">
        <v>973</v>
      </c>
      <c r="C409" s="23" t="s">
        <v>175</v>
      </c>
      <c r="D409" s="23" t="s">
        <v>176</v>
      </c>
      <c r="E409" s="23" t="s">
        <v>175</v>
      </c>
    </row>
    <row r="410" spans="1:5" x14ac:dyDescent="0.3">
      <c r="A410" s="48" t="s">
        <v>974</v>
      </c>
      <c r="B410" s="15" t="s">
        <v>975</v>
      </c>
      <c r="C410" s="23" t="s">
        <v>175</v>
      </c>
      <c r="D410" s="23" t="s">
        <v>176</v>
      </c>
      <c r="E410" s="23" t="s">
        <v>175</v>
      </c>
    </row>
    <row r="411" spans="1:5" x14ac:dyDescent="0.3">
      <c r="A411" s="48" t="s">
        <v>79</v>
      </c>
      <c r="B411" s="15" t="s">
        <v>976</v>
      </c>
      <c r="C411" s="23" t="s">
        <v>175</v>
      </c>
      <c r="D411" s="23" t="s">
        <v>176</v>
      </c>
      <c r="E411" s="23" t="s">
        <v>175</v>
      </c>
    </row>
    <row r="412" spans="1:5" x14ac:dyDescent="0.3">
      <c r="A412" s="48" t="s">
        <v>977</v>
      </c>
      <c r="B412" s="15" t="s">
        <v>978</v>
      </c>
      <c r="C412" s="23" t="s">
        <v>175</v>
      </c>
      <c r="D412" s="23" t="s">
        <v>176</v>
      </c>
      <c r="E412" s="23" t="s">
        <v>175</v>
      </c>
    </row>
    <row r="413" spans="1:5" x14ac:dyDescent="0.3">
      <c r="A413" s="48" t="s">
        <v>160</v>
      </c>
      <c r="B413" s="15" t="s">
        <v>979</v>
      </c>
      <c r="C413" s="23" t="s">
        <v>175</v>
      </c>
      <c r="D413" s="23" t="s">
        <v>176</v>
      </c>
      <c r="E413" s="23" t="s">
        <v>175</v>
      </c>
    </row>
    <row r="414" spans="1:5" x14ac:dyDescent="0.3">
      <c r="A414" s="48" t="s">
        <v>980</v>
      </c>
      <c r="B414" s="15" t="s">
        <v>981</v>
      </c>
      <c r="C414" s="23" t="s">
        <v>175</v>
      </c>
      <c r="D414" s="23" t="s">
        <v>175</v>
      </c>
      <c r="E414" s="23" t="s">
        <v>175</v>
      </c>
    </row>
    <row r="415" spans="1:5" x14ac:dyDescent="0.3">
      <c r="A415" s="48" t="s">
        <v>982</v>
      </c>
      <c r="B415" s="15" t="s">
        <v>983</v>
      </c>
      <c r="C415" s="23" t="s">
        <v>175</v>
      </c>
      <c r="D415" s="23" t="s">
        <v>176</v>
      </c>
      <c r="E415" s="23" t="s">
        <v>175</v>
      </c>
    </row>
    <row r="416" spans="1:5" x14ac:dyDescent="0.3">
      <c r="A416" s="48" t="s">
        <v>984</v>
      </c>
      <c r="B416" s="15" t="s">
        <v>985</v>
      </c>
      <c r="C416" s="23" t="s">
        <v>175</v>
      </c>
      <c r="D416" s="23" t="s">
        <v>176</v>
      </c>
      <c r="E416" s="23" t="s">
        <v>175</v>
      </c>
    </row>
    <row r="417" spans="1:5" x14ac:dyDescent="0.3">
      <c r="A417" s="48" t="s">
        <v>161</v>
      </c>
      <c r="B417" s="15" t="s">
        <v>986</v>
      </c>
      <c r="C417" s="23" t="s">
        <v>175</v>
      </c>
      <c r="D417" s="23" t="s">
        <v>175</v>
      </c>
      <c r="E417" s="23" t="s">
        <v>175</v>
      </c>
    </row>
    <row r="418" spans="1:5" x14ac:dyDescent="0.3">
      <c r="A418" s="48" t="s">
        <v>162</v>
      </c>
      <c r="B418" s="15" t="s">
        <v>987</v>
      </c>
      <c r="C418" s="23" t="s">
        <v>175</v>
      </c>
      <c r="D418" s="23" t="s">
        <v>176</v>
      </c>
      <c r="E418" s="23" t="s">
        <v>175</v>
      </c>
    </row>
    <row r="419" spans="1:5" x14ac:dyDescent="0.3">
      <c r="A419" s="48" t="s">
        <v>85</v>
      </c>
      <c r="B419" s="15" t="s">
        <v>86</v>
      </c>
      <c r="C419" s="23" t="s">
        <v>175</v>
      </c>
      <c r="D419" s="23" t="s">
        <v>176</v>
      </c>
      <c r="E419" s="23" t="s">
        <v>176</v>
      </c>
    </row>
    <row r="420" spans="1:5" x14ac:dyDescent="0.3">
      <c r="A420" s="48" t="s">
        <v>988</v>
      </c>
      <c r="B420" s="15" t="s">
        <v>989</v>
      </c>
      <c r="C420" s="23" t="s">
        <v>175</v>
      </c>
      <c r="D420" s="23" t="s">
        <v>175</v>
      </c>
      <c r="E420" s="23" t="s">
        <v>175</v>
      </c>
    </row>
    <row r="421" spans="1:5" x14ac:dyDescent="0.3">
      <c r="A421" s="48" t="s">
        <v>990</v>
      </c>
      <c r="B421" s="15" t="s">
        <v>991</v>
      </c>
      <c r="C421" s="23" t="s">
        <v>175</v>
      </c>
      <c r="D421" s="23" t="s">
        <v>175</v>
      </c>
      <c r="E421" s="23" t="s">
        <v>175</v>
      </c>
    </row>
    <row r="422" spans="1:5" x14ac:dyDescent="0.3">
      <c r="A422" s="48" t="s">
        <v>992</v>
      </c>
      <c r="B422" s="15" t="s">
        <v>993</v>
      </c>
      <c r="C422" s="23" t="s">
        <v>175</v>
      </c>
      <c r="D422" s="23" t="s">
        <v>176</v>
      </c>
      <c r="E422" s="23" t="s">
        <v>175</v>
      </c>
    </row>
    <row r="423" spans="1:5" x14ac:dyDescent="0.3">
      <c r="A423" s="48" t="s">
        <v>994</v>
      </c>
      <c r="B423" s="15" t="s">
        <v>995</v>
      </c>
      <c r="C423" s="23" t="s">
        <v>175</v>
      </c>
      <c r="D423" s="23" t="s">
        <v>175</v>
      </c>
      <c r="E423" s="23" t="s">
        <v>175</v>
      </c>
    </row>
    <row r="424" spans="1:5" x14ac:dyDescent="0.3">
      <c r="A424" s="48" t="s">
        <v>996</v>
      </c>
      <c r="B424" s="15" t="s">
        <v>997</v>
      </c>
      <c r="C424" s="23" t="s">
        <v>175</v>
      </c>
      <c r="D424" s="23" t="s">
        <v>175</v>
      </c>
      <c r="E424" s="23" t="s">
        <v>175</v>
      </c>
    </row>
    <row r="425" spans="1:5" x14ac:dyDescent="0.3">
      <c r="A425" s="48" t="s">
        <v>998</v>
      </c>
      <c r="B425" s="15" t="s">
        <v>999</v>
      </c>
      <c r="C425" s="23" t="s">
        <v>175</v>
      </c>
      <c r="D425" s="23" t="s">
        <v>176</v>
      </c>
      <c r="E425" s="23" t="s">
        <v>175</v>
      </c>
    </row>
    <row r="426" spans="1:5" x14ac:dyDescent="0.3">
      <c r="A426" s="48" t="s">
        <v>1000</v>
      </c>
      <c r="B426" s="15" t="s">
        <v>1001</v>
      </c>
      <c r="C426" s="23" t="s">
        <v>175</v>
      </c>
      <c r="D426" s="23" t="s">
        <v>176</v>
      </c>
      <c r="E426" s="23" t="s">
        <v>175</v>
      </c>
    </row>
    <row r="427" spans="1:5" x14ac:dyDescent="0.3">
      <c r="A427" s="48" t="s">
        <v>1002</v>
      </c>
      <c r="B427" s="15" t="s">
        <v>1003</v>
      </c>
      <c r="C427" s="23" t="s">
        <v>175</v>
      </c>
      <c r="D427" s="23" t="s">
        <v>175</v>
      </c>
      <c r="E427" s="23" t="s">
        <v>175</v>
      </c>
    </row>
    <row r="428" spans="1:5" x14ac:dyDescent="0.3">
      <c r="A428" s="48" t="s">
        <v>1004</v>
      </c>
      <c r="B428" s="15" t="s">
        <v>1005</v>
      </c>
      <c r="C428" s="23" t="s">
        <v>175</v>
      </c>
      <c r="D428" s="23" t="s">
        <v>176</v>
      </c>
      <c r="E428" s="23" t="s">
        <v>175</v>
      </c>
    </row>
    <row r="429" spans="1:5" x14ac:dyDescent="0.3">
      <c r="A429" s="48" t="s">
        <v>1006</v>
      </c>
      <c r="B429" s="15" t="s">
        <v>1007</v>
      </c>
      <c r="C429" s="23" t="s">
        <v>175</v>
      </c>
      <c r="D429" s="23" t="s">
        <v>176</v>
      </c>
      <c r="E429" s="23" t="s">
        <v>175</v>
      </c>
    </row>
    <row r="430" spans="1:5" x14ac:dyDescent="0.3">
      <c r="A430" s="48" t="s">
        <v>1008</v>
      </c>
      <c r="B430" s="15" t="s">
        <v>1009</v>
      </c>
      <c r="C430" s="23" t="s">
        <v>175</v>
      </c>
      <c r="D430" s="23" t="s">
        <v>176</v>
      </c>
      <c r="E430" s="23" t="s">
        <v>175</v>
      </c>
    </row>
    <row r="431" spans="1:5" x14ac:dyDescent="0.3">
      <c r="A431" s="48" t="s">
        <v>1010</v>
      </c>
      <c r="B431" s="15" t="s">
        <v>1011</v>
      </c>
      <c r="C431" s="23" t="s">
        <v>175</v>
      </c>
      <c r="D431" s="23" t="s">
        <v>176</v>
      </c>
      <c r="E431" s="23" t="s">
        <v>175</v>
      </c>
    </row>
    <row r="432" spans="1:5" x14ac:dyDescent="0.3">
      <c r="A432" s="48" t="s">
        <v>1012</v>
      </c>
      <c r="B432" s="15" t="s">
        <v>1013</v>
      </c>
      <c r="C432" s="23" t="s">
        <v>175</v>
      </c>
      <c r="D432" s="23" t="s">
        <v>176</v>
      </c>
      <c r="E432" s="23" t="s">
        <v>175</v>
      </c>
    </row>
    <row r="433" spans="1:5" x14ac:dyDescent="0.3">
      <c r="A433" s="48" t="s">
        <v>87</v>
      </c>
      <c r="B433" s="15" t="s">
        <v>88</v>
      </c>
      <c r="C433" s="23" t="s">
        <v>175</v>
      </c>
      <c r="D433" s="23" t="s">
        <v>175</v>
      </c>
      <c r="E433" s="23" t="s">
        <v>175</v>
      </c>
    </row>
    <row r="434" spans="1:5" x14ac:dyDescent="0.3">
      <c r="A434" s="48" t="s">
        <v>1014</v>
      </c>
      <c r="B434" s="15" t="s">
        <v>1015</v>
      </c>
      <c r="C434" s="23" t="s">
        <v>175</v>
      </c>
      <c r="D434" s="23" t="s">
        <v>175</v>
      </c>
      <c r="E434" s="23" t="s">
        <v>176</v>
      </c>
    </row>
    <row r="435" spans="1:5" x14ac:dyDescent="0.3">
      <c r="A435" s="48" t="s">
        <v>1016</v>
      </c>
      <c r="B435" s="15" t="s">
        <v>1017</v>
      </c>
      <c r="C435" s="23" t="s">
        <v>175</v>
      </c>
      <c r="D435" s="23" t="s">
        <v>176</v>
      </c>
      <c r="E435" s="23" t="s">
        <v>175</v>
      </c>
    </row>
    <row r="436" spans="1:5" x14ac:dyDescent="0.3">
      <c r="A436" s="48" t="s">
        <v>1018</v>
      </c>
      <c r="B436" s="15" t="s">
        <v>1019</v>
      </c>
      <c r="C436" s="23" t="s">
        <v>175</v>
      </c>
      <c r="D436" s="23" t="s">
        <v>175</v>
      </c>
      <c r="E436" s="23" t="s">
        <v>175</v>
      </c>
    </row>
    <row r="437" spans="1:5" x14ac:dyDescent="0.3">
      <c r="A437" s="48" t="s">
        <v>1020</v>
      </c>
      <c r="B437" s="15" t="s">
        <v>1021</v>
      </c>
      <c r="C437" s="23" t="s">
        <v>175</v>
      </c>
      <c r="D437" s="23" t="s">
        <v>175</v>
      </c>
      <c r="E437" s="23" t="s">
        <v>175</v>
      </c>
    </row>
    <row r="438" spans="1:5" x14ac:dyDescent="0.3">
      <c r="A438" s="48" t="s">
        <v>68</v>
      </c>
      <c r="B438" s="15" t="s">
        <v>1022</v>
      </c>
      <c r="C438" s="23" t="s">
        <v>175</v>
      </c>
      <c r="D438" s="23" t="s">
        <v>175</v>
      </c>
      <c r="E438" s="23" t="s">
        <v>175</v>
      </c>
    </row>
    <row r="439" spans="1:5" x14ac:dyDescent="0.3">
      <c r="A439" s="48" t="s">
        <v>1023</v>
      </c>
      <c r="B439" s="15" t="s">
        <v>1024</v>
      </c>
      <c r="C439" s="23" t="s">
        <v>175</v>
      </c>
      <c r="D439" s="23" t="s">
        <v>175</v>
      </c>
      <c r="E439" s="23" t="s">
        <v>175</v>
      </c>
    </row>
    <row r="440" spans="1:5" x14ac:dyDescent="0.3">
      <c r="A440" s="48" t="s">
        <v>1025</v>
      </c>
      <c r="B440" s="15" t="s">
        <v>1026</v>
      </c>
      <c r="C440" s="23" t="s">
        <v>175</v>
      </c>
      <c r="D440" s="23" t="s">
        <v>176</v>
      </c>
      <c r="E440" s="23" t="s">
        <v>175</v>
      </c>
    </row>
    <row r="441" spans="1:5" x14ac:dyDescent="0.3">
      <c r="A441" s="48" t="s">
        <v>1027</v>
      </c>
      <c r="B441" s="15" t="s">
        <v>1028</v>
      </c>
      <c r="C441" s="23" t="s">
        <v>175</v>
      </c>
      <c r="D441" s="23" t="s">
        <v>176</v>
      </c>
      <c r="E441" s="23" t="s">
        <v>176</v>
      </c>
    </row>
    <row r="442" spans="1:5" x14ac:dyDescent="0.3">
      <c r="A442" s="48" t="s">
        <v>133</v>
      </c>
      <c r="B442" s="15" t="s">
        <v>1029</v>
      </c>
      <c r="C442" s="23" t="s">
        <v>175</v>
      </c>
      <c r="D442" s="23" t="s">
        <v>176</v>
      </c>
      <c r="E442" s="23" t="s">
        <v>175</v>
      </c>
    </row>
    <row r="443" spans="1:5" x14ac:dyDescent="0.3">
      <c r="A443" s="48" t="s">
        <v>1030</v>
      </c>
      <c r="B443" s="15" t="s">
        <v>1031</v>
      </c>
      <c r="C443" s="23" t="s">
        <v>175</v>
      </c>
      <c r="D443" s="23" t="s">
        <v>176</v>
      </c>
      <c r="E443" s="23" t="s">
        <v>175</v>
      </c>
    </row>
    <row r="444" spans="1:5" x14ac:dyDescent="0.3">
      <c r="A444" s="48" t="s">
        <v>1032</v>
      </c>
      <c r="B444" s="15" t="s">
        <v>1033</v>
      </c>
      <c r="C444" s="23" t="s">
        <v>175</v>
      </c>
      <c r="D444" s="23" t="s">
        <v>176</v>
      </c>
      <c r="E444" s="23" t="s">
        <v>175</v>
      </c>
    </row>
    <row r="445" spans="1:5" x14ac:dyDescent="0.3">
      <c r="A445" s="48" t="s">
        <v>1034</v>
      </c>
      <c r="B445" s="15" t="s">
        <v>1035</v>
      </c>
      <c r="C445" s="23" t="s">
        <v>175</v>
      </c>
      <c r="D445" s="23" t="s">
        <v>176</v>
      </c>
      <c r="E445" s="23" t="s">
        <v>175</v>
      </c>
    </row>
    <row r="446" spans="1:5" x14ac:dyDescent="0.3">
      <c r="A446" s="48" t="s">
        <v>1036</v>
      </c>
      <c r="B446" s="15" t="s">
        <v>1037</v>
      </c>
      <c r="C446" s="23" t="s">
        <v>175</v>
      </c>
      <c r="D446" s="23" t="s">
        <v>176</v>
      </c>
      <c r="E446" s="23" t="s">
        <v>176</v>
      </c>
    </row>
    <row r="447" spans="1:5" x14ac:dyDescent="0.3">
      <c r="A447" s="48" t="s">
        <v>1038</v>
      </c>
      <c r="B447" s="15" t="s">
        <v>1039</v>
      </c>
      <c r="C447" s="23" t="s">
        <v>175</v>
      </c>
      <c r="D447" s="23" t="s">
        <v>175</v>
      </c>
      <c r="E447" s="23" t="s">
        <v>176</v>
      </c>
    </row>
    <row r="448" spans="1:5" x14ac:dyDescent="0.3">
      <c r="A448" s="48" t="s">
        <v>1040</v>
      </c>
      <c r="B448" s="15" t="s">
        <v>1041</v>
      </c>
      <c r="C448" s="23" t="s">
        <v>175</v>
      </c>
      <c r="D448" s="23" t="s">
        <v>175</v>
      </c>
      <c r="E448" s="23" t="s">
        <v>176</v>
      </c>
    </row>
    <row r="449" spans="1:5" x14ac:dyDescent="0.3">
      <c r="A449" s="48" t="s">
        <v>1042</v>
      </c>
      <c r="B449" s="15" t="s">
        <v>1043</v>
      </c>
      <c r="C449" s="23" t="s">
        <v>175</v>
      </c>
      <c r="D449" s="23" t="s">
        <v>175</v>
      </c>
      <c r="E449" s="23" t="s">
        <v>176</v>
      </c>
    </row>
    <row r="450" spans="1:5" x14ac:dyDescent="0.3">
      <c r="A450" s="48" t="s">
        <v>1044</v>
      </c>
      <c r="B450" s="15" t="s">
        <v>1045</v>
      </c>
      <c r="C450" s="23" t="s">
        <v>175</v>
      </c>
      <c r="D450" s="23" t="s">
        <v>176</v>
      </c>
      <c r="E450" s="23" t="s">
        <v>176</v>
      </c>
    </row>
    <row r="451" spans="1:5" x14ac:dyDescent="0.3">
      <c r="A451" s="48" t="s">
        <v>1046</v>
      </c>
      <c r="B451" s="15" t="s">
        <v>1047</v>
      </c>
      <c r="C451" s="23" t="s">
        <v>175</v>
      </c>
      <c r="D451" s="23" t="s">
        <v>175</v>
      </c>
      <c r="E451" s="23" t="s">
        <v>176</v>
      </c>
    </row>
    <row r="452" spans="1:5" x14ac:dyDescent="0.3">
      <c r="A452" s="48" t="s">
        <v>1048</v>
      </c>
      <c r="B452" s="15" t="s">
        <v>1049</v>
      </c>
      <c r="C452" s="23" t="s">
        <v>175</v>
      </c>
      <c r="D452" s="23" t="s">
        <v>176</v>
      </c>
      <c r="E452" s="23" t="s">
        <v>176</v>
      </c>
    </row>
    <row r="453" spans="1:5" x14ac:dyDescent="0.3">
      <c r="A453" s="48" t="s">
        <v>1050</v>
      </c>
      <c r="B453" s="15" t="s">
        <v>1051</v>
      </c>
      <c r="C453" s="23" t="s">
        <v>175</v>
      </c>
      <c r="D453" s="23" t="s">
        <v>176</v>
      </c>
      <c r="E453" s="23" t="s">
        <v>176</v>
      </c>
    </row>
    <row r="454" spans="1:5" x14ac:dyDescent="0.3">
      <c r="A454" s="48" t="s">
        <v>1052</v>
      </c>
      <c r="B454" s="15" t="s">
        <v>1053</v>
      </c>
      <c r="C454" s="23" t="s">
        <v>175</v>
      </c>
      <c r="D454" s="23" t="s">
        <v>176</v>
      </c>
      <c r="E454" s="23" t="s">
        <v>176</v>
      </c>
    </row>
    <row r="455" spans="1:5" x14ac:dyDescent="0.3">
      <c r="A455" s="48" t="s">
        <v>1054</v>
      </c>
      <c r="B455" s="15" t="s">
        <v>1055</v>
      </c>
      <c r="C455" s="23" t="s">
        <v>175</v>
      </c>
      <c r="D455" s="23" t="s">
        <v>176</v>
      </c>
      <c r="E455" s="23" t="s">
        <v>176</v>
      </c>
    </row>
    <row r="456" spans="1:5" x14ac:dyDescent="0.3">
      <c r="A456" s="48" t="s">
        <v>1056</v>
      </c>
      <c r="B456" s="15" t="s">
        <v>1057</v>
      </c>
      <c r="C456" s="23" t="s">
        <v>175</v>
      </c>
      <c r="D456" s="23" t="s">
        <v>176</v>
      </c>
      <c r="E456" s="23" t="s">
        <v>176</v>
      </c>
    </row>
    <row r="457" spans="1:5" x14ac:dyDescent="0.3">
      <c r="A457" s="48" t="s">
        <v>1058</v>
      </c>
      <c r="B457" s="15" t="s">
        <v>1059</v>
      </c>
      <c r="C457" s="23" t="s">
        <v>175</v>
      </c>
      <c r="D457" s="23" t="s">
        <v>176</v>
      </c>
      <c r="E457" s="23" t="s">
        <v>176</v>
      </c>
    </row>
    <row r="458" spans="1:5" x14ac:dyDescent="0.3">
      <c r="A458" s="48" t="s">
        <v>1060</v>
      </c>
      <c r="B458" s="15" t="s">
        <v>1061</v>
      </c>
      <c r="C458" s="23" t="s">
        <v>175</v>
      </c>
      <c r="D458" s="23" t="s">
        <v>176</v>
      </c>
      <c r="E458" s="23" t="s">
        <v>176</v>
      </c>
    </row>
    <row r="459" spans="1:5" x14ac:dyDescent="0.3">
      <c r="A459" s="48" t="s">
        <v>1062</v>
      </c>
      <c r="B459" s="15" t="s">
        <v>1063</v>
      </c>
      <c r="C459" s="23" t="s">
        <v>175</v>
      </c>
      <c r="D459" s="23" t="s">
        <v>175</v>
      </c>
      <c r="E459" s="23" t="s">
        <v>176</v>
      </c>
    </row>
    <row r="460" spans="1:5" x14ac:dyDescent="0.3">
      <c r="A460" s="48" t="s">
        <v>1064</v>
      </c>
      <c r="B460" s="15" t="s">
        <v>1065</v>
      </c>
      <c r="C460" s="23" t="s">
        <v>175</v>
      </c>
      <c r="D460" s="23" t="s">
        <v>175</v>
      </c>
      <c r="E460" s="23" t="s">
        <v>176</v>
      </c>
    </row>
    <row r="461" spans="1:5" x14ac:dyDescent="0.3">
      <c r="A461" s="48" t="s">
        <v>1066</v>
      </c>
      <c r="B461" s="15" t="s">
        <v>1067</v>
      </c>
      <c r="C461" s="23" t="s">
        <v>175</v>
      </c>
      <c r="D461" s="23" t="s">
        <v>176</v>
      </c>
      <c r="E461" s="23" t="s">
        <v>176</v>
      </c>
    </row>
    <row r="462" spans="1:5" x14ac:dyDescent="0.3">
      <c r="A462" s="48" t="s">
        <v>1068</v>
      </c>
      <c r="B462" s="15" t="s">
        <v>1069</v>
      </c>
      <c r="C462" s="23" t="s">
        <v>175</v>
      </c>
      <c r="D462" s="23" t="s">
        <v>175</v>
      </c>
      <c r="E462" s="23" t="s">
        <v>176</v>
      </c>
    </row>
    <row r="463" spans="1:5" x14ac:dyDescent="0.3">
      <c r="A463" s="48" t="s">
        <v>1070</v>
      </c>
      <c r="B463" s="15" t="s">
        <v>1071</v>
      </c>
      <c r="C463" s="23" t="s">
        <v>175</v>
      </c>
      <c r="D463" s="23" t="s">
        <v>175</v>
      </c>
      <c r="E463" s="23" t="s">
        <v>176</v>
      </c>
    </row>
    <row r="464" spans="1:5" x14ac:dyDescent="0.3">
      <c r="A464" s="48" t="s">
        <v>1072</v>
      </c>
      <c r="B464" s="15" t="s">
        <v>1073</v>
      </c>
      <c r="C464" s="23" t="s">
        <v>175</v>
      </c>
      <c r="D464" s="23" t="s">
        <v>175</v>
      </c>
      <c r="E464" s="23" t="s">
        <v>176</v>
      </c>
    </row>
    <row r="465" spans="1:5" x14ac:dyDescent="0.3">
      <c r="A465" s="48" t="s">
        <v>1074</v>
      </c>
      <c r="B465" s="15" t="s">
        <v>1075</v>
      </c>
      <c r="C465" s="23" t="s">
        <v>175</v>
      </c>
      <c r="D465" s="23" t="s">
        <v>175</v>
      </c>
      <c r="E465" s="23" t="s">
        <v>176</v>
      </c>
    </row>
    <row r="466" spans="1:5" x14ac:dyDescent="0.3">
      <c r="A466" s="48" t="s">
        <v>1076</v>
      </c>
      <c r="B466" s="15" t="s">
        <v>1077</v>
      </c>
      <c r="C466" s="23" t="s">
        <v>175</v>
      </c>
      <c r="D466" s="23" t="s">
        <v>176</v>
      </c>
      <c r="E466" s="23" t="s">
        <v>176</v>
      </c>
    </row>
    <row r="467" spans="1:5" x14ac:dyDescent="0.3">
      <c r="A467" s="48" t="s">
        <v>1078</v>
      </c>
      <c r="B467" s="15" t="s">
        <v>1079</v>
      </c>
      <c r="C467" s="23" t="s">
        <v>175</v>
      </c>
      <c r="D467" s="23" t="s">
        <v>176</v>
      </c>
      <c r="E467" s="23" t="s">
        <v>176</v>
      </c>
    </row>
    <row r="468" spans="1:5" x14ac:dyDescent="0.3">
      <c r="A468" s="48" t="s">
        <v>1080</v>
      </c>
      <c r="B468" s="15" t="s">
        <v>1081</v>
      </c>
      <c r="C468" s="23" t="s">
        <v>175</v>
      </c>
      <c r="D468" s="23" t="s">
        <v>176</v>
      </c>
      <c r="E468" s="23" t="s">
        <v>176</v>
      </c>
    </row>
    <row r="469" spans="1:5" x14ac:dyDescent="0.3">
      <c r="A469" s="48" t="s">
        <v>1082</v>
      </c>
      <c r="B469" s="15" t="s">
        <v>1083</v>
      </c>
      <c r="C469" s="23" t="s">
        <v>175</v>
      </c>
      <c r="D469" s="23" t="s">
        <v>176</v>
      </c>
      <c r="E469" s="23" t="s">
        <v>176</v>
      </c>
    </row>
    <row r="470" spans="1:5" x14ac:dyDescent="0.3">
      <c r="A470" s="48" t="s">
        <v>1084</v>
      </c>
      <c r="B470" s="15" t="s">
        <v>1085</v>
      </c>
      <c r="C470" s="23" t="s">
        <v>175</v>
      </c>
      <c r="D470" s="23" t="s">
        <v>176</v>
      </c>
      <c r="E470" s="23" t="s">
        <v>176</v>
      </c>
    </row>
    <row r="471" spans="1:5" x14ac:dyDescent="0.3">
      <c r="A471" s="48" t="s">
        <v>1086</v>
      </c>
      <c r="B471" s="15" t="s">
        <v>1087</v>
      </c>
      <c r="C471" s="23" t="s">
        <v>175</v>
      </c>
      <c r="D471" s="23" t="s">
        <v>176</v>
      </c>
      <c r="E471" s="23" t="s">
        <v>176</v>
      </c>
    </row>
    <row r="472" spans="1:5" x14ac:dyDescent="0.3">
      <c r="A472" s="48" t="s">
        <v>1088</v>
      </c>
      <c r="B472" s="15" t="s">
        <v>1089</v>
      </c>
      <c r="C472" s="23" t="s">
        <v>175</v>
      </c>
      <c r="D472" s="23" t="s">
        <v>176</v>
      </c>
      <c r="E472" s="23" t="s">
        <v>176</v>
      </c>
    </row>
    <row r="473" spans="1:5" x14ac:dyDescent="0.3">
      <c r="A473" s="48" t="s">
        <v>1090</v>
      </c>
      <c r="B473" s="15" t="s">
        <v>1091</v>
      </c>
      <c r="C473" s="23" t="s">
        <v>175</v>
      </c>
      <c r="D473" s="23" t="s">
        <v>175</v>
      </c>
      <c r="E473" s="23" t="s">
        <v>175</v>
      </c>
    </row>
    <row r="474" spans="1:5" x14ac:dyDescent="0.3">
      <c r="A474" s="48" t="s">
        <v>1092</v>
      </c>
      <c r="B474" s="15" t="s">
        <v>1093</v>
      </c>
      <c r="C474" s="23" t="s">
        <v>175</v>
      </c>
      <c r="D474" s="23" t="s">
        <v>175</v>
      </c>
      <c r="E474" s="23" t="s">
        <v>175</v>
      </c>
    </row>
    <row r="475" spans="1:5" x14ac:dyDescent="0.3">
      <c r="A475" s="48" t="s">
        <v>1094</v>
      </c>
      <c r="B475" s="15" t="s">
        <v>1095</v>
      </c>
      <c r="C475" s="23" t="s">
        <v>175</v>
      </c>
      <c r="D475" s="23" t="s">
        <v>176</v>
      </c>
      <c r="E475" s="23" t="s">
        <v>175</v>
      </c>
    </row>
    <row r="476" spans="1:5" x14ac:dyDescent="0.3">
      <c r="A476" s="48" t="s">
        <v>75</v>
      </c>
      <c r="B476" s="15" t="s">
        <v>76</v>
      </c>
      <c r="C476" s="23" t="s">
        <v>175</v>
      </c>
      <c r="D476" s="23" t="s">
        <v>175</v>
      </c>
      <c r="E476" s="23" t="s">
        <v>175</v>
      </c>
    </row>
    <row r="477" spans="1:5" x14ac:dyDescent="0.3">
      <c r="A477" s="48" t="s">
        <v>142</v>
      </c>
      <c r="B477" s="15" t="s">
        <v>143</v>
      </c>
      <c r="C477" s="23" t="s">
        <v>175</v>
      </c>
      <c r="D477" s="23" t="s">
        <v>175</v>
      </c>
      <c r="E477" s="23" t="s">
        <v>175</v>
      </c>
    </row>
    <row r="478" spans="1:5" x14ac:dyDescent="0.3">
      <c r="A478" s="48" t="s">
        <v>1096</v>
      </c>
      <c r="B478" s="15" t="s">
        <v>1097</v>
      </c>
      <c r="C478" s="23" t="s">
        <v>175</v>
      </c>
      <c r="D478" s="23" t="s">
        <v>176</v>
      </c>
      <c r="E478" s="23" t="s">
        <v>175</v>
      </c>
    </row>
    <row r="479" spans="1:5" x14ac:dyDescent="0.3">
      <c r="A479" s="48" t="s">
        <v>77</v>
      </c>
      <c r="B479" s="15" t="s">
        <v>1098</v>
      </c>
      <c r="C479" s="23" t="s">
        <v>175</v>
      </c>
      <c r="D479" s="23" t="s">
        <v>175</v>
      </c>
      <c r="E479" s="23" t="s">
        <v>176</v>
      </c>
    </row>
    <row r="480" spans="1:5" x14ac:dyDescent="0.3">
      <c r="A480" s="48" t="s">
        <v>1099</v>
      </c>
      <c r="B480" s="15" t="s">
        <v>1100</v>
      </c>
      <c r="C480" s="23" t="s">
        <v>175</v>
      </c>
      <c r="D480" s="23" t="s">
        <v>176</v>
      </c>
      <c r="E480" s="23" t="s">
        <v>175</v>
      </c>
    </row>
    <row r="481" spans="1:5" x14ac:dyDescent="0.3">
      <c r="A481" s="48" t="s">
        <v>137</v>
      </c>
      <c r="B481" s="15" t="s">
        <v>1101</v>
      </c>
      <c r="C481" s="23" t="s">
        <v>175</v>
      </c>
      <c r="D481" s="23" t="s">
        <v>175</v>
      </c>
      <c r="E481" s="23" t="s">
        <v>176</v>
      </c>
    </row>
    <row r="482" spans="1:5" x14ac:dyDescent="0.3">
      <c r="A482" s="48" t="s">
        <v>1102</v>
      </c>
      <c r="B482" s="15" t="s">
        <v>1103</v>
      </c>
      <c r="C482" s="23" t="s">
        <v>175</v>
      </c>
      <c r="D482" s="23" t="s">
        <v>175</v>
      </c>
      <c r="E482" s="23" t="s">
        <v>175</v>
      </c>
    </row>
    <row r="483" spans="1:5" x14ac:dyDescent="0.3">
      <c r="A483" s="48" t="s">
        <v>1104</v>
      </c>
      <c r="B483" s="15" t="s">
        <v>1105</v>
      </c>
      <c r="C483" s="23" t="s">
        <v>175</v>
      </c>
      <c r="D483" s="23" t="s">
        <v>175</v>
      </c>
      <c r="E483" s="23" t="s">
        <v>175</v>
      </c>
    </row>
    <row r="484" spans="1:5" x14ac:dyDescent="0.3">
      <c r="A484" s="48" t="s">
        <v>1106</v>
      </c>
      <c r="B484" s="15" t="s">
        <v>1107</v>
      </c>
      <c r="C484" s="23" t="s">
        <v>175</v>
      </c>
      <c r="D484" s="23" t="s">
        <v>176</v>
      </c>
      <c r="E484" s="23" t="s">
        <v>175</v>
      </c>
    </row>
    <row r="485" spans="1:5" x14ac:dyDescent="0.3">
      <c r="A485" s="48" t="s">
        <v>1108</v>
      </c>
      <c r="B485" s="15" t="s">
        <v>1109</v>
      </c>
      <c r="C485" s="23" t="s">
        <v>175</v>
      </c>
      <c r="D485" s="23" t="s">
        <v>175</v>
      </c>
      <c r="E485" s="23" t="s">
        <v>175</v>
      </c>
    </row>
    <row r="486" spans="1:5" x14ac:dyDescent="0.3">
      <c r="A486" s="48" t="s">
        <v>1110</v>
      </c>
      <c r="B486" s="15" t="s">
        <v>1111</v>
      </c>
      <c r="C486" s="23" t="s">
        <v>175</v>
      </c>
      <c r="D486" s="23" t="s">
        <v>175</v>
      </c>
      <c r="E486" s="23" t="s">
        <v>175</v>
      </c>
    </row>
    <row r="487" spans="1:5" x14ac:dyDescent="0.3">
      <c r="A487" s="48" t="s">
        <v>1112</v>
      </c>
      <c r="B487" s="15" t="s">
        <v>1113</v>
      </c>
      <c r="C487" s="23" t="s">
        <v>175</v>
      </c>
      <c r="D487" s="23" t="s">
        <v>176</v>
      </c>
      <c r="E487" s="23" t="s">
        <v>175</v>
      </c>
    </row>
    <row r="488" spans="1:5" x14ac:dyDescent="0.3">
      <c r="A488" s="48" t="s">
        <v>1114</v>
      </c>
      <c r="B488" s="15" t="s">
        <v>1115</v>
      </c>
      <c r="C488" s="23" t="s">
        <v>175</v>
      </c>
      <c r="D488" s="23" t="s">
        <v>175</v>
      </c>
      <c r="E488" s="23" t="s">
        <v>176</v>
      </c>
    </row>
    <row r="489" spans="1:5" x14ac:dyDescent="0.3">
      <c r="A489" s="48" t="s">
        <v>1116</v>
      </c>
      <c r="B489" s="15" t="s">
        <v>1117</v>
      </c>
      <c r="C489" s="23" t="s">
        <v>175</v>
      </c>
      <c r="D489" s="23" t="s">
        <v>176</v>
      </c>
      <c r="E489" s="23" t="s">
        <v>176</v>
      </c>
    </row>
    <row r="490" spans="1:5" x14ac:dyDescent="0.3">
      <c r="A490" s="48" t="s">
        <v>1118</v>
      </c>
      <c r="B490" s="15" t="s">
        <v>1119</v>
      </c>
      <c r="C490" s="23" t="s">
        <v>175</v>
      </c>
      <c r="D490" s="23" t="s">
        <v>176</v>
      </c>
      <c r="E490" s="23" t="s">
        <v>175</v>
      </c>
    </row>
    <row r="491" spans="1:5" x14ac:dyDescent="0.3">
      <c r="A491" s="48" t="s">
        <v>1120</v>
      </c>
      <c r="B491" s="15" t="s">
        <v>1121</v>
      </c>
      <c r="C491" s="23" t="s">
        <v>175</v>
      </c>
      <c r="D491" s="23" t="s">
        <v>176</v>
      </c>
      <c r="E491" s="23" t="s">
        <v>175</v>
      </c>
    </row>
    <row r="492" spans="1:5" x14ac:dyDescent="0.3">
      <c r="A492" s="48" t="s">
        <v>1122</v>
      </c>
      <c r="B492" s="15" t="s">
        <v>1123</v>
      </c>
      <c r="C492" s="23" t="s">
        <v>175</v>
      </c>
      <c r="D492" s="23" t="s">
        <v>176</v>
      </c>
      <c r="E492" s="23" t="s">
        <v>175</v>
      </c>
    </row>
    <row r="493" spans="1:5" x14ac:dyDescent="0.3">
      <c r="A493" s="48" t="s">
        <v>1124</v>
      </c>
      <c r="B493" s="15" t="s">
        <v>1125</v>
      </c>
      <c r="C493" s="23" t="s">
        <v>175</v>
      </c>
      <c r="D493" s="23" t="s">
        <v>175</v>
      </c>
      <c r="E493" s="23" t="s">
        <v>175</v>
      </c>
    </row>
    <row r="494" spans="1:5" x14ac:dyDescent="0.3">
      <c r="A494" s="48" t="s">
        <v>1126</v>
      </c>
      <c r="B494" s="15" t="s">
        <v>1127</v>
      </c>
      <c r="C494" s="23" t="s">
        <v>175</v>
      </c>
      <c r="D494" s="23" t="s">
        <v>175</v>
      </c>
      <c r="E494" s="23" t="s">
        <v>175</v>
      </c>
    </row>
    <row r="495" spans="1:5" x14ac:dyDescent="0.3">
      <c r="A495" s="48" t="s">
        <v>1128</v>
      </c>
      <c r="B495" s="15" t="s">
        <v>1129</v>
      </c>
      <c r="C495" s="23" t="s">
        <v>175</v>
      </c>
      <c r="D495" s="23" t="s">
        <v>176</v>
      </c>
      <c r="E495" s="23" t="s">
        <v>175</v>
      </c>
    </row>
    <row r="496" spans="1:5" x14ac:dyDescent="0.3">
      <c r="A496" s="48" t="s">
        <v>1130</v>
      </c>
      <c r="B496" s="15" t="s">
        <v>1131</v>
      </c>
      <c r="C496" s="23" t="s">
        <v>175</v>
      </c>
      <c r="D496" s="23" t="s">
        <v>176</v>
      </c>
      <c r="E496" s="23" t="s">
        <v>175</v>
      </c>
    </row>
    <row r="497" spans="1:5" x14ac:dyDescent="0.3">
      <c r="A497" s="48" t="s">
        <v>1132</v>
      </c>
      <c r="B497" s="15" t="s">
        <v>1133</v>
      </c>
      <c r="C497" s="23" t="s">
        <v>175</v>
      </c>
      <c r="D497" s="23" t="s">
        <v>176</v>
      </c>
      <c r="E497" s="23" t="s">
        <v>175</v>
      </c>
    </row>
    <row r="498" spans="1:5" x14ac:dyDescent="0.3">
      <c r="A498" s="48" t="s">
        <v>89</v>
      </c>
      <c r="B498" s="15" t="s">
        <v>1134</v>
      </c>
      <c r="C498" s="23" t="s">
        <v>175</v>
      </c>
      <c r="D498" s="23" t="s">
        <v>176</v>
      </c>
      <c r="E498" s="23" t="s">
        <v>176</v>
      </c>
    </row>
    <row r="499" spans="1:5" x14ac:dyDescent="0.3">
      <c r="A499" s="48" t="s">
        <v>71</v>
      </c>
      <c r="B499" s="15" t="s">
        <v>72</v>
      </c>
      <c r="C499" s="23" t="s">
        <v>175</v>
      </c>
      <c r="D499" s="23" t="s">
        <v>176</v>
      </c>
      <c r="E499" s="23" t="s">
        <v>176</v>
      </c>
    </row>
    <row r="500" spans="1:5" x14ac:dyDescent="0.3">
      <c r="A500" s="48" t="s">
        <v>1135</v>
      </c>
      <c r="B500" s="15" t="s">
        <v>1136</v>
      </c>
      <c r="C500" s="23" t="s">
        <v>175</v>
      </c>
      <c r="D500" s="23" t="s">
        <v>176</v>
      </c>
      <c r="E500" s="23" t="s">
        <v>175</v>
      </c>
    </row>
    <row r="501" spans="1:5" x14ac:dyDescent="0.3">
      <c r="A501" s="48" t="s">
        <v>1137</v>
      </c>
      <c r="B501" s="15" t="s">
        <v>1138</v>
      </c>
      <c r="C501" s="23" t="s">
        <v>175</v>
      </c>
      <c r="D501" s="23" t="s">
        <v>176</v>
      </c>
      <c r="E501" s="23" t="s">
        <v>175</v>
      </c>
    </row>
    <row r="502" spans="1:5" x14ac:dyDescent="0.3">
      <c r="A502" s="48" t="s">
        <v>1139</v>
      </c>
      <c r="B502" s="15" t="s">
        <v>1140</v>
      </c>
      <c r="C502" s="23" t="s">
        <v>175</v>
      </c>
      <c r="D502" s="23" t="s">
        <v>175</v>
      </c>
      <c r="E502" s="23" t="s">
        <v>176</v>
      </c>
    </row>
    <row r="503" spans="1:5" x14ac:dyDescent="0.3">
      <c r="A503" s="48" t="s">
        <v>1141</v>
      </c>
      <c r="B503" s="15" t="s">
        <v>1142</v>
      </c>
      <c r="C503" s="23" t="s">
        <v>175</v>
      </c>
      <c r="D503" s="23" t="s">
        <v>176</v>
      </c>
      <c r="E503" s="23" t="s">
        <v>176</v>
      </c>
    </row>
    <row r="504" spans="1:5" x14ac:dyDescent="0.3">
      <c r="A504" s="48" t="s">
        <v>1143</v>
      </c>
      <c r="B504" s="15" t="s">
        <v>1144</v>
      </c>
      <c r="C504" s="23" t="s">
        <v>175</v>
      </c>
      <c r="D504" s="23" t="s">
        <v>176</v>
      </c>
      <c r="E504" s="23" t="s">
        <v>175</v>
      </c>
    </row>
    <row r="505" spans="1:5" x14ac:dyDescent="0.3">
      <c r="A505" s="48" t="s">
        <v>1145</v>
      </c>
      <c r="B505" s="15" t="s">
        <v>1146</v>
      </c>
      <c r="C505" s="23" t="s">
        <v>175</v>
      </c>
      <c r="D505" s="23" t="s">
        <v>176</v>
      </c>
      <c r="E505" s="23" t="s">
        <v>176</v>
      </c>
    </row>
    <row r="506" spans="1:5" x14ac:dyDescent="0.3">
      <c r="A506" s="48" t="s">
        <v>1147</v>
      </c>
      <c r="B506" s="15" t="s">
        <v>1148</v>
      </c>
      <c r="C506" s="23" t="s">
        <v>175</v>
      </c>
      <c r="D506" s="23" t="s">
        <v>176</v>
      </c>
      <c r="E506" s="23" t="s">
        <v>175</v>
      </c>
    </row>
    <row r="507" spans="1:5" x14ac:dyDescent="0.3">
      <c r="A507" s="48" t="s">
        <v>1149</v>
      </c>
      <c r="B507" s="15" t="s">
        <v>1150</v>
      </c>
      <c r="C507" s="23" t="s">
        <v>175</v>
      </c>
      <c r="D507" s="23" t="s">
        <v>176</v>
      </c>
      <c r="E507" s="23" t="s">
        <v>175</v>
      </c>
    </row>
    <row r="508" spans="1:5" x14ac:dyDescent="0.3">
      <c r="A508" s="48" t="s">
        <v>1151</v>
      </c>
      <c r="B508" s="15" t="s">
        <v>1152</v>
      </c>
      <c r="C508" s="23" t="s">
        <v>175</v>
      </c>
      <c r="D508" s="23" t="s">
        <v>176</v>
      </c>
      <c r="E508" s="23" t="s">
        <v>175</v>
      </c>
    </row>
    <row r="509" spans="1:5" x14ac:dyDescent="0.3">
      <c r="A509" s="48" t="s">
        <v>1153</v>
      </c>
      <c r="B509" s="15" t="s">
        <v>1154</v>
      </c>
      <c r="C509" s="23" t="s">
        <v>175</v>
      </c>
      <c r="D509" s="23" t="s">
        <v>176</v>
      </c>
      <c r="E509" s="23" t="s">
        <v>175</v>
      </c>
    </row>
    <row r="510" spans="1:5" x14ac:dyDescent="0.3">
      <c r="A510" s="48" t="s">
        <v>1155</v>
      </c>
      <c r="B510" s="15" t="s">
        <v>1156</v>
      </c>
      <c r="C510" s="23" t="s">
        <v>175</v>
      </c>
      <c r="D510" s="23" t="s">
        <v>176</v>
      </c>
      <c r="E510" s="23" t="s">
        <v>175</v>
      </c>
    </row>
    <row r="511" spans="1:5" x14ac:dyDescent="0.3">
      <c r="A511" s="48" t="s">
        <v>1157</v>
      </c>
      <c r="B511" s="15" t="s">
        <v>1158</v>
      </c>
      <c r="C511" s="23" t="s">
        <v>175</v>
      </c>
      <c r="D511" s="23" t="s">
        <v>176</v>
      </c>
      <c r="E511" s="23" t="s">
        <v>176</v>
      </c>
    </row>
    <row r="512" spans="1:5" x14ac:dyDescent="0.3">
      <c r="A512" s="48" t="s">
        <v>1159</v>
      </c>
      <c r="B512" s="15" t="s">
        <v>1160</v>
      </c>
      <c r="C512" s="23" t="s">
        <v>175</v>
      </c>
      <c r="D512" s="23" t="s">
        <v>176</v>
      </c>
      <c r="E512" s="23" t="s">
        <v>176</v>
      </c>
    </row>
    <row r="513" spans="1:5" x14ac:dyDescent="0.3">
      <c r="A513" s="48" t="s">
        <v>1161</v>
      </c>
      <c r="B513" s="15" t="s">
        <v>1162</v>
      </c>
      <c r="C513" s="23" t="s">
        <v>175</v>
      </c>
      <c r="D513" s="23" t="s">
        <v>176</v>
      </c>
      <c r="E513" s="23" t="s">
        <v>176</v>
      </c>
    </row>
    <row r="514" spans="1:5" x14ac:dyDescent="0.3">
      <c r="A514" s="48" t="s">
        <v>163</v>
      </c>
      <c r="B514" s="15" t="s">
        <v>1163</v>
      </c>
      <c r="C514" s="23" t="s">
        <v>175</v>
      </c>
      <c r="D514" s="23" t="s">
        <v>176</v>
      </c>
      <c r="E514" s="23" t="s">
        <v>175</v>
      </c>
    </row>
    <row r="515" spans="1:5" x14ac:dyDescent="0.3">
      <c r="A515" s="48" t="s">
        <v>1164</v>
      </c>
      <c r="B515" s="15" t="s">
        <v>1165</v>
      </c>
      <c r="C515" s="23" t="s">
        <v>175</v>
      </c>
      <c r="D515" s="23" t="s">
        <v>175</v>
      </c>
      <c r="E515" s="23" t="s">
        <v>175</v>
      </c>
    </row>
    <row r="516" spans="1:5" x14ac:dyDescent="0.3">
      <c r="A516" s="48" t="s">
        <v>1166</v>
      </c>
      <c r="B516" s="15" t="s">
        <v>1167</v>
      </c>
      <c r="C516" s="23" t="s">
        <v>175</v>
      </c>
      <c r="D516" s="23" t="s">
        <v>176</v>
      </c>
      <c r="E516" s="23" t="s">
        <v>175</v>
      </c>
    </row>
    <row r="517" spans="1:5" x14ac:dyDescent="0.3">
      <c r="A517" s="48" t="s">
        <v>1168</v>
      </c>
      <c r="B517" s="15" t="s">
        <v>1169</v>
      </c>
      <c r="C517" s="23" t="s">
        <v>175</v>
      </c>
      <c r="D517" s="23" t="s">
        <v>176</v>
      </c>
      <c r="E517" s="23" t="s">
        <v>176</v>
      </c>
    </row>
    <row r="518" spans="1:5" x14ac:dyDescent="0.3">
      <c r="A518" s="48" t="s">
        <v>1170</v>
      </c>
      <c r="B518" s="15" t="s">
        <v>1171</v>
      </c>
      <c r="C518" s="23" t="s">
        <v>175</v>
      </c>
      <c r="D518" s="23" t="s">
        <v>176</v>
      </c>
      <c r="E518" s="23" t="s">
        <v>175</v>
      </c>
    </row>
    <row r="519" spans="1:5" x14ac:dyDescent="0.3">
      <c r="A519" s="48" t="s">
        <v>1172</v>
      </c>
      <c r="B519" s="15" t="s">
        <v>1173</v>
      </c>
      <c r="C519" s="23" t="s">
        <v>175</v>
      </c>
      <c r="D519" s="23" t="s">
        <v>176</v>
      </c>
      <c r="E519" s="23" t="s">
        <v>176</v>
      </c>
    </row>
    <row r="520" spans="1:5" x14ac:dyDescent="0.3">
      <c r="A520" s="48" t="s">
        <v>1174</v>
      </c>
      <c r="B520" s="15" t="s">
        <v>1175</v>
      </c>
      <c r="C520" s="23" t="s">
        <v>175</v>
      </c>
      <c r="D520" s="23" t="s">
        <v>175</v>
      </c>
      <c r="E520" s="23" t="s">
        <v>176</v>
      </c>
    </row>
    <row r="521" spans="1:5" x14ac:dyDescent="0.3">
      <c r="A521" s="48" t="s">
        <v>1176</v>
      </c>
      <c r="B521" s="15" t="s">
        <v>1177</v>
      </c>
      <c r="C521" s="23" t="s">
        <v>175</v>
      </c>
      <c r="D521" s="23" t="s">
        <v>176</v>
      </c>
      <c r="E521" s="23" t="s">
        <v>175</v>
      </c>
    </row>
    <row r="522" spans="1:5" x14ac:dyDescent="0.3">
      <c r="A522" s="48" t="s">
        <v>1178</v>
      </c>
      <c r="B522" s="15" t="s">
        <v>1179</v>
      </c>
      <c r="C522" s="23" t="s">
        <v>175</v>
      </c>
      <c r="D522" s="23" t="s">
        <v>176</v>
      </c>
      <c r="E522" s="23" t="s">
        <v>176</v>
      </c>
    </row>
    <row r="523" spans="1:5" x14ac:dyDescent="0.3">
      <c r="A523" s="48" t="s">
        <v>1180</v>
      </c>
      <c r="B523" s="15" t="s">
        <v>1181</v>
      </c>
      <c r="C523" s="23" t="s">
        <v>175</v>
      </c>
      <c r="D523" s="23" t="s">
        <v>175</v>
      </c>
      <c r="E523" s="23" t="s">
        <v>176</v>
      </c>
    </row>
    <row r="524" spans="1:5" x14ac:dyDescent="0.3">
      <c r="A524" s="48" t="s">
        <v>168</v>
      </c>
      <c r="B524" s="15" t="s">
        <v>1182</v>
      </c>
      <c r="C524" s="23" t="s">
        <v>175</v>
      </c>
      <c r="D524" s="23" t="s">
        <v>176</v>
      </c>
      <c r="E524" s="23" t="s">
        <v>176</v>
      </c>
    </row>
    <row r="525" spans="1:5" x14ac:dyDescent="0.3">
      <c r="A525" s="48" t="s">
        <v>1183</v>
      </c>
      <c r="B525" s="15" t="s">
        <v>1184</v>
      </c>
      <c r="C525" s="23" t="s">
        <v>175</v>
      </c>
      <c r="D525" s="23" t="s">
        <v>176</v>
      </c>
      <c r="E525" s="23" t="s">
        <v>176</v>
      </c>
    </row>
    <row r="526" spans="1:5" x14ac:dyDescent="0.3">
      <c r="A526" s="48" t="s">
        <v>1185</v>
      </c>
      <c r="B526" s="15" t="s">
        <v>1186</v>
      </c>
      <c r="C526" s="23" t="s">
        <v>175</v>
      </c>
      <c r="D526" s="23" t="s">
        <v>176</v>
      </c>
      <c r="E526" s="23" t="s">
        <v>176</v>
      </c>
    </row>
    <row r="527" spans="1:5" x14ac:dyDescent="0.3">
      <c r="A527" s="48" t="s">
        <v>1187</v>
      </c>
      <c r="B527" s="15" t="s">
        <v>1188</v>
      </c>
      <c r="C527" s="23" t="s">
        <v>175</v>
      </c>
      <c r="D527" s="23" t="s">
        <v>176</v>
      </c>
      <c r="E527" s="23" t="s">
        <v>175</v>
      </c>
    </row>
    <row r="528" spans="1:5" x14ac:dyDescent="0.3">
      <c r="A528" s="48" t="s">
        <v>1189</v>
      </c>
      <c r="B528" s="15" t="s">
        <v>1190</v>
      </c>
      <c r="C528" s="23" t="s">
        <v>175</v>
      </c>
      <c r="D528" s="23" t="s">
        <v>176</v>
      </c>
      <c r="E528" s="23" t="s">
        <v>176</v>
      </c>
    </row>
    <row r="529" spans="1:5" x14ac:dyDescent="0.3">
      <c r="A529" s="48" t="s">
        <v>1191</v>
      </c>
      <c r="B529" s="15" t="s">
        <v>1192</v>
      </c>
      <c r="C529" s="23" t="s">
        <v>175</v>
      </c>
      <c r="D529" s="23" t="s">
        <v>176</v>
      </c>
      <c r="E529" s="23" t="s">
        <v>176</v>
      </c>
    </row>
    <row r="530" spans="1:5" x14ac:dyDescent="0.3">
      <c r="A530" s="48" t="s">
        <v>1193</v>
      </c>
      <c r="B530" s="15" t="s">
        <v>1194</v>
      </c>
      <c r="C530" s="23" t="s">
        <v>175</v>
      </c>
      <c r="D530" s="23" t="s">
        <v>175</v>
      </c>
      <c r="E530" s="23" t="s">
        <v>175</v>
      </c>
    </row>
    <row r="531" spans="1:5" x14ac:dyDescent="0.3">
      <c r="A531" s="48" t="s">
        <v>1195</v>
      </c>
      <c r="B531" s="15" t="s">
        <v>1196</v>
      </c>
      <c r="C531" s="23" t="s">
        <v>175</v>
      </c>
      <c r="D531" s="23" t="s">
        <v>176</v>
      </c>
      <c r="E531" s="23" t="s">
        <v>175</v>
      </c>
    </row>
    <row r="532" spans="1:5" x14ac:dyDescent="0.3">
      <c r="A532" s="48" t="s">
        <v>1197</v>
      </c>
      <c r="B532" s="15" t="s">
        <v>1198</v>
      </c>
      <c r="C532" s="23" t="s">
        <v>175</v>
      </c>
      <c r="D532" s="23" t="s">
        <v>175</v>
      </c>
      <c r="E532" s="23" t="s">
        <v>175</v>
      </c>
    </row>
    <row r="533" spans="1:5" x14ac:dyDescent="0.3">
      <c r="A533" s="48" t="s">
        <v>1199</v>
      </c>
      <c r="B533" s="15" t="s">
        <v>1200</v>
      </c>
      <c r="C533" s="23" t="s">
        <v>175</v>
      </c>
      <c r="D533" s="23" t="s">
        <v>176</v>
      </c>
      <c r="E533" s="23" t="s">
        <v>175</v>
      </c>
    </row>
    <row r="534" spans="1:5" x14ac:dyDescent="0.3">
      <c r="A534" s="48" t="s">
        <v>1201</v>
      </c>
      <c r="B534" s="15" t="s">
        <v>1202</v>
      </c>
      <c r="C534" s="23" t="s">
        <v>175</v>
      </c>
      <c r="D534" s="23" t="s">
        <v>176</v>
      </c>
      <c r="E534" s="23" t="s">
        <v>176</v>
      </c>
    </row>
    <row r="535" spans="1:5" x14ac:dyDescent="0.3">
      <c r="A535" s="48" t="s">
        <v>1203</v>
      </c>
      <c r="B535" s="15" t="s">
        <v>1204</v>
      </c>
      <c r="C535" s="23" t="s">
        <v>175</v>
      </c>
      <c r="D535" s="23" t="s">
        <v>176</v>
      </c>
      <c r="E535" s="23" t="s">
        <v>176</v>
      </c>
    </row>
    <row r="536" spans="1:5" x14ac:dyDescent="0.3">
      <c r="A536" s="48" t="s">
        <v>1205</v>
      </c>
      <c r="B536" s="15" t="s">
        <v>1206</v>
      </c>
      <c r="C536" s="23" t="s">
        <v>175</v>
      </c>
      <c r="D536" s="23" t="s">
        <v>176</v>
      </c>
      <c r="E536" s="23" t="s">
        <v>176</v>
      </c>
    </row>
    <row r="537" spans="1:5" x14ac:dyDescent="0.3">
      <c r="A537" s="48" t="s">
        <v>1207</v>
      </c>
      <c r="B537" s="15" t="s">
        <v>1208</v>
      </c>
      <c r="C537" s="23" t="s">
        <v>175</v>
      </c>
      <c r="D537" s="23" t="s">
        <v>175</v>
      </c>
      <c r="E537" s="23" t="s">
        <v>176</v>
      </c>
    </row>
    <row r="538" spans="1:5" x14ac:dyDescent="0.3">
      <c r="A538" s="48" t="s">
        <v>1209</v>
      </c>
      <c r="B538" s="15" t="s">
        <v>1210</v>
      </c>
      <c r="C538" s="23" t="s">
        <v>175</v>
      </c>
      <c r="D538" s="23" t="s">
        <v>176</v>
      </c>
      <c r="E538" s="23" t="s">
        <v>176</v>
      </c>
    </row>
    <row r="539" spans="1:5" x14ac:dyDescent="0.3">
      <c r="A539" s="48" t="s">
        <v>1211</v>
      </c>
      <c r="B539" s="15" t="s">
        <v>1212</v>
      </c>
      <c r="C539" s="23" t="s">
        <v>175</v>
      </c>
      <c r="D539" s="23" t="s">
        <v>176</v>
      </c>
      <c r="E539" s="23" t="s">
        <v>176</v>
      </c>
    </row>
    <row r="540" spans="1:5" x14ac:dyDescent="0.3">
      <c r="A540" s="48" t="s">
        <v>1213</v>
      </c>
      <c r="B540" s="15" t="s">
        <v>1214</v>
      </c>
      <c r="C540" s="23" t="s">
        <v>175</v>
      </c>
      <c r="D540" s="23" t="s">
        <v>176</v>
      </c>
      <c r="E540" s="23" t="s">
        <v>176</v>
      </c>
    </row>
    <row r="541" spans="1:5" x14ac:dyDescent="0.3">
      <c r="A541" s="48" t="s">
        <v>1215</v>
      </c>
      <c r="B541" s="15" t="s">
        <v>1216</v>
      </c>
      <c r="C541" s="23" t="s">
        <v>175</v>
      </c>
      <c r="D541" s="23" t="s">
        <v>176</v>
      </c>
      <c r="E541" s="23" t="s">
        <v>176</v>
      </c>
    </row>
    <row r="542" spans="1:5" x14ac:dyDescent="0.3">
      <c r="A542" s="48" t="s">
        <v>1217</v>
      </c>
      <c r="B542" s="15" t="s">
        <v>1218</v>
      </c>
      <c r="C542" s="23" t="s">
        <v>175</v>
      </c>
      <c r="D542" s="23" t="s">
        <v>175</v>
      </c>
      <c r="E542" s="23" t="s">
        <v>176</v>
      </c>
    </row>
    <row r="543" spans="1:5" x14ac:dyDescent="0.3">
      <c r="A543" s="48" t="s">
        <v>1219</v>
      </c>
      <c r="B543" s="15" t="s">
        <v>1220</v>
      </c>
      <c r="C543" s="23" t="s">
        <v>175</v>
      </c>
      <c r="D543" s="23" t="s">
        <v>175</v>
      </c>
      <c r="E543" s="23" t="s">
        <v>176</v>
      </c>
    </row>
    <row r="544" spans="1:5" x14ac:dyDescent="0.3">
      <c r="A544" s="48" t="s">
        <v>1221</v>
      </c>
      <c r="B544" s="15" t="s">
        <v>1222</v>
      </c>
      <c r="C544" s="23" t="s">
        <v>175</v>
      </c>
      <c r="D544" s="23" t="s">
        <v>176</v>
      </c>
      <c r="E544" s="23" t="s">
        <v>176</v>
      </c>
    </row>
    <row r="545" spans="1:6" x14ac:dyDescent="0.3">
      <c r="A545" s="48" t="s">
        <v>1223</v>
      </c>
      <c r="B545" s="15" t="s">
        <v>1224</v>
      </c>
      <c r="C545" s="23" t="s">
        <v>175</v>
      </c>
      <c r="D545" s="23" t="s">
        <v>228</v>
      </c>
      <c r="E545" s="23" t="s">
        <v>176</v>
      </c>
      <c r="F545" s="49" t="s">
        <v>229</v>
      </c>
    </row>
    <row r="546" spans="1:6" x14ac:dyDescent="0.3">
      <c r="A546" s="48" t="s">
        <v>1225</v>
      </c>
      <c r="B546" s="15" t="s">
        <v>1226</v>
      </c>
      <c r="C546" s="23" t="s">
        <v>175</v>
      </c>
      <c r="D546" s="23" t="s">
        <v>176</v>
      </c>
      <c r="E546" s="23" t="s">
        <v>176</v>
      </c>
    </row>
    <row r="547" spans="1:6" x14ac:dyDescent="0.3">
      <c r="A547" s="48" t="s">
        <v>1227</v>
      </c>
      <c r="B547" s="15" t="s">
        <v>1228</v>
      </c>
      <c r="C547" s="23" t="s">
        <v>175</v>
      </c>
      <c r="D547" s="23" t="s">
        <v>176</v>
      </c>
      <c r="E547" s="23" t="s">
        <v>175</v>
      </c>
    </row>
    <row r="548" spans="1:6" x14ac:dyDescent="0.3">
      <c r="A548" s="48" t="s">
        <v>1229</v>
      </c>
      <c r="B548" s="15" t="s">
        <v>1230</v>
      </c>
      <c r="C548" s="23" t="s">
        <v>175</v>
      </c>
      <c r="D548" s="23" t="s">
        <v>176</v>
      </c>
      <c r="E548" s="23" t="s">
        <v>176</v>
      </c>
    </row>
    <row r="549" spans="1:6" x14ac:dyDescent="0.3">
      <c r="A549" s="48" t="s">
        <v>1231</v>
      </c>
      <c r="B549" s="15" t="s">
        <v>1232</v>
      </c>
      <c r="C549" s="23" t="s">
        <v>175</v>
      </c>
      <c r="D549" s="23" t="s">
        <v>176</v>
      </c>
      <c r="E549" s="23" t="s">
        <v>176</v>
      </c>
    </row>
    <row r="550" spans="1:6" x14ac:dyDescent="0.3">
      <c r="A550" s="48" t="s">
        <v>1233</v>
      </c>
      <c r="B550" s="15" t="s">
        <v>1234</v>
      </c>
      <c r="C550" s="23" t="s">
        <v>175</v>
      </c>
      <c r="D550" s="23" t="s">
        <v>176</v>
      </c>
      <c r="E550" s="23" t="s">
        <v>176</v>
      </c>
    </row>
    <row r="551" spans="1:6" x14ac:dyDescent="0.3">
      <c r="A551" s="48" t="s">
        <v>1235</v>
      </c>
      <c r="B551" s="15" t="s">
        <v>1236</v>
      </c>
      <c r="C551" s="23" t="s">
        <v>175</v>
      </c>
      <c r="D551" s="23" t="s">
        <v>176</v>
      </c>
      <c r="E551" s="23" t="s">
        <v>176</v>
      </c>
    </row>
    <row r="552" spans="1:6" x14ac:dyDescent="0.3">
      <c r="A552" s="48" t="s">
        <v>1237</v>
      </c>
      <c r="B552" s="15" t="s">
        <v>1238</v>
      </c>
      <c r="C552" s="23" t="s">
        <v>175</v>
      </c>
      <c r="D552" s="50" t="s">
        <v>228</v>
      </c>
      <c r="E552" s="23" t="s">
        <v>176</v>
      </c>
      <c r="F552" s="51" t="s">
        <v>1239</v>
      </c>
    </row>
    <row r="553" spans="1:6" x14ac:dyDescent="0.3">
      <c r="A553" s="48" t="s">
        <v>1240</v>
      </c>
      <c r="B553" s="15" t="s">
        <v>1241</v>
      </c>
      <c r="C553" s="23" t="s">
        <v>175</v>
      </c>
      <c r="D553" s="23" t="s">
        <v>176</v>
      </c>
      <c r="E553" s="23" t="s">
        <v>175</v>
      </c>
    </row>
    <row r="554" spans="1:6" x14ac:dyDescent="0.3">
      <c r="A554" s="48" t="s">
        <v>1242</v>
      </c>
      <c r="B554" s="15" t="s">
        <v>1243</v>
      </c>
      <c r="C554" s="23" t="s">
        <v>175</v>
      </c>
      <c r="D554" s="50" t="s">
        <v>176</v>
      </c>
      <c r="E554" s="23" t="s">
        <v>176</v>
      </c>
    </row>
    <row r="555" spans="1:6" x14ac:dyDescent="0.3">
      <c r="A555" s="48" t="s">
        <v>1244</v>
      </c>
      <c r="B555" s="15" t="s">
        <v>1245</v>
      </c>
      <c r="C555" s="23" t="s">
        <v>175</v>
      </c>
      <c r="D555" s="23" t="s">
        <v>176</v>
      </c>
      <c r="E555" s="23" t="s">
        <v>176</v>
      </c>
    </row>
    <row r="556" spans="1:6" x14ac:dyDescent="0.3">
      <c r="A556" s="48" t="s">
        <v>1246</v>
      </c>
      <c r="B556" s="15" t="s">
        <v>1247</v>
      </c>
      <c r="C556" s="23" t="s">
        <v>175</v>
      </c>
      <c r="D556" s="23" t="s">
        <v>176</v>
      </c>
      <c r="E556" s="23" t="s">
        <v>176</v>
      </c>
    </row>
    <row r="557" spans="1:6" x14ac:dyDescent="0.3">
      <c r="A557" s="48" t="s">
        <v>1248</v>
      </c>
      <c r="B557" s="15" t="s">
        <v>1249</v>
      </c>
      <c r="C557" s="23" t="s">
        <v>175</v>
      </c>
      <c r="D557" s="23" t="s">
        <v>176</v>
      </c>
      <c r="E557" s="23" t="s">
        <v>175</v>
      </c>
    </row>
    <row r="558" spans="1:6" x14ac:dyDescent="0.3">
      <c r="A558" s="48" t="s">
        <v>1250</v>
      </c>
      <c r="B558" s="15" t="s">
        <v>1251</v>
      </c>
      <c r="C558" s="23" t="s">
        <v>175</v>
      </c>
      <c r="D558" s="23" t="s">
        <v>176</v>
      </c>
      <c r="E558" s="23" t="s">
        <v>175</v>
      </c>
    </row>
    <row r="559" spans="1:6" x14ac:dyDescent="0.3">
      <c r="A559" s="48" t="s">
        <v>1252</v>
      </c>
      <c r="B559" s="15" t="s">
        <v>1253</v>
      </c>
      <c r="C559" s="23" t="s">
        <v>175</v>
      </c>
      <c r="D559" s="23" t="s">
        <v>176</v>
      </c>
      <c r="E559" s="23" t="s">
        <v>175</v>
      </c>
    </row>
    <row r="560" spans="1:6" x14ac:dyDescent="0.3">
      <c r="A560" s="48" t="s">
        <v>1254</v>
      </c>
      <c r="B560" s="15" t="s">
        <v>1255</v>
      </c>
      <c r="C560" s="23" t="s">
        <v>175</v>
      </c>
      <c r="D560" s="23" t="s">
        <v>176</v>
      </c>
      <c r="E560" s="23" t="s">
        <v>175</v>
      </c>
    </row>
    <row r="561" spans="1:6" x14ac:dyDescent="0.3">
      <c r="A561" s="48" t="s">
        <v>1256</v>
      </c>
      <c r="B561" s="15" t="s">
        <v>1257</v>
      </c>
      <c r="C561" s="23" t="s">
        <v>175</v>
      </c>
      <c r="D561" s="23" t="s">
        <v>175</v>
      </c>
      <c r="E561" s="23" t="s">
        <v>175</v>
      </c>
    </row>
    <row r="562" spans="1:6" x14ac:dyDescent="0.3">
      <c r="A562" s="48" t="s">
        <v>1258</v>
      </c>
      <c r="B562" s="15" t="s">
        <v>1259</v>
      </c>
      <c r="C562" s="23" t="s">
        <v>175</v>
      </c>
      <c r="D562" s="23" t="s">
        <v>176</v>
      </c>
      <c r="E562" s="23" t="s">
        <v>175</v>
      </c>
    </row>
    <row r="563" spans="1:6" x14ac:dyDescent="0.3">
      <c r="A563" s="48" t="s">
        <v>1260</v>
      </c>
      <c r="B563" s="15" t="s">
        <v>1261</v>
      </c>
      <c r="C563" s="23" t="s">
        <v>175</v>
      </c>
      <c r="D563" s="23" t="s">
        <v>175</v>
      </c>
      <c r="E563" s="23" t="s">
        <v>175</v>
      </c>
    </row>
    <row r="564" spans="1:6" x14ac:dyDescent="0.3">
      <c r="A564" s="48" t="s">
        <v>164</v>
      </c>
      <c r="B564" s="15" t="s">
        <v>1262</v>
      </c>
      <c r="C564" s="23" t="s">
        <v>175</v>
      </c>
      <c r="D564" s="23" t="s">
        <v>176</v>
      </c>
      <c r="E564" s="23" t="s">
        <v>175</v>
      </c>
    </row>
    <row r="565" spans="1:6" x14ac:dyDescent="0.3">
      <c r="A565" s="48" t="s">
        <v>97</v>
      </c>
      <c r="B565" s="15" t="s">
        <v>1263</v>
      </c>
      <c r="C565" s="23" t="s">
        <v>175</v>
      </c>
      <c r="D565" s="23" t="s">
        <v>176</v>
      </c>
      <c r="E565" s="23" t="s">
        <v>175</v>
      </c>
      <c r="F565" s="49" t="s">
        <v>229</v>
      </c>
    </row>
    <row r="566" spans="1:6" x14ac:dyDescent="0.3">
      <c r="A566" s="48" t="s">
        <v>1264</v>
      </c>
      <c r="B566" s="15" t="s">
        <v>1265</v>
      </c>
      <c r="C566" s="23" t="s">
        <v>175</v>
      </c>
      <c r="D566" s="23" t="s">
        <v>175</v>
      </c>
      <c r="E566" s="23" t="s">
        <v>175</v>
      </c>
    </row>
    <row r="567" spans="1:6" x14ac:dyDescent="0.3">
      <c r="A567" s="48" t="s">
        <v>1266</v>
      </c>
      <c r="B567" s="15" t="s">
        <v>1267</v>
      </c>
      <c r="C567" s="23" t="s">
        <v>175</v>
      </c>
      <c r="D567" s="23" t="s">
        <v>176</v>
      </c>
      <c r="E567" s="23" t="s">
        <v>175</v>
      </c>
    </row>
    <row r="568" spans="1:6" x14ac:dyDescent="0.3">
      <c r="A568" s="48" t="s">
        <v>1268</v>
      </c>
      <c r="B568" s="15" t="s">
        <v>1269</v>
      </c>
      <c r="C568" s="23" t="s">
        <v>175</v>
      </c>
      <c r="D568" s="23" t="s">
        <v>176</v>
      </c>
      <c r="E568" s="23" t="s">
        <v>176</v>
      </c>
    </row>
    <row r="569" spans="1:6" x14ac:dyDescent="0.3">
      <c r="A569" s="48" t="s">
        <v>1270</v>
      </c>
      <c r="B569" s="15" t="s">
        <v>1271</v>
      </c>
      <c r="C569" s="23" t="s">
        <v>175</v>
      </c>
      <c r="D569" s="23" t="s">
        <v>175</v>
      </c>
      <c r="E569" s="23" t="s">
        <v>175</v>
      </c>
    </row>
    <row r="570" spans="1:6" x14ac:dyDescent="0.3">
      <c r="A570" s="48" t="s">
        <v>1272</v>
      </c>
      <c r="B570" s="15" t="s">
        <v>1273</v>
      </c>
      <c r="C570" s="23" t="s">
        <v>175</v>
      </c>
      <c r="D570" s="23" t="s">
        <v>175</v>
      </c>
      <c r="E570" s="23" t="s">
        <v>175</v>
      </c>
    </row>
    <row r="571" spans="1:6" x14ac:dyDescent="0.3">
      <c r="A571" s="48" t="s">
        <v>1274</v>
      </c>
      <c r="B571" s="15" t="s">
        <v>1275</v>
      </c>
      <c r="C571" s="23" t="s">
        <v>175</v>
      </c>
      <c r="D571" s="23" t="s">
        <v>176</v>
      </c>
      <c r="E571" s="23" t="s">
        <v>175</v>
      </c>
    </row>
    <row r="572" spans="1:6" x14ac:dyDescent="0.3">
      <c r="A572" s="48" t="s">
        <v>1276</v>
      </c>
      <c r="B572" s="15" t="s">
        <v>1277</v>
      </c>
      <c r="C572" s="23" t="s">
        <v>175</v>
      </c>
      <c r="D572" s="23" t="s">
        <v>175</v>
      </c>
      <c r="E572" s="23" t="s">
        <v>175</v>
      </c>
    </row>
    <row r="573" spans="1:6" x14ac:dyDescent="0.3">
      <c r="A573" s="48" t="s">
        <v>165</v>
      </c>
      <c r="B573" s="15" t="s">
        <v>1278</v>
      </c>
      <c r="C573" s="23" t="s">
        <v>175</v>
      </c>
      <c r="D573" s="23" t="s">
        <v>176</v>
      </c>
      <c r="E573" s="23" t="s">
        <v>175</v>
      </c>
    </row>
    <row r="574" spans="1:6" x14ac:dyDescent="0.3">
      <c r="A574" s="48" t="s">
        <v>1279</v>
      </c>
      <c r="B574" s="15" t="s">
        <v>1280</v>
      </c>
      <c r="C574" s="23" t="s">
        <v>175</v>
      </c>
      <c r="D574" s="23" t="s">
        <v>175</v>
      </c>
      <c r="E574" s="23" t="s">
        <v>175</v>
      </c>
    </row>
    <row r="575" spans="1:6" x14ac:dyDescent="0.3">
      <c r="A575" s="48" t="s">
        <v>1281</v>
      </c>
      <c r="B575" s="15" t="s">
        <v>1282</v>
      </c>
      <c r="C575" s="23" t="s">
        <v>175</v>
      </c>
      <c r="D575" s="23" t="s">
        <v>175</v>
      </c>
      <c r="E575" s="23" t="s">
        <v>175</v>
      </c>
    </row>
    <row r="576" spans="1:6" x14ac:dyDescent="0.3">
      <c r="A576" s="48" t="s">
        <v>1283</v>
      </c>
      <c r="B576" s="15" t="s">
        <v>1284</v>
      </c>
      <c r="C576" s="23" t="s">
        <v>175</v>
      </c>
      <c r="D576" s="23" t="s">
        <v>176</v>
      </c>
      <c r="E576" s="23" t="s">
        <v>176</v>
      </c>
    </row>
    <row r="577" spans="1:5" x14ac:dyDescent="0.3">
      <c r="A577" s="48" t="s">
        <v>1285</v>
      </c>
      <c r="B577" s="15" t="s">
        <v>1286</v>
      </c>
      <c r="C577" s="23" t="s">
        <v>175</v>
      </c>
      <c r="D577" s="23" t="s">
        <v>176</v>
      </c>
      <c r="E577" s="23" t="s">
        <v>175</v>
      </c>
    </row>
    <row r="578" spans="1:5" x14ac:dyDescent="0.3">
      <c r="A578" s="48" t="s">
        <v>1287</v>
      </c>
      <c r="B578" s="15" t="s">
        <v>1288</v>
      </c>
      <c r="C578" s="23" t="s">
        <v>175</v>
      </c>
      <c r="D578" s="23" t="s">
        <v>176</v>
      </c>
      <c r="E578" s="23" t="s">
        <v>175</v>
      </c>
    </row>
    <row r="579" spans="1:5" x14ac:dyDescent="0.3">
      <c r="A579" s="48" t="s">
        <v>1289</v>
      </c>
      <c r="B579" s="15" t="s">
        <v>1290</v>
      </c>
      <c r="C579" s="23" t="s">
        <v>175</v>
      </c>
      <c r="D579" s="23" t="s">
        <v>175</v>
      </c>
      <c r="E579" s="23" t="s">
        <v>175</v>
      </c>
    </row>
    <row r="580" spans="1:5" x14ac:dyDescent="0.3">
      <c r="A580" s="48" t="s">
        <v>1291</v>
      </c>
      <c r="B580" s="15" t="s">
        <v>1292</v>
      </c>
      <c r="C580" s="23" t="s">
        <v>175</v>
      </c>
      <c r="D580" s="23" t="s">
        <v>176</v>
      </c>
      <c r="E580" s="23" t="s">
        <v>175</v>
      </c>
    </row>
    <row r="581" spans="1:5" x14ac:dyDescent="0.3">
      <c r="A581" s="48" t="s">
        <v>1293</v>
      </c>
      <c r="B581" s="15" t="s">
        <v>1294</v>
      </c>
      <c r="C581" s="23" t="s">
        <v>175</v>
      </c>
      <c r="D581" s="23" t="s">
        <v>175</v>
      </c>
      <c r="E581" s="23" t="s">
        <v>175</v>
      </c>
    </row>
    <row r="582" spans="1:5" x14ac:dyDescent="0.3">
      <c r="A582" s="48" t="s">
        <v>1295</v>
      </c>
      <c r="B582" s="15" t="s">
        <v>1296</v>
      </c>
      <c r="C582" s="23" t="s">
        <v>175</v>
      </c>
      <c r="D582" s="23" t="s">
        <v>175</v>
      </c>
      <c r="E582" s="23" t="s">
        <v>175</v>
      </c>
    </row>
    <row r="583" spans="1:5" x14ac:dyDescent="0.3">
      <c r="A583" s="48" t="s">
        <v>1297</v>
      </c>
      <c r="B583" s="15" t="s">
        <v>1298</v>
      </c>
      <c r="C583" s="23" t="s">
        <v>175</v>
      </c>
      <c r="D583" s="23" t="s">
        <v>176</v>
      </c>
      <c r="E583" s="23" t="s">
        <v>175</v>
      </c>
    </row>
    <row r="584" spans="1:5" x14ac:dyDescent="0.3">
      <c r="A584" s="48" t="s">
        <v>1299</v>
      </c>
      <c r="B584" s="15" t="s">
        <v>1300</v>
      </c>
      <c r="C584" s="23" t="s">
        <v>175</v>
      </c>
      <c r="D584" s="23" t="s">
        <v>175</v>
      </c>
      <c r="E584" s="23" t="s">
        <v>175</v>
      </c>
    </row>
    <row r="585" spans="1:5" x14ac:dyDescent="0.3">
      <c r="A585" s="48" t="s">
        <v>1301</v>
      </c>
      <c r="B585" s="15" t="s">
        <v>1302</v>
      </c>
      <c r="C585" s="23" t="s">
        <v>175</v>
      </c>
      <c r="D585" s="23" t="s">
        <v>175</v>
      </c>
      <c r="E585" s="23" t="s">
        <v>175</v>
      </c>
    </row>
    <row r="586" spans="1:5" x14ac:dyDescent="0.3">
      <c r="A586" s="48" t="s">
        <v>1303</v>
      </c>
      <c r="B586" s="15" t="s">
        <v>1304</v>
      </c>
      <c r="C586" s="23" t="s">
        <v>175</v>
      </c>
      <c r="D586" s="23" t="s">
        <v>176</v>
      </c>
      <c r="E586" s="23" t="s">
        <v>175</v>
      </c>
    </row>
    <row r="587" spans="1:5" x14ac:dyDescent="0.3">
      <c r="A587" s="48" t="s">
        <v>1305</v>
      </c>
      <c r="B587" s="15" t="s">
        <v>1306</v>
      </c>
      <c r="C587" s="23" t="s">
        <v>175</v>
      </c>
      <c r="D587" s="23" t="s">
        <v>176</v>
      </c>
      <c r="E587" s="23" t="s">
        <v>175</v>
      </c>
    </row>
    <row r="588" spans="1:5" x14ac:dyDescent="0.3">
      <c r="A588" s="48" t="s">
        <v>1307</v>
      </c>
      <c r="B588" s="15" t="s">
        <v>1308</v>
      </c>
      <c r="C588" s="23" t="s">
        <v>175</v>
      </c>
      <c r="D588" s="23" t="s">
        <v>176</v>
      </c>
      <c r="E588" s="23" t="s">
        <v>175</v>
      </c>
    </row>
    <row r="589" spans="1:5" x14ac:dyDescent="0.3">
      <c r="A589" s="48" t="s">
        <v>1309</v>
      </c>
      <c r="B589" s="15" t="s">
        <v>1310</v>
      </c>
      <c r="C589" s="23" t="s">
        <v>175</v>
      </c>
      <c r="D589" s="23" t="s">
        <v>176</v>
      </c>
      <c r="E589" s="23" t="s">
        <v>175</v>
      </c>
    </row>
    <row r="590" spans="1:5" x14ac:dyDescent="0.3">
      <c r="A590" s="48" t="s">
        <v>1311</v>
      </c>
      <c r="B590" s="15" t="s">
        <v>1312</v>
      </c>
      <c r="C590" s="23" t="s">
        <v>175</v>
      </c>
      <c r="D590" s="23" t="s">
        <v>176</v>
      </c>
      <c r="E590" s="23" t="s">
        <v>175</v>
      </c>
    </row>
    <row r="591" spans="1:5" x14ac:dyDescent="0.3">
      <c r="A591" s="48" t="s">
        <v>1313</v>
      </c>
      <c r="B591" s="15" t="s">
        <v>1314</v>
      </c>
      <c r="C591" s="23" t="s">
        <v>175</v>
      </c>
      <c r="D591" s="23" t="s">
        <v>176</v>
      </c>
      <c r="E591" s="23" t="s">
        <v>175</v>
      </c>
    </row>
    <row r="592" spans="1:5" x14ac:dyDescent="0.3">
      <c r="A592" s="48" t="s">
        <v>1315</v>
      </c>
      <c r="B592" s="15" t="s">
        <v>788</v>
      </c>
      <c r="C592" s="23" t="s">
        <v>175</v>
      </c>
      <c r="D592" s="23" t="s">
        <v>176</v>
      </c>
      <c r="E592" s="23" t="s">
        <v>175</v>
      </c>
    </row>
    <row r="593" spans="1:5" x14ac:dyDescent="0.3">
      <c r="A593" s="48" t="s">
        <v>1316</v>
      </c>
      <c r="B593" s="15" t="s">
        <v>1317</v>
      </c>
      <c r="C593" s="23" t="s">
        <v>175</v>
      </c>
      <c r="D593" s="23" t="s">
        <v>176</v>
      </c>
      <c r="E593" s="23" t="s">
        <v>175</v>
      </c>
    </row>
    <row r="594" spans="1:5" x14ac:dyDescent="0.3">
      <c r="A594" s="48" t="s">
        <v>1318</v>
      </c>
      <c r="B594" s="15" t="s">
        <v>1319</v>
      </c>
      <c r="C594" s="23" t="s">
        <v>175</v>
      </c>
      <c r="D594" s="23" t="s">
        <v>176</v>
      </c>
      <c r="E594" s="23" t="s">
        <v>175</v>
      </c>
    </row>
    <row r="595" spans="1:5" x14ac:dyDescent="0.3">
      <c r="A595" s="48" t="s">
        <v>1320</v>
      </c>
      <c r="B595" s="15" t="s">
        <v>1321</v>
      </c>
      <c r="C595" s="23" t="s">
        <v>175</v>
      </c>
      <c r="D595" s="23" t="s">
        <v>176</v>
      </c>
      <c r="E595" s="23" t="s">
        <v>175</v>
      </c>
    </row>
    <row r="596" spans="1:5" x14ac:dyDescent="0.3">
      <c r="A596" s="48" t="s">
        <v>1322</v>
      </c>
      <c r="B596" s="15" t="s">
        <v>1323</v>
      </c>
      <c r="C596" s="23" t="s">
        <v>175</v>
      </c>
      <c r="D596" s="23" t="s">
        <v>176</v>
      </c>
      <c r="E596" s="23" t="s">
        <v>175</v>
      </c>
    </row>
    <row r="597" spans="1:5" x14ac:dyDescent="0.3">
      <c r="A597" s="48" t="s">
        <v>1324</v>
      </c>
      <c r="B597" s="15" t="s">
        <v>1325</v>
      </c>
      <c r="C597" s="23" t="s">
        <v>175</v>
      </c>
      <c r="D597" s="23" t="s">
        <v>176</v>
      </c>
      <c r="E597" s="23" t="s">
        <v>176</v>
      </c>
    </row>
    <row r="598" spans="1:5" x14ac:dyDescent="0.3">
      <c r="A598" s="48" t="s">
        <v>1326</v>
      </c>
      <c r="B598" s="15" t="s">
        <v>1327</v>
      </c>
      <c r="C598" s="23" t="s">
        <v>175</v>
      </c>
      <c r="D598" s="23" t="s">
        <v>176</v>
      </c>
      <c r="E598" s="23" t="s">
        <v>176</v>
      </c>
    </row>
    <row r="599" spans="1:5" x14ac:dyDescent="0.3">
      <c r="A599" s="48" t="s">
        <v>1328</v>
      </c>
      <c r="B599" s="15" t="s">
        <v>1329</v>
      </c>
      <c r="C599" s="23" t="s">
        <v>175</v>
      </c>
      <c r="D599" s="23" t="s">
        <v>176</v>
      </c>
      <c r="E599" s="23" t="s">
        <v>176</v>
      </c>
    </row>
    <row r="600" spans="1:5" x14ac:dyDescent="0.3">
      <c r="A600" s="48" t="s">
        <v>1330</v>
      </c>
      <c r="B600" s="15" t="s">
        <v>1331</v>
      </c>
      <c r="C600" s="23" t="s">
        <v>175</v>
      </c>
      <c r="D600" s="23" t="s">
        <v>176</v>
      </c>
      <c r="E600" s="23" t="s">
        <v>176</v>
      </c>
    </row>
    <row r="601" spans="1:5" x14ac:dyDescent="0.3">
      <c r="A601" s="48" t="s">
        <v>1332</v>
      </c>
      <c r="B601" s="15" t="s">
        <v>1333</v>
      </c>
      <c r="C601" s="23" t="s">
        <v>175</v>
      </c>
      <c r="D601" s="23" t="s">
        <v>176</v>
      </c>
      <c r="E601" s="23" t="s">
        <v>176</v>
      </c>
    </row>
    <row r="602" spans="1:5" x14ac:dyDescent="0.3">
      <c r="A602" s="48" t="s">
        <v>1334</v>
      </c>
      <c r="B602" s="15" t="s">
        <v>1335</v>
      </c>
      <c r="C602" s="23" t="s">
        <v>175</v>
      </c>
      <c r="D602" s="23" t="s">
        <v>175</v>
      </c>
      <c r="E602" s="23" t="s">
        <v>175</v>
      </c>
    </row>
    <row r="603" spans="1:5" x14ac:dyDescent="0.3">
      <c r="A603" s="48" t="s">
        <v>1336</v>
      </c>
      <c r="B603" s="15" t="s">
        <v>1337</v>
      </c>
      <c r="C603" s="23" t="s">
        <v>175</v>
      </c>
      <c r="D603" s="23" t="s">
        <v>175</v>
      </c>
      <c r="E603" s="23" t="s">
        <v>175</v>
      </c>
    </row>
    <row r="604" spans="1:5" x14ac:dyDescent="0.3">
      <c r="A604" s="48" t="s">
        <v>1338</v>
      </c>
      <c r="B604" s="15" t="s">
        <v>1339</v>
      </c>
      <c r="C604" s="23" t="s">
        <v>175</v>
      </c>
      <c r="D604" s="23" t="s">
        <v>176</v>
      </c>
      <c r="E604" s="23" t="s">
        <v>175</v>
      </c>
    </row>
    <row r="605" spans="1:5" x14ac:dyDescent="0.3">
      <c r="A605" s="48" t="s">
        <v>1340</v>
      </c>
      <c r="B605" s="15" t="s">
        <v>1341</v>
      </c>
      <c r="C605" s="23" t="s">
        <v>175</v>
      </c>
      <c r="D605" s="23" t="s">
        <v>176</v>
      </c>
      <c r="E605" s="23" t="s">
        <v>175</v>
      </c>
    </row>
    <row r="606" spans="1:5" x14ac:dyDescent="0.3">
      <c r="A606" s="48" t="s">
        <v>1342</v>
      </c>
      <c r="B606" s="15" t="s">
        <v>1343</v>
      </c>
      <c r="C606" s="23" t="s">
        <v>175</v>
      </c>
      <c r="D606" s="23" t="s">
        <v>176</v>
      </c>
      <c r="E606" s="23" t="s">
        <v>175</v>
      </c>
    </row>
    <row r="607" spans="1:5" x14ac:dyDescent="0.3">
      <c r="A607" s="48" t="s">
        <v>1344</v>
      </c>
      <c r="B607" s="15" t="s">
        <v>1345</v>
      </c>
      <c r="C607" s="23" t="s">
        <v>175</v>
      </c>
      <c r="D607" s="23" t="s">
        <v>176</v>
      </c>
      <c r="E607" s="23" t="s">
        <v>175</v>
      </c>
    </row>
    <row r="608" spans="1:5" x14ac:dyDescent="0.3">
      <c r="A608" s="48" t="s">
        <v>1346</v>
      </c>
      <c r="B608" s="15" t="s">
        <v>1347</v>
      </c>
      <c r="C608" s="23" t="s">
        <v>175</v>
      </c>
      <c r="D608" s="23" t="s">
        <v>175</v>
      </c>
      <c r="E608" s="23" t="s">
        <v>175</v>
      </c>
    </row>
    <row r="609" spans="1:5" x14ac:dyDescent="0.3">
      <c r="A609" s="48" t="s">
        <v>1348</v>
      </c>
      <c r="B609" s="15" t="s">
        <v>1349</v>
      </c>
      <c r="C609" s="23" t="s">
        <v>175</v>
      </c>
      <c r="D609" s="23" t="s">
        <v>176</v>
      </c>
      <c r="E609" s="23" t="s">
        <v>175</v>
      </c>
    </row>
    <row r="610" spans="1:5" x14ac:dyDescent="0.3">
      <c r="A610" s="48" t="s">
        <v>1350</v>
      </c>
      <c r="B610" s="15" t="s">
        <v>1351</v>
      </c>
      <c r="C610" s="23" t="s">
        <v>175</v>
      </c>
      <c r="D610" s="23" t="s">
        <v>175</v>
      </c>
      <c r="E610" s="23" t="s">
        <v>175</v>
      </c>
    </row>
    <row r="611" spans="1:5" x14ac:dyDescent="0.3">
      <c r="A611" s="48" t="s">
        <v>1352</v>
      </c>
      <c r="B611" s="15" t="s">
        <v>1353</v>
      </c>
      <c r="C611" s="23" t="s">
        <v>175</v>
      </c>
      <c r="D611" s="23" t="s">
        <v>176</v>
      </c>
      <c r="E611" s="23" t="s">
        <v>175</v>
      </c>
    </row>
    <row r="612" spans="1:5" x14ac:dyDescent="0.3">
      <c r="A612" s="48" t="s">
        <v>1354</v>
      </c>
      <c r="B612" s="15" t="s">
        <v>1355</v>
      </c>
      <c r="C612" s="23" t="s">
        <v>175</v>
      </c>
      <c r="D612" s="23" t="s">
        <v>176</v>
      </c>
      <c r="E612" s="23" t="s">
        <v>175</v>
      </c>
    </row>
    <row r="613" spans="1:5" x14ac:dyDescent="0.3">
      <c r="A613" s="48" t="s">
        <v>1356</v>
      </c>
      <c r="B613" s="15" t="s">
        <v>1357</v>
      </c>
      <c r="C613" s="23" t="s">
        <v>175</v>
      </c>
      <c r="D613" s="23" t="s">
        <v>176</v>
      </c>
      <c r="E613" s="23" t="s">
        <v>175</v>
      </c>
    </row>
    <row r="614" spans="1:5" x14ac:dyDescent="0.3">
      <c r="A614" s="48" t="s">
        <v>1358</v>
      </c>
      <c r="B614" s="15" t="s">
        <v>1359</v>
      </c>
      <c r="C614" s="23" t="s">
        <v>175</v>
      </c>
      <c r="D614" s="23" t="s">
        <v>175</v>
      </c>
      <c r="E614" s="23" t="s">
        <v>175</v>
      </c>
    </row>
    <row r="615" spans="1:5" x14ac:dyDescent="0.3">
      <c r="A615" s="48" t="s">
        <v>1360</v>
      </c>
      <c r="B615" s="15" t="s">
        <v>1361</v>
      </c>
      <c r="C615" s="23" t="s">
        <v>175</v>
      </c>
      <c r="D615" s="23" t="s">
        <v>175</v>
      </c>
      <c r="E615" s="23" t="s">
        <v>175</v>
      </c>
    </row>
    <row r="616" spans="1:5" x14ac:dyDescent="0.3">
      <c r="A616" s="48" t="s">
        <v>1362</v>
      </c>
      <c r="B616" s="15" t="s">
        <v>1363</v>
      </c>
      <c r="C616" s="23" t="s">
        <v>175</v>
      </c>
      <c r="D616" s="23" t="s">
        <v>175</v>
      </c>
      <c r="E616" s="23" t="s">
        <v>175</v>
      </c>
    </row>
    <row r="617" spans="1:5" x14ac:dyDescent="0.3">
      <c r="A617" s="48" t="s">
        <v>1364</v>
      </c>
      <c r="B617" s="15" t="s">
        <v>1365</v>
      </c>
      <c r="C617" s="23" t="s">
        <v>175</v>
      </c>
      <c r="D617" s="23" t="s">
        <v>176</v>
      </c>
      <c r="E617" s="23" t="s">
        <v>175</v>
      </c>
    </row>
    <row r="618" spans="1:5" x14ac:dyDescent="0.3">
      <c r="A618" s="48" t="s">
        <v>1366</v>
      </c>
      <c r="B618" s="15" t="s">
        <v>1367</v>
      </c>
      <c r="C618" s="23" t="s">
        <v>175</v>
      </c>
      <c r="D618" s="23" t="s">
        <v>176</v>
      </c>
      <c r="E618" s="23" t="s">
        <v>175</v>
      </c>
    </row>
    <row r="619" spans="1:5" x14ac:dyDescent="0.3">
      <c r="A619" s="48" t="s">
        <v>1368</v>
      </c>
      <c r="B619" s="15" t="s">
        <v>1369</v>
      </c>
      <c r="C619" s="23" t="s">
        <v>175</v>
      </c>
      <c r="D619" s="23" t="s">
        <v>176</v>
      </c>
      <c r="E619" s="23" t="s">
        <v>175</v>
      </c>
    </row>
    <row r="620" spans="1:5" x14ac:dyDescent="0.3">
      <c r="A620" s="48" t="s">
        <v>1370</v>
      </c>
      <c r="B620" s="15" t="s">
        <v>1371</v>
      </c>
      <c r="C620" s="23" t="s">
        <v>175</v>
      </c>
      <c r="D620" s="23" t="s">
        <v>175</v>
      </c>
      <c r="E620" s="23" t="s">
        <v>175</v>
      </c>
    </row>
    <row r="621" spans="1:5" x14ac:dyDescent="0.3">
      <c r="A621" s="48" t="s">
        <v>166</v>
      </c>
      <c r="B621" s="15" t="s">
        <v>167</v>
      </c>
      <c r="C621" s="23" t="s">
        <v>175</v>
      </c>
      <c r="D621" s="23" t="s">
        <v>175</v>
      </c>
      <c r="E621" s="23" t="s">
        <v>175</v>
      </c>
    </row>
    <row r="622" spans="1:5" x14ac:dyDescent="0.3">
      <c r="A622" s="48" t="s">
        <v>1372</v>
      </c>
      <c r="B622" s="15" t="s">
        <v>1373</v>
      </c>
      <c r="C622" s="23" t="s">
        <v>175</v>
      </c>
      <c r="D622" s="23" t="s">
        <v>175</v>
      </c>
      <c r="E622" s="23" t="s">
        <v>175</v>
      </c>
    </row>
    <row r="623" spans="1:5" x14ac:dyDescent="0.3">
      <c r="A623" s="48" t="s">
        <v>1374</v>
      </c>
      <c r="B623" s="15" t="s">
        <v>1375</v>
      </c>
      <c r="C623" s="23" t="s">
        <v>175</v>
      </c>
      <c r="D623" s="23" t="s">
        <v>175</v>
      </c>
      <c r="E623" s="23" t="s">
        <v>175</v>
      </c>
    </row>
    <row r="624" spans="1:5" x14ac:dyDescent="0.3">
      <c r="A624" s="48" t="s">
        <v>1376</v>
      </c>
      <c r="B624" s="15" t="s">
        <v>1377</v>
      </c>
      <c r="C624" s="23" t="s">
        <v>175</v>
      </c>
      <c r="D624" s="23" t="s">
        <v>175</v>
      </c>
      <c r="E624" s="23" t="s">
        <v>175</v>
      </c>
    </row>
    <row r="625" spans="1:5" x14ac:dyDescent="0.3">
      <c r="A625" s="48" t="s">
        <v>1378</v>
      </c>
      <c r="B625" s="15" t="s">
        <v>1379</v>
      </c>
      <c r="C625" s="23" t="s">
        <v>175</v>
      </c>
      <c r="D625" s="23" t="s">
        <v>175</v>
      </c>
      <c r="E625" s="23" t="s">
        <v>175</v>
      </c>
    </row>
    <row r="626" spans="1:5" x14ac:dyDescent="0.3">
      <c r="A626" s="48" t="s">
        <v>1380</v>
      </c>
      <c r="B626" s="15" t="s">
        <v>1381</v>
      </c>
      <c r="C626" s="23" t="s">
        <v>175</v>
      </c>
      <c r="D626" s="23" t="s">
        <v>176</v>
      </c>
      <c r="E626" s="23" t="s">
        <v>175</v>
      </c>
    </row>
    <row r="627" spans="1:5" x14ac:dyDescent="0.3">
      <c r="A627" s="48" t="s">
        <v>1382</v>
      </c>
      <c r="B627" s="15" t="s">
        <v>1383</v>
      </c>
      <c r="C627" s="23" t="s">
        <v>175</v>
      </c>
      <c r="D627" s="23" t="s">
        <v>175</v>
      </c>
      <c r="E627" s="23" t="s">
        <v>175</v>
      </c>
    </row>
    <row r="628" spans="1:5" x14ac:dyDescent="0.3">
      <c r="A628" s="48" t="s">
        <v>1384</v>
      </c>
      <c r="B628" s="15" t="s">
        <v>1385</v>
      </c>
      <c r="C628" s="23" t="s">
        <v>175</v>
      </c>
      <c r="D628" s="23" t="s">
        <v>175</v>
      </c>
      <c r="E628" s="23" t="s">
        <v>175</v>
      </c>
    </row>
    <row r="629" spans="1:5" x14ac:dyDescent="0.3">
      <c r="A629" s="48" t="s">
        <v>1386</v>
      </c>
      <c r="B629" s="15" t="s">
        <v>1387</v>
      </c>
      <c r="C629" s="23" t="s">
        <v>175</v>
      </c>
      <c r="D629" s="23" t="s">
        <v>176</v>
      </c>
      <c r="E629" s="23" t="s">
        <v>175</v>
      </c>
    </row>
    <row r="630" spans="1:5" x14ac:dyDescent="0.3">
      <c r="A630" s="48" t="s">
        <v>1388</v>
      </c>
      <c r="B630" s="15" t="s">
        <v>1389</v>
      </c>
      <c r="C630" s="23" t="s">
        <v>175</v>
      </c>
      <c r="D630" s="23" t="s">
        <v>176</v>
      </c>
      <c r="E630" s="23" t="s">
        <v>175</v>
      </c>
    </row>
    <row r="631" spans="1:5" x14ac:dyDescent="0.3">
      <c r="A631" s="48" t="s">
        <v>1390</v>
      </c>
      <c r="B631" s="15" t="s">
        <v>1391</v>
      </c>
      <c r="C631" s="23" t="s">
        <v>175</v>
      </c>
      <c r="D631" s="23" t="s">
        <v>176</v>
      </c>
      <c r="E631" s="23" t="s">
        <v>175</v>
      </c>
    </row>
    <row r="632" spans="1:5" x14ac:dyDescent="0.3">
      <c r="A632" s="48" t="s">
        <v>1392</v>
      </c>
      <c r="B632" s="15" t="s">
        <v>1393</v>
      </c>
      <c r="C632" s="23" t="s">
        <v>175</v>
      </c>
      <c r="D632" s="23" t="s">
        <v>175</v>
      </c>
      <c r="E632" s="23" t="s">
        <v>175</v>
      </c>
    </row>
    <row r="633" spans="1:5" x14ac:dyDescent="0.3">
      <c r="A633" s="48" t="s">
        <v>1394</v>
      </c>
      <c r="B633" s="15" t="s">
        <v>1395</v>
      </c>
      <c r="C633" s="23" t="s">
        <v>175</v>
      </c>
      <c r="D633" s="23" t="s">
        <v>176</v>
      </c>
      <c r="E633" s="23" t="s">
        <v>175</v>
      </c>
    </row>
    <row r="634" spans="1:5" x14ac:dyDescent="0.3">
      <c r="A634" s="48" t="s">
        <v>1396</v>
      </c>
      <c r="B634" s="15" t="s">
        <v>1397</v>
      </c>
      <c r="C634" s="23" t="s">
        <v>175</v>
      </c>
      <c r="D634" s="23" t="s">
        <v>176</v>
      </c>
      <c r="E634" s="23" t="s">
        <v>175</v>
      </c>
    </row>
    <row r="635" spans="1:5" x14ac:dyDescent="0.3">
      <c r="A635" s="48" t="s">
        <v>1398</v>
      </c>
      <c r="B635" s="15" t="s">
        <v>1399</v>
      </c>
      <c r="C635" s="23" t="s">
        <v>175</v>
      </c>
      <c r="D635" s="23" t="s">
        <v>175</v>
      </c>
      <c r="E635" s="23" t="s">
        <v>175</v>
      </c>
    </row>
    <row r="636" spans="1:5" x14ac:dyDescent="0.3">
      <c r="A636" s="48" t="s">
        <v>1400</v>
      </c>
      <c r="B636" s="15" t="s">
        <v>1401</v>
      </c>
      <c r="C636" s="23" t="s">
        <v>175</v>
      </c>
      <c r="D636" s="23" t="s">
        <v>175</v>
      </c>
      <c r="E636" s="23" t="s">
        <v>175</v>
      </c>
    </row>
    <row r="637" spans="1:5" x14ac:dyDescent="0.3">
      <c r="A637" s="48" t="s">
        <v>1402</v>
      </c>
      <c r="B637" s="15" t="s">
        <v>1403</v>
      </c>
      <c r="C637" s="23" t="s">
        <v>175</v>
      </c>
      <c r="D637" s="23" t="s">
        <v>176</v>
      </c>
      <c r="E637" s="23" t="s">
        <v>175</v>
      </c>
    </row>
    <row r="638" spans="1:5" x14ac:dyDescent="0.3">
      <c r="A638" s="48" t="s">
        <v>1404</v>
      </c>
      <c r="B638" s="15" t="s">
        <v>1405</v>
      </c>
      <c r="C638" s="23" t="s">
        <v>175</v>
      </c>
      <c r="D638" s="23" t="s">
        <v>176</v>
      </c>
      <c r="E638" s="23" t="s">
        <v>175</v>
      </c>
    </row>
    <row r="639" spans="1:5" x14ac:dyDescent="0.3">
      <c r="A639" s="48" t="s">
        <v>1406</v>
      </c>
      <c r="B639" s="15" t="s">
        <v>1407</v>
      </c>
      <c r="C639" s="23" t="s">
        <v>175</v>
      </c>
      <c r="D639" s="23" t="s">
        <v>175</v>
      </c>
      <c r="E639" s="23" t="s">
        <v>175</v>
      </c>
    </row>
    <row r="640" spans="1:5" x14ac:dyDescent="0.3">
      <c r="A640" s="48" t="s">
        <v>1408</v>
      </c>
      <c r="B640" s="15" t="s">
        <v>1409</v>
      </c>
      <c r="C640" s="23" t="s">
        <v>175</v>
      </c>
      <c r="D640" s="23" t="s">
        <v>175</v>
      </c>
      <c r="E640" s="23" t="s">
        <v>175</v>
      </c>
    </row>
    <row r="641" spans="1:5" x14ac:dyDescent="0.3">
      <c r="A641" s="48" t="s">
        <v>1410</v>
      </c>
      <c r="B641" s="15" t="s">
        <v>1411</v>
      </c>
      <c r="C641" s="23" t="s">
        <v>175</v>
      </c>
      <c r="D641" s="23" t="s">
        <v>175</v>
      </c>
      <c r="E641" s="23" t="s">
        <v>175</v>
      </c>
    </row>
    <row r="642" spans="1:5" x14ac:dyDescent="0.3">
      <c r="A642" s="48" t="s">
        <v>1412</v>
      </c>
      <c r="B642" s="15" t="s">
        <v>1413</v>
      </c>
      <c r="C642" s="23" t="s">
        <v>175</v>
      </c>
      <c r="D642" s="23" t="s">
        <v>175</v>
      </c>
      <c r="E642" s="23" t="s">
        <v>175</v>
      </c>
    </row>
    <row r="643" spans="1:5" x14ac:dyDescent="0.3">
      <c r="A643" s="48" t="s">
        <v>1414</v>
      </c>
      <c r="B643" s="15" t="s">
        <v>1415</v>
      </c>
      <c r="C643" s="23" t="s">
        <v>175</v>
      </c>
      <c r="D643" s="23" t="s">
        <v>175</v>
      </c>
      <c r="E643" s="23" t="s">
        <v>175</v>
      </c>
    </row>
    <row r="644" spans="1:5" x14ac:dyDescent="0.3">
      <c r="A644" s="48" t="s">
        <v>1416</v>
      </c>
      <c r="B644" s="15" t="s">
        <v>1417</v>
      </c>
      <c r="C644" s="23" t="s">
        <v>175</v>
      </c>
      <c r="D644" s="23" t="s">
        <v>176</v>
      </c>
      <c r="E644" s="23" t="s">
        <v>175</v>
      </c>
    </row>
    <row r="645" spans="1:5" x14ac:dyDescent="0.3">
      <c r="A645" s="48" t="s">
        <v>1418</v>
      </c>
      <c r="B645" s="15" t="s">
        <v>1419</v>
      </c>
      <c r="C645" s="23" t="s">
        <v>175</v>
      </c>
      <c r="D645" s="23" t="s">
        <v>176</v>
      </c>
      <c r="E645" s="23" t="s">
        <v>175</v>
      </c>
    </row>
    <row r="646" spans="1:5" x14ac:dyDescent="0.3">
      <c r="A646" s="48" t="s">
        <v>1420</v>
      </c>
      <c r="B646" s="15" t="s">
        <v>1421</v>
      </c>
      <c r="C646" s="23" t="s">
        <v>175</v>
      </c>
      <c r="D646" s="23" t="s">
        <v>176</v>
      </c>
      <c r="E646" s="23" t="s">
        <v>175</v>
      </c>
    </row>
    <row r="647" spans="1:5" x14ac:dyDescent="0.3">
      <c r="A647" s="48" t="s">
        <v>1422</v>
      </c>
      <c r="B647" s="15" t="s">
        <v>1423</v>
      </c>
      <c r="C647" s="23" t="s">
        <v>175</v>
      </c>
      <c r="D647" s="23" t="s">
        <v>175</v>
      </c>
      <c r="E647" s="23" t="s">
        <v>175</v>
      </c>
    </row>
    <row r="648" spans="1:5" x14ac:dyDescent="0.3">
      <c r="A648" s="48" t="s">
        <v>1424</v>
      </c>
      <c r="B648" s="15" t="s">
        <v>1425</v>
      </c>
      <c r="C648" s="23" t="s">
        <v>175</v>
      </c>
      <c r="D648" s="23" t="s">
        <v>176</v>
      </c>
      <c r="E648" s="23" t="s">
        <v>175</v>
      </c>
    </row>
    <row r="649" spans="1:5" x14ac:dyDescent="0.3">
      <c r="A649" s="48" t="s">
        <v>1426</v>
      </c>
      <c r="B649" s="15" t="s">
        <v>1427</v>
      </c>
      <c r="C649" s="23" t="s">
        <v>175</v>
      </c>
      <c r="D649" s="23" t="s">
        <v>176</v>
      </c>
      <c r="E649" s="23" t="s">
        <v>175</v>
      </c>
    </row>
    <row r="650" spans="1:5" x14ac:dyDescent="0.3">
      <c r="A650" s="48" t="s">
        <v>1428</v>
      </c>
      <c r="B650" s="15" t="s">
        <v>1429</v>
      </c>
      <c r="C650" s="23" t="s">
        <v>175</v>
      </c>
      <c r="D650" s="23" t="s">
        <v>176</v>
      </c>
      <c r="E650" s="23" t="s">
        <v>175</v>
      </c>
    </row>
    <row r="651" spans="1:5" x14ac:dyDescent="0.3">
      <c r="A651" s="48" t="s">
        <v>1430</v>
      </c>
      <c r="B651" s="15" t="s">
        <v>1431</v>
      </c>
      <c r="C651" s="23" t="s">
        <v>175</v>
      </c>
      <c r="D651" s="23" t="s">
        <v>176</v>
      </c>
      <c r="E651" s="23" t="s">
        <v>175</v>
      </c>
    </row>
    <row r="652" spans="1:5" x14ac:dyDescent="0.3">
      <c r="A652" s="48" t="s">
        <v>1432</v>
      </c>
      <c r="B652" s="15" t="s">
        <v>1431</v>
      </c>
      <c r="C652" s="23" t="s">
        <v>175</v>
      </c>
      <c r="D652" s="23" t="s">
        <v>176</v>
      </c>
      <c r="E652" s="23" t="s">
        <v>175</v>
      </c>
    </row>
    <row r="653" spans="1:5" x14ac:dyDescent="0.3">
      <c r="A653" s="48" t="s">
        <v>1433</v>
      </c>
      <c r="B653" s="15" t="s">
        <v>1434</v>
      </c>
      <c r="C653" s="23" t="s">
        <v>175</v>
      </c>
      <c r="D653" s="23" t="s">
        <v>176</v>
      </c>
      <c r="E653" s="23" t="s">
        <v>175</v>
      </c>
    </row>
    <row r="654" spans="1:5" x14ac:dyDescent="0.3">
      <c r="A654" s="48" t="s">
        <v>1435</v>
      </c>
      <c r="B654" s="15" t="s">
        <v>1436</v>
      </c>
      <c r="C654" s="23" t="s">
        <v>175</v>
      </c>
      <c r="D654" s="23" t="s">
        <v>175</v>
      </c>
      <c r="E654" s="23" t="s">
        <v>175</v>
      </c>
    </row>
    <row r="655" spans="1:5" x14ac:dyDescent="0.3">
      <c r="A655" s="48" t="s">
        <v>1437</v>
      </c>
      <c r="B655" s="15" t="s">
        <v>1438</v>
      </c>
      <c r="C655" s="23" t="s">
        <v>175</v>
      </c>
      <c r="D655" s="23" t="s">
        <v>176</v>
      </c>
      <c r="E655" s="23" t="s">
        <v>175</v>
      </c>
    </row>
    <row r="656" spans="1:5" x14ac:dyDescent="0.3">
      <c r="A656" s="48" t="s">
        <v>1439</v>
      </c>
      <c r="B656" s="15" t="s">
        <v>1440</v>
      </c>
      <c r="C656" s="23" t="s">
        <v>175</v>
      </c>
      <c r="D656" s="23" t="s">
        <v>175</v>
      </c>
      <c r="E656" s="23" t="s">
        <v>175</v>
      </c>
    </row>
    <row r="657" spans="1:6" x14ac:dyDescent="0.3">
      <c r="A657" s="48" t="s">
        <v>1441</v>
      </c>
      <c r="B657" s="15" t="s">
        <v>1442</v>
      </c>
      <c r="C657" s="23" t="s">
        <v>175</v>
      </c>
      <c r="D657" s="23" t="s">
        <v>176</v>
      </c>
      <c r="E657" s="23" t="s">
        <v>175</v>
      </c>
    </row>
    <row r="658" spans="1:6" x14ac:dyDescent="0.3">
      <c r="A658" s="48" t="s">
        <v>1443</v>
      </c>
      <c r="B658" s="15" t="s">
        <v>1444</v>
      </c>
      <c r="C658" s="23" t="s">
        <v>175</v>
      </c>
      <c r="D658" s="23" t="s">
        <v>175</v>
      </c>
      <c r="E658" s="23" t="s">
        <v>175</v>
      </c>
    </row>
    <row r="659" spans="1:6" x14ac:dyDescent="0.3">
      <c r="A659" s="48" t="s">
        <v>1445</v>
      </c>
      <c r="B659" s="15" t="s">
        <v>1446</v>
      </c>
      <c r="C659" s="23" t="s">
        <v>175</v>
      </c>
      <c r="D659" s="23" t="s">
        <v>175</v>
      </c>
      <c r="E659" s="23" t="s">
        <v>175</v>
      </c>
    </row>
    <row r="660" spans="1:6" x14ac:dyDescent="0.3">
      <c r="A660" s="48" t="s">
        <v>1447</v>
      </c>
      <c r="B660" s="15" t="s">
        <v>1448</v>
      </c>
      <c r="C660" s="23" t="s">
        <v>175</v>
      </c>
      <c r="D660" s="23" t="s">
        <v>176</v>
      </c>
      <c r="E660" s="23" t="s">
        <v>175</v>
      </c>
    </row>
    <row r="661" spans="1:6" x14ac:dyDescent="0.3">
      <c r="A661" s="48" t="s">
        <v>1449</v>
      </c>
      <c r="B661" s="15" t="s">
        <v>1450</v>
      </c>
      <c r="C661" s="23" t="s">
        <v>175</v>
      </c>
      <c r="D661" s="23" t="s">
        <v>175</v>
      </c>
      <c r="E661" s="23" t="s">
        <v>175</v>
      </c>
    </row>
    <row r="662" spans="1:6" x14ac:dyDescent="0.3">
      <c r="A662" s="48" t="s">
        <v>1451</v>
      </c>
      <c r="B662" s="15" t="s">
        <v>1452</v>
      </c>
      <c r="C662" s="23" t="s">
        <v>175</v>
      </c>
      <c r="D662" s="23" t="s">
        <v>175</v>
      </c>
      <c r="E662" s="23" t="s">
        <v>176</v>
      </c>
    </row>
    <row r="663" spans="1:6" x14ac:dyDescent="0.3">
      <c r="A663" s="48" t="s">
        <v>1453</v>
      </c>
      <c r="B663" s="15" t="s">
        <v>1454</v>
      </c>
      <c r="C663" s="23" t="s">
        <v>175</v>
      </c>
      <c r="D663" s="50" t="s">
        <v>175</v>
      </c>
      <c r="E663" s="23" t="s">
        <v>175</v>
      </c>
      <c r="F663" s="49"/>
    </row>
    <row r="664" spans="1:6" x14ac:dyDescent="0.3">
      <c r="A664" s="48" t="s">
        <v>1455</v>
      </c>
      <c r="B664" s="15" t="s">
        <v>1456</v>
      </c>
      <c r="C664" s="23" t="s">
        <v>175</v>
      </c>
      <c r="D664" s="23" t="s">
        <v>175</v>
      </c>
      <c r="E664" s="23" t="s">
        <v>175</v>
      </c>
    </row>
    <row r="665" spans="1:6" x14ac:dyDescent="0.3">
      <c r="A665" s="48" t="s">
        <v>1457</v>
      </c>
      <c r="B665" s="15" t="s">
        <v>1458</v>
      </c>
      <c r="C665" s="23" t="s">
        <v>175</v>
      </c>
      <c r="D665" s="23" t="s">
        <v>175</v>
      </c>
      <c r="E665" s="23" t="s">
        <v>176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39"/>
  <sheetViews>
    <sheetView workbookViewId="0"/>
  </sheetViews>
  <sheetFormatPr defaultColWidth="23.77734375" defaultRowHeight="14.4" x14ac:dyDescent="0.3"/>
  <cols>
    <col min="1" max="16384" width="23.77734375" style="15"/>
  </cols>
  <sheetData>
    <row r="1" spans="1:7" x14ac:dyDescent="0.3">
      <c r="A1" s="21" t="s">
        <v>1459</v>
      </c>
      <c r="B1" s="21" t="s">
        <v>1460</v>
      </c>
      <c r="C1" s="22" t="s">
        <v>1461</v>
      </c>
      <c r="D1" s="22" t="s">
        <v>1462</v>
      </c>
      <c r="E1" s="22" t="s">
        <v>1463</v>
      </c>
      <c r="F1" s="22" t="s">
        <v>1464</v>
      </c>
    </row>
    <row r="2" spans="1:7" x14ac:dyDescent="0.3">
      <c r="A2" s="52" t="s">
        <v>143</v>
      </c>
      <c r="B2" s="53" t="s">
        <v>142</v>
      </c>
      <c r="C2" s="53" t="s">
        <v>1465</v>
      </c>
      <c r="D2" s="53">
        <v>0.37</v>
      </c>
      <c r="E2" s="53">
        <v>60</v>
      </c>
      <c r="F2" s="54">
        <v>3</v>
      </c>
      <c r="G2" s="15" t="str">
        <f>A2</f>
        <v>Acetaldehyde</v>
      </c>
    </row>
    <row r="3" spans="1:7" x14ac:dyDescent="0.3">
      <c r="A3" s="52" t="s">
        <v>931</v>
      </c>
      <c r="B3" s="53" t="s">
        <v>930</v>
      </c>
      <c r="C3" s="53" t="s">
        <v>1465</v>
      </c>
      <c r="D3" s="55">
        <v>0.05</v>
      </c>
      <c r="E3" s="53">
        <v>8.1</v>
      </c>
      <c r="F3" s="54">
        <v>0.41</v>
      </c>
      <c r="G3" s="15" t="str">
        <f t="shared" ref="G3:G66" si="0">A3</f>
        <v>Acetamide</v>
      </c>
    </row>
    <row r="4" spans="1:7" x14ac:dyDescent="0.3">
      <c r="A4" s="56" t="s">
        <v>76</v>
      </c>
      <c r="B4" s="57" t="s">
        <v>75</v>
      </c>
      <c r="C4" s="57" t="s">
        <v>1466</v>
      </c>
      <c r="D4" s="57">
        <v>60</v>
      </c>
      <c r="E4" s="57">
        <v>4.4000000000000004</v>
      </c>
      <c r="F4" s="58">
        <v>0.22</v>
      </c>
      <c r="G4" s="15" t="str">
        <f t="shared" si="0"/>
        <v>Acetonitrile</v>
      </c>
    </row>
    <row r="5" spans="1:7" x14ac:dyDescent="0.3">
      <c r="A5" s="52" t="s">
        <v>837</v>
      </c>
      <c r="B5" s="53" t="s">
        <v>836</v>
      </c>
      <c r="C5" s="57" t="s">
        <v>1465</v>
      </c>
      <c r="D5" s="53">
        <v>4.6000000000000001E-4</v>
      </c>
      <c r="E5" s="53">
        <v>7.4999999999999997E-2</v>
      </c>
      <c r="F5" s="54">
        <v>3.8E-3</v>
      </c>
      <c r="G5" s="15" t="str">
        <f t="shared" si="0"/>
        <v>2-Acetylaminofluorene</v>
      </c>
    </row>
    <row r="6" spans="1:7" x14ac:dyDescent="0.3">
      <c r="A6" s="52" t="s">
        <v>259</v>
      </c>
      <c r="B6" s="53" t="s">
        <v>258</v>
      </c>
      <c r="C6" s="57" t="s">
        <v>1466</v>
      </c>
      <c r="D6" s="53">
        <v>0.35</v>
      </c>
      <c r="E6" s="53">
        <v>2.5999999999999999E-2</v>
      </c>
      <c r="F6" s="54">
        <v>1.2999999999999999E-3</v>
      </c>
      <c r="G6" s="15" t="str">
        <f t="shared" si="0"/>
        <v>Acrolein</v>
      </c>
    </row>
    <row r="7" spans="1:7" x14ac:dyDescent="0.3">
      <c r="A7" s="52" t="s">
        <v>1277</v>
      </c>
      <c r="B7" s="53" t="s">
        <v>1276</v>
      </c>
      <c r="C7" s="57" t="s">
        <v>1465</v>
      </c>
      <c r="D7" s="53">
        <v>6.0000000000000001E-3</v>
      </c>
      <c r="E7" s="53">
        <v>0.98</v>
      </c>
      <c r="F7" s="54">
        <v>4.9000000000000002E-2</v>
      </c>
      <c r="G7" s="15" t="str">
        <f t="shared" si="0"/>
        <v>Acrylamide</v>
      </c>
    </row>
    <row r="8" spans="1:7" x14ac:dyDescent="0.3">
      <c r="A8" s="52" t="s">
        <v>1280</v>
      </c>
      <c r="B8" s="53" t="s">
        <v>1279</v>
      </c>
      <c r="C8" s="53" t="s">
        <v>1466</v>
      </c>
      <c r="D8" s="53">
        <v>1</v>
      </c>
      <c r="E8" s="53">
        <v>7.3999999999999996E-2</v>
      </c>
      <c r="F8" s="54">
        <v>3.7000000000000002E-3</v>
      </c>
      <c r="G8" s="15" t="str">
        <f t="shared" si="0"/>
        <v>Acrylic acid</v>
      </c>
    </row>
    <row r="9" spans="1:7" x14ac:dyDescent="0.3">
      <c r="A9" s="56" t="s">
        <v>267</v>
      </c>
      <c r="B9" s="57" t="s">
        <v>266</v>
      </c>
      <c r="C9" s="53" t="s">
        <v>1465</v>
      </c>
      <c r="D9" s="59">
        <v>3.3999999999999998E-3</v>
      </c>
      <c r="E9" s="57">
        <v>0.56000000000000005</v>
      </c>
      <c r="F9" s="54">
        <v>2.8000000000000001E-2</v>
      </c>
      <c r="G9" s="15" t="str">
        <f t="shared" si="0"/>
        <v>Acrylonitrile</v>
      </c>
    </row>
    <row r="10" spans="1:7" x14ac:dyDescent="0.3">
      <c r="A10" s="52" t="s">
        <v>1467</v>
      </c>
      <c r="B10" s="53" t="s">
        <v>1468</v>
      </c>
      <c r="C10" s="53" t="s">
        <v>1465</v>
      </c>
      <c r="D10" s="53">
        <v>3.9999999999999998E-7</v>
      </c>
      <c r="E10" s="53">
        <v>6.4999999999999994E-5</v>
      </c>
      <c r="F10" s="54">
        <v>3.1999999999999999E-6</v>
      </c>
      <c r="G10" s="15" t="str">
        <f t="shared" si="0"/>
        <v>Actinomycin D</v>
      </c>
    </row>
    <row r="11" spans="1:7" x14ac:dyDescent="0.3">
      <c r="A11" s="52" t="s">
        <v>1469</v>
      </c>
      <c r="B11" s="53" t="s">
        <v>1470</v>
      </c>
      <c r="C11" s="57" t="s">
        <v>1465</v>
      </c>
      <c r="D11" s="53">
        <v>0.2</v>
      </c>
      <c r="E11" s="53">
        <v>32</v>
      </c>
      <c r="F11" s="54">
        <v>1.6</v>
      </c>
      <c r="G11" s="15" t="str">
        <f t="shared" si="0"/>
        <v>Alar (daminsozide)</v>
      </c>
    </row>
    <row r="12" spans="1:7" x14ac:dyDescent="0.3">
      <c r="A12" s="56" t="s">
        <v>742</v>
      </c>
      <c r="B12" s="57" t="s">
        <v>741</v>
      </c>
      <c r="C12" s="57" t="s">
        <v>1465</v>
      </c>
      <c r="D12" s="57">
        <v>2.0000000000000001E-4</v>
      </c>
      <c r="E12" s="57">
        <v>3.3000000000000002E-2</v>
      </c>
      <c r="F12" s="58">
        <v>1.6999999999999999E-3</v>
      </c>
      <c r="G12" s="15" t="str">
        <f t="shared" si="0"/>
        <v>Aldrin</v>
      </c>
    </row>
    <row r="13" spans="1:7" x14ac:dyDescent="0.3">
      <c r="A13" s="52" t="s">
        <v>261</v>
      </c>
      <c r="B13" s="53" t="s">
        <v>260</v>
      </c>
      <c r="C13" s="57" t="s">
        <v>1465</v>
      </c>
      <c r="D13" s="55">
        <v>0.17</v>
      </c>
      <c r="E13" s="53">
        <v>27</v>
      </c>
      <c r="F13" s="60">
        <v>1.4</v>
      </c>
      <c r="G13" s="15" t="str">
        <f t="shared" si="0"/>
        <v>Allyl chloride</v>
      </c>
    </row>
    <row r="14" spans="1:7" ht="22.8" x14ac:dyDescent="0.3">
      <c r="A14" s="52" t="s">
        <v>1471</v>
      </c>
      <c r="B14" s="53" t="s">
        <v>1472</v>
      </c>
      <c r="C14" s="57" t="s">
        <v>1465</v>
      </c>
      <c r="D14" s="55">
        <v>4.4999999999999998E-2</v>
      </c>
      <c r="E14" s="53">
        <v>7.4</v>
      </c>
      <c r="F14" s="60">
        <v>0.37</v>
      </c>
      <c r="G14" s="15" t="str">
        <f t="shared" si="0"/>
        <v>3-Amino-9-ethylcarbazole hydrochloride</v>
      </c>
    </row>
    <row r="15" spans="1:7" ht="24" x14ac:dyDescent="0.3">
      <c r="A15" s="56" t="s">
        <v>1473</v>
      </c>
      <c r="B15" s="57" t="s">
        <v>1474</v>
      </c>
      <c r="C15" s="57" t="s">
        <v>1465</v>
      </c>
      <c r="D15" s="59">
        <v>2.8999999999999998E-3</v>
      </c>
      <c r="E15" s="57">
        <v>0.48</v>
      </c>
      <c r="F15" s="61">
        <v>2.4E-2</v>
      </c>
      <c r="G15" s="15" t="str">
        <f t="shared" si="0"/>
        <v>2-Amino-3-methyl-9H-pyrido[2,3-b]indole</v>
      </c>
    </row>
    <row r="16" spans="1:7" ht="22.8" x14ac:dyDescent="0.3">
      <c r="A16" s="52" t="s">
        <v>1475</v>
      </c>
      <c r="B16" s="53" t="s">
        <v>1476</v>
      </c>
      <c r="C16" s="57" t="s">
        <v>1465</v>
      </c>
      <c r="D16" s="55">
        <v>2.3E-2</v>
      </c>
      <c r="E16" s="55">
        <v>3.8</v>
      </c>
      <c r="F16" s="60">
        <v>0.19</v>
      </c>
      <c r="G16" s="15" t="str">
        <f t="shared" si="0"/>
        <v>1-Amino-2-methylanthraquinone</v>
      </c>
    </row>
    <row r="17" spans="1:7" ht="22.8" x14ac:dyDescent="0.3">
      <c r="A17" s="52" t="s">
        <v>1477</v>
      </c>
      <c r="B17" s="53" t="s">
        <v>1478</v>
      </c>
      <c r="C17" s="57" t="s">
        <v>1465</v>
      </c>
      <c r="D17" s="55">
        <v>2.5000000000000001E-3</v>
      </c>
      <c r="E17" s="55">
        <v>0.41</v>
      </c>
      <c r="F17" s="60">
        <v>0.02</v>
      </c>
      <c r="G17" s="15" t="str">
        <f t="shared" si="0"/>
        <v>2-Amino-3-methylimidazo-[4,5-f]quinoline</v>
      </c>
    </row>
    <row r="18" spans="1:7" ht="22.8" x14ac:dyDescent="0.3">
      <c r="A18" s="52" t="s">
        <v>1479</v>
      </c>
      <c r="B18" s="53" t="s">
        <v>1480</v>
      </c>
      <c r="C18" s="57" t="s">
        <v>1465</v>
      </c>
      <c r="D18" s="55">
        <v>2.2000000000000001E-4</v>
      </c>
      <c r="E18" s="55">
        <v>3.5000000000000003E-2</v>
      </c>
      <c r="F18" s="60">
        <v>1.8E-3</v>
      </c>
      <c r="G18" s="15" t="str">
        <f t="shared" si="0"/>
        <v>2-Amino-5-(5-nitro-2-furyl)-1,3,4-thiadiazol</v>
      </c>
    </row>
    <row r="19" spans="1:7" ht="22.8" x14ac:dyDescent="0.3">
      <c r="A19" s="52" t="s">
        <v>1481</v>
      </c>
      <c r="B19" s="53" t="s">
        <v>1482</v>
      </c>
      <c r="C19" s="57" t="s">
        <v>1465</v>
      </c>
      <c r="D19" s="55">
        <v>8.6999999999999994E-3</v>
      </c>
      <c r="E19" s="55">
        <v>1.4</v>
      </c>
      <c r="F19" s="60">
        <v>7.0999999999999994E-2</v>
      </c>
      <c r="G19" s="15" t="str">
        <f t="shared" si="0"/>
        <v>A-alpha-c(2-amino-9h-pyrido[2,3-b]indole)</v>
      </c>
    </row>
    <row r="20" spans="1:7" x14ac:dyDescent="0.3">
      <c r="A20" s="52" t="s">
        <v>402</v>
      </c>
      <c r="B20" s="53" t="s">
        <v>401</v>
      </c>
      <c r="C20" s="57" t="s">
        <v>1465</v>
      </c>
      <c r="D20" s="55">
        <v>6.4000000000000001E-2</v>
      </c>
      <c r="E20" s="55">
        <v>10</v>
      </c>
      <c r="F20" s="60">
        <v>0.52</v>
      </c>
      <c r="G20" s="15" t="str">
        <f t="shared" si="0"/>
        <v>2-Aminoanthraquinone</v>
      </c>
    </row>
    <row r="21" spans="1:7" x14ac:dyDescent="0.3">
      <c r="A21" s="52" t="s">
        <v>1427</v>
      </c>
      <c r="B21" s="53" t="s">
        <v>1426</v>
      </c>
      <c r="C21" s="57" t="s">
        <v>1465</v>
      </c>
      <c r="D21" s="55">
        <v>9.1E-4</v>
      </c>
      <c r="E21" s="55">
        <v>0.15</v>
      </c>
      <c r="F21" s="60">
        <v>7.4000000000000003E-3</v>
      </c>
      <c r="G21" s="15" t="str">
        <f t="shared" si="0"/>
        <v>o-Aminoazotoluene</v>
      </c>
    </row>
    <row r="22" spans="1:7" x14ac:dyDescent="0.3">
      <c r="A22" s="52" t="s">
        <v>1379</v>
      </c>
      <c r="B22" s="53" t="s">
        <v>1378</v>
      </c>
      <c r="C22" s="57" t="s">
        <v>1465</v>
      </c>
      <c r="D22" s="55">
        <v>1.7000000000000001E-4</v>
      </c>
      <c r="E22" s="53">
        <v>2.7E-2</v>
      </c>
      <c r="F22" s="60">
        <v>1.4E-3</v>
      </c>
      <c r="G22" s="15" t="str">
        <f t="shared" si="0"/>
        <v>4-Aminobiphenyl</v>
      </c>
    </row>
    <row r="23" spans="1:7" x14ac:dyDescent="0.3">
      <c r="A23" s="52" t="s">
        <v>941</v>
      </c>
      <c r="B23" s="53" t="s">
        <v>940</v>
      </c>
      <c r="C23" s="57" t="s">
        <v>1465</v>
      </c>
      <c r="D23" s="55">
        <v>3.7000000000000002E-3</v>
      </c>
      <c r="E23" s="55">
        <v>0.6</v>
      </c>
      <c r="F23" s="60">
        <v>0.03</v>
      </c>
      <c r="G23" s="15" t="str">
        <f t="shared" si="0"/>
        <v>Amitrole</v>
      </c>
    </row>
    <row r="24" spans="1:7" x14ac:dyDescent="0.3">
      <c r="A24" s="52" t="s">
        <v>169</v>
      </c>
      <c r="B24" s="53" t="s">
        <v>168</v>
      </c>
      <c r="C24" s="53" t="s">
        <v>1466</v>
      </c>
      <c r="D24" s="53">
        <v>500</v>
      </c>
      <c r="E24" s="53">
        <v>37</v>
      </c>
      <c r="F24" s="54">
        <v>1.9</v>
      </c>
      <c r="G24" s="15" t="str">
        <f t="shared" si="0"/>
        <v>Ammonia</v>
      </c>
    </row>
    <row r="25" spans="1:7" x14ac:dyDescent="0.3">
      <c r="A25" s="52" t="s">
        <v>1483</v>
      </c>
      <c r="B25" s="53" t="s">
        <v>1484</v>
      </c>
      <c r="C25" s="57" t="s">
        <v>1485</v>
      </c>
      <c r="D25" s="53">
        <v>120</v>
      </c>
      <c r="E25" s="53">
        <v>0.22</v>
      </c>
      <c r="F25" s="54">
        <v>1.0999999999999999E-2</v>
      </c>
      <c r="G25" s="15" t="str">
        <f t="shared" si="0"/>
        <v>Ammonium bisulfate</v>
      </c>
    </row>
    <row r="26" spans="1:7" x14ac:dyDescent="0.3">
      <c r="A26" s="52" t="s">
        <v>1486</v>
      </c>
      <c r="B26" s="53" t="s">
        <v>946</v>
      </c>
      <c r="C26" s="57" t="s">
        <v>1465</v>
      </c>
      <c r="D26" s="53">
        <v>0.63</v>
      </c>
      <c r="E26" s="53">
        <v>100</v>
      </c>
      <c r="F26" s="54">
        <v>5.0999999999999996</v>
      </c>
      <c r="G26" s="15" t="str">
        <f t="shared" si="0"/>
        <v>Aniline</v>
      </c>
    </row>
    <row r="27" spans="1:7" x14ac:dyDescent="0.3">
      <c r="A27" s="52" t="s">
        <v>1371</v>
      </c>
      <c r="B27" s="53" t="s">
        <v>1370</v>
      </c>
      <c r="C27" s="57" t="s">
        <v>1465</v>
      </c>
      <c r="D27" s="53">
        <v>2.5000000000000001E-2</v>
      </c>
      <c r="E27" s="53">
        <v>4.0999999999999996</v>
      </c>
      <c r="F27" s="54">
        <v>0.2</v>
      </c>
      <c r="G27" s="15" t="str">
        <f t="shared" si="0"/>
        <v>o-Anisidine</v>
      </c>
    </row>
    <row r="28" spans="1:7" x14ac:dyDescent="0.3">
      <c r="A28" s="56" t="s">
        <v>1487</v>
      </c>
      <c r="B28" s="57" t="s">
        <v>1488</v>
      </c>
      <c r="C28" s="57" t="s">
        <v>1465</v>
      </c>
      <c r="D28" s="57">
        <v>3.2000000000000001E-2</v>
      </c>
      <c r="E28" s="57">
        <v>5.2</v>
      </c>
      <c r="F28" s="58">
        <v>0.26</v>
      </c>
      <c r="G28" s="15" t="str">
        <f t="shared" si="0"/>
        <v>o-Anisidine hydrochloride</v>
      </c>
    </row>
    <row r="29" spans="1:7" x14ac:dyDescent="0.3">
      <c r="A29" s="52" t="s">
        <v>1489</v>
      </c>
      <c r="B29" s="53" t="s">
        <v>495</v>
      </c>
      <c r="C29" s="53" t="s">
        <v>1466</v>
      </c>
      <c r="D29" s="55">
        <v>0.2</v>
      </c>
      <c r="E29" s="53">
        <v>1.4999999999999999E-2</v>
      </c>
      <c r="F29" s="60">
        <v>7.3999999999999999E-4</v>
      </c>
      <c r="G29" s="15" t="str">
        <f t="shared" si="0"/>
        <v>Antimony trioxide</v>
      </c>
    </row>
    <row r="30" spans="1:7" x14ac:dyDescent="0.3">
      <c r="A30" s="52" t="s">
        <v>1490</v>
      </c>
      <c r="B30" s="53" t="s">
        <v>1491</v>
      </c>
      <c r="C30" s="57" t="s">
        <v>1465</v>
      </c>
      <c r="D30" s="53">
        <v>0.12</v>
      </c>
      <c r="E30" s="53">
        <v>19</v>
      </c>
      <c r="F30" s="54">
        <v>0.94</v>
      </c>
      <c r="G30" s="15" t="str">
        <f t="shared" si="0"/>
        <v>Aramite</v>
      </c>
    </row>
    <row r="31" spans="1:7" ht="22.8" x14ac:dyDescent="0.3">
      <c r="A31" s="52" t="s">
        <v>1492</v>
      </c>
      <c r="B31" s="53" t="s">
        <v>1493</v>
      </c>
      <c r="C31" s="53" t="s">
        <v>1465</v>
      </c>
      <c r="D31" s="53">
        <v>2.9E-4</v>
      </c>
      <c r="E31" s="53">
        <v>4.8000000000000001E-2</v>
      </c>
      <c r="F31" s="54">
        <v>2.3999999999999998E-3</v>
      </c>
      <c r="G31" s="15" t="str">
        <f t="shared" si="0"/>
        <v>Tris(1-aziridinyl)phosphine sulfide</v>
      </c>
    </row>
    <row r="32" spans="1:7" ht="22.8" x14ac:dyDescent="0.3">
      <c r="A32" s="52" t="s">
        <v>1494</v>
      </c>
      <c r="B32" s="53" t="s">
        <v>1495</v>
      </c>
      <c r="C32" s="57" t="s">
        <v>1465</v>
      </c>
      <c r="D32" s="53">
        <v>2.9999999999999997E-4</v>
      </c>
      <c r="E32" s="53">
        <v>4.9000000000000002E-2</v>
      </c>
      <c r="F32" s="54">
        <v>2.5000000000000001E-3</v>
      </c>
      <c r="G32" s="15" t="str">
        <f t="shared" si="0"/>
        <v>Arsenic &amp; inorganic arsenic compounds, NOS</v>
      </c>
    </row>
    <row r="33" spans="1:7" x14ac:dyDescent="0.3">
      <c r="A33" s="52" t="s">
        <v>1238</v>
      </c>
      <c r="B33" s="53" t="s">
        <v>1237</v>
      </c>
      <c r="C33" s="57" t="s">
        <v>1466</v>
      </c>
      <c r="D33" s="53">
        <v>1.4999999999999999E-2</v>
      </c>
      <c r="E33" s="53">
        <v>1.1000000000000001E-3</v>
      </c>
      <c r="F33" s="54">
        <v>5.5999999999999999E-5</v>
      </c>
      <c r="G33" s="15" t="str">
        <f t="shared" si="0"/>
        <v>Arsine</v>
      </c>
    </row>
    <row r="34" spans="1:7" ht="22.8" x14ac:dyDescent="0.3">
      <c r="A34" s="52" t="s">
        <v>1496</v>
      </c>
      <c r="B34" s="53" t="s">
        <v>529</v>
      </c>
      <c r="C34" s="57" t="s">
        <v>1465</v>
      </c>
      <c r="D34" s="53">
        <v>4.3000000000000003E-6</v>
      </c>
      <c r="E34" s="53">
        <v>7.1000000000000002E-4</v>
      </c>
      <c r="F34" s="54">
        <v>3.4999999999999997E-5</v>
      </c>
      <c r="G34" s="15" t="str">
        <f t="shared" si="0"/>
        <v>Asbestos (fibers/cubic centimeter)</v>
      </c>
    </row>
    <row r="35" spans="1:7" ht="22.8" x14ac:dyDescent="0.3">
      <c r="A35" s="52" t="s">
        <v>1497</v>
      </c>
      <c r="B35" s="53" t="s">
        <v>1498</v>
      </c>
      <c r="C35" s="57" t="s">
        <v>1465</v>
      </c>
      <c r="D35" s="53">
        <v>4.3000000000000003E-6</v>
      </c>
      <c r="E35" s="53">
        <v>7.1000000000000002E-4</v>
      </c>
      <c r="F35" s="54">
        <v>3.4999999999999997E-5</v>
      </c>
      <c r="G35" s="15" t="str">
        <f t="shared" si="0"/>
        <v>Actinolite asbestos (fibers/cubic centimeter)</v>
      </c>
    </row>
    <row r="36" spans="1:7" ht="22.8" x14ac:dyDescent="0.3">
      <c r="A36" s="52" t="s">
        <v>1499</v>
      </c>
      <c r="B36" s="53" t="s">
        <v>1500</v>
      </c>
      <c r="C36" s="57" t="s">
        <v>1465</v>
      </c>
      <c r="D36" s="53">
        <v>4.3000000000000003E-6</v>
      </c>
      <c r="E36" s="53">
        <v>7.1000000000000002E-4</v>
      </c>
      <c r="F36" s="54">
        <v>3.4999999999999997E-5</v>
      </c>
      <c r="G36" s="15" t="str">
        <f t="shared" si="0"/>
        <v>Amosite asbestos (fibers/cubic centimeter)</v>
      </c>
    </row>
    <row r="37" spans="1:7" ht="22.8" x14ac:dyDescent="0.3">
      <c r="A37" s="52" t="s">
        <v>1501</v>
      </c>
      <c r="B37" s="53" t="s">
        <v>1502</v>
      </c>
      <c r="C37" s="57" t="s">
        <v>1465</v>
      </c>
      <c r="D37" s="55">
        <v>4.3000000000000003E-6</v>
      </c>
      <c r="E37" s="53">
        <v>7.1000000000000002E-4</v>
      </c>
      <c r="F37" s="54">
        <v>3.4999999999999997E-5</v>
      </c>
      <c r="G37" s="15" t="str">
        <f t="shared" si="0"/>
        <v>Anthophylite asbestos (fibers/cubic centimeter)</v>
      </c>
    </row>
    <row r="38" spans="1:7" ht="22.8" x14ac:dyDescent="0.3">
      <c r="A38" s="52" t="s">
        <v>1503</v>
      </c>
      <c r="B38" s="53" t="s">
        <v>1504</v>
      </c>
      <c r="C38" s="53" t="s">
        <v>1465</v>
      </c>
      <c r="D38" s="53">
        <v>4.3000000000000003E-6</v>
      </c>
      <c r="E38" s="53">
        <v>7.1000000000000002E-4</v>
      </c>
      <c r="F38" s="54">
        <v>3.4999999999999997E-5</v>
      </c>
      <c r="G38" s="15" t="str">
        <f t="shared" si="0"/>
        <v>Chrysotile asbestos (fibers/cubic centimeter)</v>
      </c>
    </row>
    <row r="39" spans="1:7" ht="22.8" x14ac:dyDescent="0.3">
      <c r="A39" s="52" t="s">
        <v>1505</v>
      </c>
      <c r="B39" s="53" t="s">
        <v>1506</v>
      </c>
      <c r="C39" s="57" t="s">
        <v>1465</v>
      </c>
      <c r="D39" s="53">
        <v>4.3000000000000003E-6</v>
      </c>
      <c r="E39" s="53">
        <v>7.1000000000000002E-4</v>
      </c>
      <c r="F39" s="54">
        <v>3.4999999999999997E-5</v>
      </c>
      <c r="G39" s="15" t="str">
        <f t="shared" si="0"/>
        <v>Crocidolite asbestos (fibers/cubic centimeter)</v>
      </c>
    </row>
    <row r="40" spans="1:7" ht="34.200000000000003" x14ac:dyDescent="0.3">
      <c r="A40" s="52" t="s">
        <v>1507</v>
      </c>
      <c r="B40" s="53" t="s">
        <v>1495</v>
      </c>
      <c r="C40" s="53" t="s">
        <v>1465</v>
      </c>
      <c r="D40" s="53">
        <v>5.9000000000000003E-6</v>
      </c>
      <c r="E40" s="53">
        <v>9.6000000000000002E-4</v>
      </c>
      <c r="F40" s="54">
        <v>4.8000000000000001E-5</v>
      </c>
      <c r="G40" s="15" t="str">
        <f t="shared" si="0"/>
        <v>Libby amphibole asbestos and amphiboles, NOS (fibers/cubic centimeter)</v>
      </c>
    </row>
    <row r="41" spans="1:7" ht="24" x14ac:dyDescent="0.3">
      <c r="A41" s="56" t="s">
        <v>1508</v>
      </c>
      <c r="B41" s="57" t="s">
        <v>1509</v>
      </c>
      <c r="C41" s="57" t="s">
        <v>1465</v>
      </c>
      <c r="D41" s="57">
        <v>4.3000000000000003E-6</v>
      </c>
      <c r="E41" s="57">
        <v>7.1000000000000002E-4</v>
      </c>
      <c r="F41" s="58">
        <v>3.4999999999999997E-5</v>
      </c>
      <c r="G41" s="15" t="str">
        <f t="shared" si="0"/>
        <v>Tremolite asbestos (fibers/cubic centimeter)</v>
      </c>
    </row>
    <row r="42" spans="1:7" x14ac:dyDescent="0.3">
      <c r="A42" s="52" t="s">
        <v>1510</v>
      </c>
      <c r="B42" s="53" t="s">
        <v>1511</v>
      </c>
      <c r="C42" s="53" t="s">
        <v>1465</v>
      </c>
      <c r="D42" s="55">
        <v>4.0000000000000001E-3</v>
      </c>
      <c r="E42" s="53">
        <v>0.65</v>
      </c>
      <c r="F42" s="54">
        <v>3.2000000000000001E-2</v>
      </c>
      <c r="G42" s="15" t="str">
        <f t="shared" si="0"/>
        <v>Auramine</v>
      </c>
    </row>
    <row r="43" spans="1:7" x14ac:dyDescent="0.3">
      <c r="A43" s="52" t="s">
        <v>1512</v>
      </c>
      <c r="B43" s="53" t="s">
        <v>1513</v>
      </c>
      <c r="C43" s="57" t="s">
        <v>1465</v>
      </c>
      <c r="D43" s="53">
        <v>3.2000000000000003E-4</v>
      </c>
      <c r="E43" s="53">
        <v>5.1999999999999998E-2</v>
      </c>
      <c r="F43" s="54">
        <v>2.5999999999999999E-3</v>
      </c>
      <c r="G43" s="15" t="str">
        <f t="shared" si="0"/>
        <v>Azaserine</v>
      </c>
    </row>
    <row r="44" spans="1:7" x14ac:dyDescent="0.3">
      <c r="A44" s="52" t="s">
        <v>1514</v>
      </c>
      <c r="B44" s="53" t="s">
        <v>1515</v>
      </c>
      <c r="C44" s="57" t="s">
        <v>1465</v>
      </c>
      <c r="D44" s="55">
        <v>2E-3</v>
      </c>
      <c r="E44" s="53">
        <v>0.32</v>
      </c>
      <c r="F44" s="54">
        <v>1.6E-2</v>
      </c>
      <c r="G44" s="15" t="str">
        <f t="shared" si="0"/>
        <v>Azathioprine</v>
      </c>
    </row>
    <row r="45" spans="1:7" x14ac:dyDescent="0.3">
      <c r="A45" s="52" t="s">
        <v>1516</v>
      </c>
      <c r="B45" s="53" t="s">
        <v>1517</v>
      </c>
      <c r="C45" s="57" t="s">
        <v>1465</v>
      </c>
      <c r="D45" s="55">
        <v>3.2000000000000001E-2</v>
      </c>
      <c r="E45" s="53">
        <v>5.2</v>
      </c>
      <c r="F45" s="54">
        <v>0.26</v>
      </c>
      <c r="G45" s="15" t="str">
        <f t="shared" si="0"/>
        <v>Azobenzene</v>
      </c>
    </row>
    <row r="46" spans="1:7" x14ac:dyDescent="0.3">
      <c r="A46" s="52" t="s">
        <v>1518</v>
      </c>
      <c r="B46" s="53" t="s">
        <v>1519</v>
      </c>
      <c r="C46" s="57" t="s">
        <v>1465</v>
      </c>
      <c r="D46" s="53">
        <v>2.0000000000000002E-5</v>
      </c>
      <c r="E46" s="53">
        <v>3.2000000000000002E-3</v>
      </c>
      <c r="F46" s="54">
        <v>1.6000000000000001E-4</v>
      </c>
      <c r="G46" s="15" t="str">
        <f t="shared" si="0"/>
        <v>Barium chromate</v>
      </c>
    </row>
    <row r="47" spans="1:7" x14ac:dyDescent="0.3">
      <c r="A47" s="52" t="s">
        <v>1520</v>
      </c>
      <c r="B47" s="53" t="s">
        <v>884</v>
      </c>
      <c r="C47" s="57" t="s">
        <v>1465</v>
      </c>
      <c r="D47" s="53">
        <v>5.4999999999999997E-3</v>
      </c>
      <c r="E47" s="53">
        <v>0.89</v>
      </c>
      <c r="F47" s="54">
        <v>4.4999999999999998E-2</v>
      </c>
      <c r="G47" s="15" t="str">
        <f t="shared" si="0"/>
        <v>Benz[a]anthracene</v>
      </c>
    </row>
    <row r="48" spans="1:7" x14ac:dyDescent="0.3">
      <c r="A48" s="52" t="s">
        <v>88</v>
      </c>
      <c r="B48" s="53" t="s">
        <v>87</v>
      </c>
      <c r="C48" s="57" t="s">
        <v>1465</v>
      </c>
      <c r="D48" s="53">
        <v>0.13</v>
      </c>
      <c r="E48" s="53">
        <v>21</v>
      </c>
      <c r="F48" s="54">
        <v>1</v>
      </c>
      <c r="G48" s="15" t="str">
        <f t="shared" si="0"/>
        <v>Benzene</v>
      </c>
    </row>
    <row r="49" spans="1:7" x14ac:dyDescent="0.3">
      <c r="A49" s="52" t="s">
        <v>1521</v>
      </c>
      <c r="B49" s="53" t="s">
        <v>1382</v>
      </c>
      <c r="C49" s="57" t="s">
        <v>1465</v>
      </c>
      <c r="D49" s="53">
        <v>4.3000000000000003E-6</v>
      </c>
      <c r="E49" s="53">
        <v>6.9999999999999999E-4</v>
      </c>
      <c r="F49" s="54">
        <v>3.4999999999999997E-5</v>
      </c>
      <c r="G49" s="15" t="str">
        <f t="shared" si="0"/>
        <v>Benzidine</v>
      </c>
    </row>
    <row r="50" spans="1:7" x14ac:dyDescent="0.3">
      <c r="A50" s="52" t="s">
        <v>1522</v>
      </c>
      <c r="B50" s="53" t="s">
        <v>814</v>
      </c>
      <c r="C50" s="57" t="s">
        <v>1465</v>
      </c>
      <c r="D50" s="55">
        <v>1E-3</v>
      </c>
      <c r="E50" s="53">
        <v>0.16</v>
      </c>
      <c r="F50" s="54">
        <v>8.2000000000000007E-3</v>
      </c>
      <c r="G50" s="15" t="str">
        <f t="shared" si="0"/>
        <v>Benzo[a]pyrene</v>
      </c>
    </row>
    <row r="51" spans="1:7" x14ac:dyDescent="0.3">
      <c r="A51" s="52" t="s">
        <v>1523</v>
      </c>
      <c r="B51" s="53" t="s">
        <v>657</v>
      </c>
      <c r="C51" s="57" t="s">
        <v>1465</v>
      </c>
      <c r="D51" s="55">
        <v>5.4999999999999997E-3</v>
      </c>
      <c r="E51" s="55">
        <v>0.89</v>
      </c>
      <c r="F51" s="60">
        <v>4.4999999999999998E-2</v>
      </c>
      <c r="G51" s="15" t="str">
        <f t="shared" si="0"/>
        <v>Benzo[b]fluoranthene</v>
      </c>
    </row>
    <row r="52" spans="1:7" x14ac:dyDescent="0.3">
      <c r="A52" s="52" t="s">
        <v>1524</v>
      </c>
      <c r="B52" s="53" t="s">
        <v>655</v>
      </c>
      <c r="C52" s="57" t="s">
        <v>1465</v>
      </c>
      <c r="D52" s="55">
        <v>5.4999999999999997E-3</v>
      </c>
      <c r="E52" s="55">
        <v>0.89</v>
      </c>
      <c r="F52" s="60">
        <v>4.4999999999999998E-2</v>
      </c>
      <c r="G52" s="15" t="str">
        <f t="shared" si="0"/>
        <v>Benzo[j]fluoranthene</v>
      </c>
    </row>
    <row r="53" spans="1:7" x14ac:dyDescent="0.3">
      <c r="A53" s="52" t="s">
        <v>1525</v>
      </c>
      <c r="B53" s="53" t="s">
        <v>659</v>
      </c>
      <c r="C53" s="53" t="s">
        <v>1465</v>
      </c>
      <c r="D53" s="55">
        <v>5.4999999999999997E-3</v>
      </c>
      <c r="E53" s="55">
        <v>0.89</v>
      </c>
      <c r="F53" s="60">
        <v>4.4999999999999998E-2</v>
      </c>
      <c r="G53" s="15" t="str">
        <f t="shared" si="0"/>
        <v>Benzo[k]fluoranthene</v>
      </c>
    </row>
    <row r="54" spans="1:7" x14ac:dyDescent="0.3">
      <c r="A54" s="52" t="s">
        <v>185</v>
      </c>
      <c r="B54" s="53" t="s">
        <v>184</v>
      </c>
      <c r="C54" s="57" t="s">
        <v>1465</v>
      </c>
      <c r="D54" s="55">
        <v>0.02</v>
      </c>
      <c r="E54" s="55">
        <v>3.3</v>
      </c>
      <c r="F54" s="60">
        <v>0.17</v>
      </c>
      <c r="G54" s="15" t="str">
        <f t="shared" si="0"/>
        <v>Benzyl chloride</v>
      </c>
    </row>
    <row r="55" spans="1:7" x14ac:dyDescent="0.3">
      <c r="A55" s="52" t="s">
        <v>1526</v>
      </c>
      <c r="B55" s="53" t="s">
        <v>619</v>
      </c>
      <c r="C55" s="57" t="s">
        <v>1465</v>
      </c>
      <c r="D55" s="55">
        <v>0.18</v>
      </c>
      <c r="E55" s="55">
        <v>28</v>
      </c>
      <c r="F55" s="60">
        <v>1.4</v>
      </c>
      <c r="G55" s="15" t="str">
        <f t="shared" si="0"/>
        <v>Benzyl violet 4B</v>
      </c>
    </row>
    <row r="56" spans="1:7" x14ac:dyDescent="0.3">
      <c r="A56" s="52" t="s">
        <v>1527</v>
      </c>
      <c r="B56" s="53" t="s">
        <v>1495</v>
      </c>
      <c r="C56" s="57" t="s">
        <v>1465</v>
      </c>
      <c r="D56" s="53">
        <v>4.2000000000000002E-4</v>
      </c>
      <c r="E56" s="53">
        <v>6.8000000000000005E-2</v>
      </c>
      <c r="F56" s="54">
        <v>3.3999999999999998E-3</v>
      </c>
      <c r="G56" s="15" t="str">
        <f t="shared" si="0"/>
        <v>Beryllium &amp; compounds, NOS</v>
      </c>
    </row>
    <row r="57" spans="1:7" x14ac:dyDescent="0.3">
      <c r="A57" s="52" t="s">
        <v>1528</v>
      </c>
      <c r="B57" s="53" t="s">
        <v>1529</v>
      </c>
      <c r="C57" s="57" t="s">
        <v>1465</v>
      </c>
      <c r="D57" s="53">
        <v>4.2000000000000002E-4</v>
      </c>
      <c r="E57" s="53">
        <v>6.8000000000000005E-2</v>
      </c>
      <c r="F57" s="54">
        <v>3.3999999999999998E-3</v>
      </c>
      <c r="G57" s="15" t="str">
        <f t="shared" si="0"/>
        <v>Beryllium oxide</v>
      </c>
    </row>
    <row r="58" spans="1:7" x14ac:dyDescent="0.3">
      <c r="A58" s="52" t="s">
        <v>1530</v>
      </c>
      <c r="B58" s="53" t="s">
        <v>1531</v>
      </c>
      <c r="C58" s="57" t="s">
        <v>1465</v>
      </c>
      <c r="D58" s="53">
        <v>1.1999999999999999E-6</v>
      </c>
      <c r="E58" s="53">
        <v>1.9000000000000001E-4</v>
      </c>
      <c r="F58" s="54">
        <v>9.3999999999999998E-6</v>
      </c>
      <c r="G58" s="15" t="str">
        <f t="shared" si="0"/>
        <v>Beryllium sulfate</v>
      </c>
    </row>
    <row r="59" spans="1:7" x14ac:dyDescent="0.3">
      <c r="A59" s="52" t="s">
        <v>1532</v>
      </c>
      <c r="B59" s="53" t="s">
        <v>739</v>
      </c>
      <c r="C59" s="57" t="s">
        <v>1465</v>
      </c>
      <c r="D59" s="53">
        <v>3.3999999999999998E-3</v>
      </c>
      <c r="E59" s="53">
        <v>0.56000000000000005</v>
      </c>
      <c r="F59" s="54">
        <v>2.8000000000000001E-2</v>
      </c>
      <c r="G59" s="15" t="str">
        <f t="shared" si="0"/>
        <v>beta-Butyrolactone</v>
      </c>
    </row>
    <row r="60" spans="1:7" x14ac:dyDescent="0.3">
      <c r="A60" s="52" t="s">
        <v>1533</v>
      </c>
      <c r="B60" s="53" t="s">
        <v>896</v>
      </c>
      <c r="C60" s="57" t="s">
        <v>1465</v>
      </c>
      <c r="D60" s="53">
        <v>2.5000000000000001E-4</v>
      </c>
      <c r="E60" s="53">
        <v>4.1000000000000002E-2</v>
      </c>
      <c r="F60" s="54">
        <v>2E-3</v>
      </c>
      <c r="G60" s="15" t="str">
        <f t="shared" si="0"/>
        <v>beta-Propiolactone</v>
      </c>
    </row>
    <row r="61" spans="1:7" x14ac:dyDescent="0.3">
      <c r="A61" s="52" t="s">
        <v>1534</v>
      </c>
      <c r="B61" s="53" t="s">
        <v>384</v>
      </c>
      <c r="C61" s="57" t="s">
        <v>1465</v>
      </c>
      <c r="D61" s="53">
        <v>1.4E-3</v>
      </c>
      <c r="E61" s="53">
        <v>0.23</v>
      </c>
      <c r="F61" s="54">
        <v>1.0999999999999999E-2</v>
      </c>
      <c r="G61" s="15" t="str">
        <f t="shared" si="0"/>
        <v>Bis(2-chloroethyl) ether</v>
      </c>
    </row>
    <row r="62" spans="1:7" x14ac:dyDescent="0.3">
      <c r="A62" s="52" t="s">
        <v>1535</v>
      </c>
      <c r="B62" s="53" t="s">
        <v>858</v>
      </c>
      <c r="C62" s="57" t="s">
        <v>1465</v>
      </c>
      <c r="D62" s="53">
        <v>7.7000000000000001E-5</v>
      </c>
      <c r="E62" s="53">
        <v>1.2E-2</v>
      </c>
      <c r="F62" s="54">
        <v>6.2E-4</v>
      </c>
      <c r="G62" s="15" t="str">
        <f t="shared" si="0"/>
        <v>Bis(chloromethyl) ether</v>
      </c>
    </row>
    <row r="63" spans="1:7" x14ac:dyDescent="0.3">
      <c r="A63" s="56" t="s">
        <v>1536</v>
      </c>
      <c r="B63" s="57" t="s">
        <v>1495</v>
      </c>
      <c r="C63" s="57" t="s">
        <v>1466</v>
      </c>
      <c r="D63" s="57">
        <v>300</v>
      </c>
      <c r="E63" s="57">
        <v>22</v>
      </c>
      <c r="F63" s="58">
        <v>1.1000000000000001</v>
      </c>
      <c r="G63" s="15" t="str">
        <f t="shared" si="0"/>
        <v>Boron &amp; compounds, NOS</v>
      </c>
    </row>
    <row r="64" spans="1:7" x14ac:dyDescent="0.3">
      <c r="A64" s="56" t="s">
        <v>1537</v>
      </c>
      <c r="B64" s="57" t="s">
        <v>1538</v>
      </c>
      <c r="C64" s="57" t="s">
        <v>1466</v>
      </c>
      <c r="D64" s="57">
        <v>60</v>
      </c>
      <c r="E64" s="57">
        <v>4.4000000000000004</v>
      </c>
      <c r="F64" s="58">
        <v>0.22</v>
      </c>
      <c r="G64" s="15" t="str">
        <f t="shared" si="0"/>
        <v>Bromobenzene</v>
      </c>
    </row>
    <row r="65" spans="1:7" x14ac:dyDescent="0.3">
      <c r="A65" s="52" t="s">
        <v>1539</v>
      </c>
      <c r="B65" s="53" t="s">
        <v>1540</v>
      </c>
      <c r="C65" s="53" t="s">
        <v>1465</v>
      </c>
      <c r="D65" s="53">
        <v>2.7E-2</v>
      </c>
      <c r="E65" s="53">
        <v>4.4000000000000004</v>
      </c>
      <c r="F65" s="54">
        <v>0.22</v>
      </c>
      <c r="G65" s="15" t="str">
        <f t="shared" si="0"/>
        <v>Bromodichloromethane</v>
      </c>
    </row>
    <row r="66" spans="1:7" x14ac:dyDescent="0.3">
      <c r="A66" s="56" t="s">
        <v>1105</v>
      </c>
      <c r="B66" s="57" t="s">
        <v>1104</v>
      </c>
      <c r="C66" s="57" t="s">
        <v>1465</v>
      </c>
      <c r="D66" s="57">
        <v>0.91</v>
      </c>
      <c r="E66" s="57">
        <v>150</v>
      </c>
      <c r="F66" s="58">
        <v>7.4</v>
      </c>
      <c r="G66" s="15" t="str">
        <f t="shared" si="0"/>
        <v>Bromoform</v>
      </c>
    </row>
    <row r="67" spans="1:7" ht="22.8" x14ac:dyDescent="0.3">
      <c r="A67" s="52" t="s">
        <v>1541</v>
      </c>
      <c r="B67" s="53" t="s">
        <v>1020</v>
      </c>
      <c r="C67" s="53" t="s">
        <v>1466</v>
      </c>
      <c r="D67" s="53">
        <v>5</v>
      </c>
      <c r="E67" s="53">
        <v>0.37</v>
      </c>
      <c r="F67" s="54">
        <v>1.9E-2</v>
      </c>
      <c r="G67" s="15" t="str">
        <f t="shared" ref="G67:G130" si="1">A67</f>
        <v>Bromomethane (methyl bromide)</v>
      </c>
    </row>
    <row r="68" spans="1:7" x14ac:dyDescent="0.3">
      <c r="A68" s="52" t="s">
        <v>1542</v>
      </c>
      <c r="B68" s="53" t="s">
        <v>1543</v>
      </c>
      <c r="C68" s="53" t="s">
        <v>1466</v>
      </c>
      <c r="D68" s="53">
        <v>100</v>
      </c>
      <c r="E68" s="53">
        <v>7.4</v>
      </c>
      <c r="F68" s="54">
        <v>0.37</v>
      </c>
      <c r="G68" s="15" t="str">
        <f t="shared" si="1"/>
        <v>1-Bromopropane</v>
      </c>
    </row>
    <row r="69" spans="1:7" x14ac:dyDescent="0.3">
      <c r="A69" s="52" t="s">
        <v>74</v>
      </c>
      <c r="B69" s="53" t="s">
        <v>73</v>
      </c>
      <c r="C69" s="53" t="s">
        <v>1465</v>
      </c>
      <c r="D69" s="53">
        <v>3.3000000000000002E-2</v>
      </c>
      <c r="E69" s="53">
        <v>5.4</v>
      </c>
      <c r="F69" s="54">
        <v>0.27</v>
      </c>
      <c r="G69" s="15" t="str">
        <f t="shared" si="1"/>
        <v>1,3-Butadiene</v>
      </c>
    </row>
    <row r="70" spans="1:7" x14ac:dyDescent="0.3">
      <c r="A70" s="52" t="s">
        <v>1544</v>
      </c>
      <c r="B70" s="53" t="s">
        <v>1545</v>
      </c>
      <c r="C70" s="57" t="s">
        <v>1465</v>
      </c>
      <c r="D70" s="53">
        <v>18</v>
      </c>
      <c r="E70" s="53">
        <v>2800</v>
      </c>
      <c r="F70" s="54">
        <v>140</v>
      </c>
      <c r="G70" s="15" t="str">
        <f t="shared" si="1"/>
        <v>Butylated hydroxyanisole</v>
      </c>
    </row>
    <row r="71" spans="1:7" ht="22.8" x14ac:dyDescent="0.3">
      <c r="A71" s="52" t="s">
        <v>1546</v>
      </c>
      <c r="B71" s="53" t="s">
        <v>1547</v>
      </c>
      <c r="C71" s="53" t="s">
        <v>1465</v>
      </c>
      <c r="D71" s="53">
        <v>1.4E-2</v>
      </c>
      <c r="E71" s="53">
        <v>2.2999999999999998</v>
      </c>
      <c r="F71" s="54">
        <v>0.11</v>
      </c>
      <c r="G71" s="15" t="str">
        <f t="shared" si="1"/>
        <v>C.I. basic red 9 monohydrochloride</v>
      </c>
    </row>
    <row r="72" spans="1:7" x14ac:dyDescent="0.3">
      <c r="A72" s="52" t="s">
        <v>1548</v>
      </c>
      <c r="B72" s="53" t="s">
        <v>1495</v>
      </c>
      <c r="C72" s="57" t="s">
        <v>1465</v>
      </c>
      <c r="D72" s="53">
        <v>2.4000000000000001E-4</v>
      </c>
      <c r="E72" s="53">
        <v>3.9E-2</v>
      </c>
      <c r="F72" s="54">
        <v>1.9E-3</v>
      </c>
      <c r="G72" s="15" t="str">
        <f t="shared" si="1"/>
        <v>Cadmium &amp; compounds, NOS</v>
      </c>
    </row>
    <row r="73" spans="1:7" x14ac:dyDescent="0.3">
      <c r="A73" s="52" t="s">
        <v>1549</v>
      </c>
      <c r="B73" s="53" t="s">
        <v>226</v>
      </c>
      <c r="C73" s="57" t="s">
        <v>1466</v>
      </c>
      <c r="D73" s="53">
        <v>2.2000000000000002</v>
      </c>
      <c r="E73" s="53">
        <v>0.16</v>
      </c>
      <c r="F73" s="54">
        <v>8.2000000000000007E-3</v>
      </c>
      <c r="G73" s="15" t="str">
        <f t="shared" si="1"/>
        <v>Caprolactam</v>
      </c>
    </row>
    <row r="74" spans="1:7" x14ac:dyDescent="0.3">
      <c r="A74" s="52" t="s">
        <v>684</v>
      </c>
      <c r="B74" s="53">
        <v>191906</v>
      </c>
      <c r="C74" s="53" t="s">
        <v>1465</v>
      </c>
      <c r="D74" s="53">
        <v>2.3E-2</v>
      </c>
      <c r="E74" s="53">
        <v>3.8</v>
      </c>
      <c r="F74" s="54">
        <v>0.19</v>
      </c>
      <c r="G74" s="15" t="str">
        <f t="shared" si="1"/>
        <v>Captafol</v>
      </c>
    </row>
    <row r="75" spans="1:7" x14ac:dyDescent="0.3">
      <c r="A75" s="52" t="s">
        <v>524</v>
      </c>
      <c r="B75" s="53" t="s">
        <v>523</v>
      </c>
      <c r="C75" s="57" t="s">
        <v>1465</v>
      </c>
      <c r="D75" s="53">
        <v>1.5</v>
      </c>
      <c r="E75" s="53">
        <v>250</v>
      </c>
      <c r="F75" s="54">
        <v>12</v>
      </c>
      <c r="G75" s="15" t="str">
        <f t="shared" si="1"/>
        <v>Captan</v>
      </c>
    </row>
    <row r="76" spans="1:7" x14ac:dyDescent="0.3">
      <c r="A76" s="52" t="s">
        <v>1101</v>
      </c>
      <c r="B76" s="53" t="s">
        <v>137</v>
      </c>
      <c r="C76" s="57" t="s">
        <v>1466</v>
      </c>
      <c r="D76" s="55">
        <v>800</v>
      </c>
      <c r="E76" s="55">
        <v>59</v>
      </c>
      <c r="F76" s="60">
        <v>3</v>
      </c>
      <c r="G76" s="15" t="str">
        <f t="shared" si="1"/>
        <v>Carbon disulfide</v>
      </c>
    </row>
    <row r="77" spans="1:7" x14ac:dyDescent="0.3">
      <c r="A77" s="52" t="s">
        <v>1550</v>
      </c>
      <c r="B77" s="53" t="s">
        <v>1551</v>
      </c>
      <c r="C77" s="57" t="s">
        <v>1485</v>
      </c>
      <c r="D77" s="53">
        <v>23000</v>
      </c>
      <c r="E77" s="53">
        <v>43</v>
      </c>
      <c r="F77" s="54">
        <v>1.1000000000000001</v>
      </c>
      <c r="G77" s="15" t="str">
        <f t="shared" si="1"/>
        <v>Carbon monoxide</v>
      </c>
    </row>
    <row r="78" spans="1:7" x14ac:dyDescent="0.3">
      <c r="A78" s="52" t="s">
        <v>881</v>
      </c>
      <c r="B78" s="53" t="s">
        <v>880</v>
      </c>
      <c r="C78" s="57" t="s">
        <v>1465</v>
      </c>
      <c r="D78" s="53">
        <v>0.17</v>
      </c>
      <c r="E78" s="53">
        <v>27</v>
      </c>
      <c r="F78" s="54">
        <v>1.4</v>
      </c>
      <c r="G78" s="15" t="str">
        <f t="shared" si="1"/>
        <v>Carbon tetrachloride</v>
      </c>
    </row>
    <row r="79" spans="1:7" x14ac:dyDescent="0.3">
      <c r="A79" s="52" t="s">
        <v>807</v>
      </c>
      <c r="B79" s="53" t="s">
        <v>131</v>
      </c>
      <c r="C79" s="57" t="s">
        <v>1466</v>
      </c>
      <c r="D79" s="53">
        <v>10</v>
      </c>
      <c r="E79" s="53">
        <v>0.74</v>
      </c>
      <c r="F79" s="54">
        <v>3.6999999999999998E-2</v>
      </c>
      <c r="G79" s="15" t="str">
        <f t="shared" si="1"/>
        <v>Carbonyl sulfide</v>
      </c>
    </row>
    <row r="80" spans="1:7" x14ac:dyDescent="0.3">
      <c r="A80" s="52" t="s">
        <v>1552</v>
      </c>
      <c r="B80" s="53" t="s">
        <v>1553</v>
      </c>
      <c r="C80" s="57" t="s">
        <v>1466</v>
      </c>
      <c r="D80" s="53">
        <v>0.9</v>
      </c>
      <c r="E80" s="53">
        <v>6.7000000000000004E-2</v>
      </c>
      <c r="F80" s="54">
        <v>3.3E-3</v>
      </c>
      <c r="G80" s="15" t="str">
        <f t="shared" si="1"/>
        <v>Cerium oxide</v>
      </c>
    </row>
    <row r="81" spans="1:7" x14ac:dyDescent="0.3">
      <c r="A81" s="52" t="s">
        <v>1554</v>
      </c>
      <c r="B81" s="53" t="s">
        <v>1555</v>
      </c>
      <c r="C81" s="57" t="s">
        <v>1465</v>
      </c>
      <c r="D81" s="53">
        <v>7.7000000000000008E-6</v>
      </c>
      <c r="E81" s="53">
        <v>1.1999999999999999E-3</v>
      </c>
      <c r="F81" s="54">
        <v>6.2000000000000003E-5</v>
      </c>
      <c r="G81" s="15" t="str">
        <f t="shared" si="1"/>
        <v>Chlorambucil</v>
      </c>
    </row>
    <row r="82" spans="1:7" x14ac:dyDescent="0.3">
      <c r="A82" s="52" t="s">
        <v>899</v>
      </c>
      <c r="B82" s="53" t="s">
        <v>898</v>
      </c>
      <c r="C82" s="57" t="s">
        <v>1465</v>
      </c>
      <c r="D82" s="53">
        <v>0.01</v>
      </c>
      <c r="E82" s="53">
        <v>1.6</v>
      </c>
      <c r="F82" s="54">
        <v>8.1000000000000003E-2</v>
      </c>
      <c r="G82" s="15" t="str">
        <f t="shared" si="1"/>
        <v>Chlordane</v>
      </c>
    </row>
    <row r="83" spans="1:7" x14ac:dyDescent="0.3">
      <c r="A83" s="52" t="s">
        <v>1556</v>
      </c>
      <c r="B83" s="53" t="s">
        <v>1557</v>
      </c>
      <c r="C83" s="53" t="s">
        <v>1465</v>
      </c>
      <c r="D83" s="53">
        <v>2.2000000000000001E-4</v>
      </c>
      <c r="E83" s="53">
        <v>3.5000000000000003E-2</v>
      </c>
      <c r="F83" s="54">
        <v>1.8E-3</v>
      </c>
      <c r="G83" s="15" t="str">
        <f t="shared" si="1"/>
        <v>Chlordecone</v>
      </c>
    </row>
    <row r="84" spans="1:7" x14ac:dyDescent="0.3">
      <c r="A84" s="52" t="s">
        <v>1558</v>
      </c>
      <c r="B84" s="53" t="s">
        <v>1559</v>
      </c>
      <c r="C84" s="57" t="s">
        <v>1465</v>
      </c>
      <c r="D84" s="53">
        <v>3.7999999999999999E-2</v>
      </c>
      <c r="E84" s="53">
        <v>6.2</v>
      </c>
      <c r="F84" s="54">
        <v>0.31</v>
      </c>
      <c r="G84" s="15" t="str">
        <f t="shared" si="1"/>
        <v>Chlorendic acid</v>
      </c>
    </row>
    <row r="85" spans="1:7" x14ac:dyDescent="0.3">
      <c r="A85" s="52" t="s">
        <v>1560</v>
      </c>
      <c r="B85" s="53" t="s">
        <v>1561</v>
      </c>
      <c r="C85" s="57" t="s">
        <v>1465</v>
      </c>
      <c r="D85" s="53">
        <v>0.04</v>
      </c>
      <c r="E85" s="53">
        <v>6.5</v>
      </c>
      <c r="F85" s="54">
        <v>0.32</v>
      </c>
      <c r="G85" s="15" t="str">
        <f t="shared" si="1"/>
        <v>Chlorinated paraffins</v>
      </c>
    </row>
    <row r="86" spans="1:7" x14ac:dyDescent="0.3">
      <c r="A86" s="52" t="s">
        <v>1220</v>
      </c>
      <c r="B86" s="53" t="s">
        <v>1219</v>
      </c>
      <c r="C86" s="57" t="s">
        <v>1466</v>
      </c>
      <c r="D86" s="53">
        <v>0.15</v>
      </c>
      <c r="E86" s="53">
        <v>1.0999999999999999E-2</v>
      </c>
      <c r="F86" s="54">
        <v>5.5999999999999995E-4</v>
      </c>
      <c r="G86" s="15" t="str">
        <f t="shared" si="1"/>
        <v>Chlorine</v>
      </c>
    </row>
    <row r="87" spans="1:7" x14ac:dyDescent="0.3">
      <c r="A87" s="52" t="s">
        <v>201</v>
      </c>
      <c r="B87" s="53" t="s">
        <v>200</v>
      </c>
      <c r="C87" s="57" t="s">
        <v>1466</v>
      </c>
      <c r="D87" s="53">
        <v>0.6</v>
      </c>
      <c r="E87" s="53">
        <v>4.3999999999999997E-2</v>
      </c>
      <c r="F87" s="54">
        <v>2.2000000000000001E-3</v>
      </c>
      <c r="G87" s="15" t="str">
        <f t="shared" si="1"/>
        <v>Chlorine dioxide</v>
      </c>
    </row>
    <row r="88" spans="1:7" x14ac:dyDescent="0.3">
      <c r="A88" s="52" t="s">
        <v>1562</v>
      </c>
      <c r="B88" s="53" t="s">
        <v>1563</v>
      </c>
      <c r="C88" s="57" t="s">
        <v>1466</v>
      </c>
      <c r="D88" s="53">
        <v>50000</v>
      </c>
      <c r="E88" s="53">
        <v>3700</v>
      </c>
      <c r="F88" s="54">
        <v>190</v>
      </c>
      <c r="G88" s="15" t="str">
        <f t="shared" si="1"/>
        <v>1-Chloro-1,1-difluoroethane</v>
      </c>
    </row>
    <row r="89" spans="1:7" x14ac:dyDescent="0.3">
      <c r="A89" s="52" t="s">
        <v>1564</v>
      </c>
      <c r="B89" s="53" t="s">
        <v>1565</v>
      </c>
      <c r="C89" s="57" t="s">
        <v>1465</v>
      </c>
      <c r="D89" s="53">
        <v>2.5000000000000001E-2</v>
      </c>
      <c r="E89" s="53">
        <v>4.0999999999999996</v>
      </c>
      <c r="F89" s="54">
        <v>0.2</v>
      </c>
      <c r="G89" s="15" t="str">
        <f t="shared" si="1"/>
        <v>3-Chloro-2-methyl-1-propene</v>
      </c>
    </row>
    <row r="90" spans="1:7" x14ac:dyDescent="0.3">
      <c r="A90" s="52" t="s">
        <v>1566</v>
      </c>
      <c r="B90" s="53" t="s">
        <v>840</v>
      </c>
      <c r="C90" s="57" t="s">
        <v>1466</v>
      </c>
      <c r="D90" s="53">
        <v>0.03</v>
      </c>
      <c r="E90" s="53">
        <v>2.2000000000000001E-3</v>
      </c>
      <c r="F90" s="54">
        <v>1.1E-4</v>
      </c>
      <c r="G90" s="15" t="str">
        <f t="shared" si="1"/>
        <v>2-Chloroacetophenone</v>
      </c>
    </row>
    <row r="91" spans="1:7" ht="22.8" x14ac:dyDescent="0.3">
      <c r="A91" s="52" t="s">
        <v>1567</v>
      </c>
      <c r="B91" s="53" t="s">
        <v>1568</v>
      </c>
      <c r="C91" s="57" t="s">
        <v>1465</v>
      </c>
      <c r="D91" s="53">
        <v>0.04</v>
      </c>
      <c r="E91" s="53">
        <v>6.5</v>
      </c>
      <c r="F91" s="54">
        <v>0.32</v>
      </c>
      <c r="G91" s="15" t="str">
        <f t="shared" si="1"/>
        <v>Chloroalkanes C10-13 (chlorinated paraffins)</v>
      </c>
    </row>
    <row r="92" spans="1:7" x14ac:dyDescent="0.3">
      <c r="A92" s="52" t="s">
        <v>325</v>
      </c>
      <c r="B92" s="53" t="s">
        <v>324</v>
      </c>
      <c r="C92" s="57" t="s">
        <v>1466</v>
      </c>
      <c r="D92" s="53">
        <v>1000</v>
      </c>
      <c r="E92" s="53">
        <v>74</v>
      </c>
      <c r="F92" s="54">
        <v>3.7</v>
      </c>
      <c r="G92" s="15" t="str">
        <f t="shared" si="1"/>
        <v>Chlorobenzene</v>
      </c>
    </row>
    <row r="93" spans="1:7" x14ac:dyDescent="0.3">
      <c r="A93" s="52" t="s">
        <v>827</v>
      </c>
      <c r="B93" s="53" t="s">
        <v>826</v>
      </c>
      <c r="C93" s="57" t="s">
        <v>1465</v>
      </c>
      <c r="D93" s="55">
        <v>3.2000000000000001E-2</v>
      </c>
      <c r="E93" s="55">
        <v>5.2</v>
      </c>
      <c r="F93" s="60">
        <v>0.26</v>
      </c>
      <c r="G93" s="15" t="str">
        <f t="shared" si="1"/>
        <v>Chlorobenzilate</v>
      </c>
    </row>
    <row r="94" spans="1:7" ht="22.8" x14ac:dyDescent="0.3">
      <c r="A94" s="52" t="s">
        <v>1569</v>
      </c>
      <c r="B94" s="53" t="s">
        <v>1116</v>
      </c>
      <c r="C94" s="53" t="s">
        <v>1466</v>
      </c>
      <c r="D94" s="53">
        <v>50000</v>
      </c>
      <c r="E94" s="53">
        <v>3700</v>
      </c>
      <c r="F94" s="54">
        <v>190</v>
      </c>
      <c r="G94" s="15" t="str">
        <f t="shared" si="1"/>
        <v>Chlorodifluoromethane (Freon 22)</v>
      </c>
    </row>
    <row r="95" spans="1:7" x14ac:dyDescent="0.3">
      <c r="A95" s="52" t="s">
        <v>1570</v>
      </c>
      <c r="B95" s="53" t="s">
        <v>1090</v>
      </c>
      <c r="C95" s="57" t="s">
        <v>1466</v>
      </c>
      <c r="D95" s="53">
        <v>30000</v>
      </c>
      <c r="E95" s="53">
        <v>2200</v>
      </c>
      <c r="F95" s="54">
        <v>110</v>
      </c>
      <c r="G95" s="15" t="str">
        <f t="shared" si="1"/>
        <v>Chloroethane (ethyl chloride)</v>
      </c>
    </row>
    <row r="96" spans="1:7" x14ac:dyDescent="0.3">
      <c r="A96" s="52" t="s">
        <v>989</v>
      </c>
      <c r="B96" s="53" t="s">
        <v>988</v>
      </c>
      <c r="C96" s="57" t="s">
        <v>1465</v>
      </c>
      <c r="D96" s="53">
        <v>4.2999999999999997E-2</v>
      </c>
      <c r="E96" s="53">
        <v>7.1</v>
      </c>
      <c r="F96" s="54">
        <v>0.35</v>
      </c>
      <c r="G96" s="15" t="str">
        <f t="shared" si="1"/>
        <v>Chloroform</v>
      </c>
    </row>
    <row r="97" spans="1:7" ht="22.8" x14ac:dyDescent="0.3">
      <c r="A97" s="52" t="s">
        <v>1571</v>
      </c>
      <c r="B97" s="53" t="s">
        <v>68</v>
      </c>
      <c r="C97" s="57" t="s">
        <v>1466</v>
      </c>
      <c r="D97" s="53">
        <v>90</v>
      </c>
      <c r="E97" s="53">
        <v>6.7</v>
      </c>
      <c r="F97" s="54">
        <v>0.33</v>
      </c>
      <c r="G97" s="15" t="str">
        <f t="shared" si="1"/>
        <v>Chloromethane (methyl chloride)</v>
      </c>
    </row>
    <row r="98" spans="1:7" x14ac:dyDescent="0.3">
      <c r="A98" s="52" t="s">
        <v>279</v>
      </c>
      <c r="B98" s="53" t="s">
        <v>278</v>
      </c>
      <c r="C98" s="57" t="s">
        <v>1465</v>
      </c>
      <c r="D98" s="53">
        <v>1.4E-3</v>
      </c>
      <c r="E98" s="53">
        <v>0.24</v>
      </c>
      <c r="F98" s="54">
        <v>1.2E-2</v>
      </c>
      <c r="G98" s="15" t="str">
        <f t="shared" si="1"/>
        <v>Chloromethyl methyl ether</v>
      </c>
    </row>
    <row r="99" spans="1:7" x14ac:dyDescent="0.3">
      <c r="A99" s="52" t="s">
        <v>1572</v>
      </c>
      <c r="B99" s="62" t="s">
        <v>1573</v>
      </c>
      <c r="C99" s="57" t="s">
        <v>1465</v>
      </c>
      <c r="D99" s="55">
        <v>0.22</v>
      </c>
      <c r="E99" s="53">
        <v>35</v>
      </c>
      <c r="F99" s="54">
        <v>1.8</v>
      </c>
      <c r="G99" s="15" t="str">
        <f t="shared" si="1"/>
        <v>4-Chloro-o-phenylenediamine</v>
      </c>
    </row>
    <row r="100" spans="1:7" x14ac:dyDescent="0.3">
      <c r="A100" s="52" t="s">
        <v>1574</v>
      </c>
      <c r="B100" s="53" t="s">
        <v>1575</v>
      </c>
      <c r="C100" s="57" t="s">
        <v>1465</v>
      </c>
      <c r="D100" s="55">
        <v>1.2999999999999999E-2</v>
      </c>
      <c r="E100" s="53">
        <v>2.1</v>
      </c>
      <c r="F100" s="54">
        <v>0.11</v>
      </c>
      <c r="G100" s="15" t="str">
        <f t="shared" si="1"/>
        <v>p-Chloro-o-toluidine</v>
      </c>
    </row>
    <row r="101" spans="1:7" x14ac:dyDescent="0.3">
      <c r="A101" s="52" t="s">
        <v>1152</v>
      </c>
      <c r="B101" s="53" t="s">
        <v>1151</v>
      </c>
      <c r="C101" s="57" t="s">
        <v>1466</v>
      </c>
      <c r="D101" s="53">
        <v>0.4</v>
      </c>
      <c r="E101" s="53">
        <v>0.03</v>
      </c>
      <c r="F101" s="54">
        <v>1.5E-3</v>
      </c>
      <c r="G101" s="15" t="str">
        <f t="shared" si="1"/>
        <v>Chloropicrin</v>
      </c>
    </row>
    <row r="102" spans="1:7" x14ac:dyDescent="0.3">
      <c r="A102" s="56" t="s">
        <v>1576</v>
      </c>
      <c r="B102" s="57" t="s">
        <v>467</v>
      </c>
      <c r="C102" s="57" t="s">
        <v>1465</v>
      </c>
      <c r="D102" s="57">
        <v>2E-3</v>
      </c>
      <c r="E102" s="57">
        <v>0.33</v>
      </c>
      <c r="F102" s="58">
        <v>1.6E-2</v>
      </c>
      <c r="G102" s="15" t="str">
        <f t="shared" si="1"/>
        <v>Chloroprene</v>
      </c>
    </row>
    <row r="103" spans="1:7" x14ac:dyDescent="0.3">
      <c r="A103" s="52" t="s">
        <v>1577</v>
      </c>
      <c r="B103" s="53" t="s">
        <v>1578</v>
      </c>
      <c r="C103" s="57" t="s">
        <v>1465</v>
      </c>
      <c r="D103" s="53">
        <v>1.1000000000000001</v>
      </c>
      <c r="E103" s="53">
        <v>180</v>
      </c>
      <c r="F103" s="54">
        <v>9.1</v>
      </c>
      <c r="G103" s="15" t="str">
        <f t="shared" si="1"/>
        <v>Chlorothalonil</v>
      </c>
    </row>
    <row r="104" spans="1:7" x14ac:dyDescent="0.3">
      <c r="A104" s="52" t="s">
        <v>1579</v>
      </c>
      <c r="B104" s="53" t="s">
        <v>1580</v>
      </c>
      <c r="C104" s="57" t="s">
        <v>1465</v>
      </c>
      <c r="D104" s="53">
        <v>1.4E-5</v>
      </c>
      <c r="E104" s="53">
        <v>2.3999999999999998E-3</v>
      </c>
      <c r="F104" s="54">
        <v>1.2E-4</v>
      </c>
      <c r="G104" s="15" t="str">
        <f t="shared" si="1"/>
        <v>Chlorozotocin</v>
      </c>
    </row>
    <row r="105" spans="1:7" x14ac:dyDescent="0.3">
      <c r="A105" s="52" t="s">
        <v>1581</v>
      </c>
      <c r="B105" s="53" t="s">
        <v>1582</v>
      </c>
      <c r="C105" s="57" t="s">
        <v>1465</v>
      </c>
      <c r="D105" s="53">
        <v>7.7000000000000008E-6</v>
      </c>
      <c r="E105" s="55">
        <v>1.2999999999999999E-3</v>
      </c>
      <c r="F105" s="54">
        <v>6.3E-5</v>
      </c>
      <c r="G105" s="15" t="str">
        <f t="shared" si="1"/>
        <v>Chromic trioxide</v>
      </c>
    </row>
    <row r="106" spans="1:7" x14ac:dyDescent="0.3">
      <c r="A106" s="56" t="s">
        <v>1583</v>
      </c>
      <c r="B106" s="57" t="s">
        <v>1584</v>
      </c>
      <c r="C106" s="57" t="s">
        <v>1465</v>
      </c>
      <c r="D106" s="57">
        <v>9.0999999999999993E-6</v>
      </c>
      <c r="E106" s="57">
        <v>1.5E-3</v>
      </c>
      <c r="F106" s="58">
        <v>7.3999999999999996E-5</v>
      </c>
      <c r="G106" s="15" t="str">
        <f t="shared" si="1"/>
        <v>Chromic(VI) acid</v>
      </c>
    </row>
    <row r="107" spans="1:7" ht="24" x14ac:dyDescent="0.3">
      <c r="A107" s="56" t="s">
        <v>1585</v>
      </c>
      <c r="B107" s="57" t="s">
        <v>1495</v>
      </c>
      <c r="C107" s="57" t="s">
        <v>1466</v>
      </c>
      <c r="D107" s="57">
        <v>5</v>
      </c>
      <c r="E107" s="57">
        <v>0.37</v>
      </c>
      <c r="F107" s="58">
        <v>1.9E-2</v>
      </c>
      <c r="G107" s="15" t="str">
        <f t="shared" si="1"/>
        <v>Chromium(III), insoluble particulates, NOS</v>
      </c>
    </row>
    <row r="108" spans="1:7" ht="22.8" x14ac:dyDescent="0.3">
      <c r="A108" s="52" t="s">
        <v>1586</v>
      </c>
      <c r="B108" s="53" t="s">
        <v>1495</v>
      </c>
      <c r="C108" s="53" t="s">
        <v>1466</v>
      </c>
      <c r="D108" s="53">
        <v>0.1</v>
      </c>
      <c r="E108" s="53">
        <v>7.4000000000000003E-3</v>
      </c>
      <c r="F108" s="54">
        <v>3.6999999999999999E-4</v>
      </c>
      <c r="G108" s="15" t="str">
        <f t="shared" si="1"/>
        <v>Chromium(III), soluble particulates, NOS</v>
      </c>
    </row>
    <row r="109" spans="1:7" ht="24" x14ac:dyDescent="0.3">
      <c r="A109" s="56" t="s">
        <v>1587</v>
      </c>
      <c r="B109" s="57" t="s">
        <v>1495</v>
      </c>
      <c r="C109" s="57" t="s">
        <v>1465</v>
      </c>
      <c r="D109" s="57">
        <v>3.9999999999999998E-6</v>
      </c>
      <c r="E109" s="57">
        <v>6.4999999999999997E-4</v>
      </c>
      <c r="F109" s="58">
        <v>3.3000000000000003E-5</v>
      </c>
      <c r="G109" s="15" t="str">
        <f t="shared" si="1"/>
        <v>Chromium(VI) &amp; compounds, NOS</v>
      </c>
    </row>
    <row r="110" spans="1:7" x14ac:dyDescent="0.3">
      <c r="A110" s="52" t="s">
        <v>1588</v>
      </c>
      <c r="B110" s="53" t="s">
        <v>1589</v>
      </c>
      <c r="C110" s="53" t="s">
        <v>1465</v>
      </c>
      <c r="D110" s="55">
        <v>5.5E-2</v>
      </c>
      <c r="E110" s="55">
        <v>8.9</v>
      </c>
      <c r="F110" s="60">
        <v>0.45</v>
      </c>
      <c r="G110" s="15" t="str">
        <f t="shared" si="1"/>
        <v>Chrysene</v>
      </c>
    </row>
    <row r="111" spans="1:7" x14ac:dyDescent="0.3">
      <c r="A111" s="52" t="s">
        <v>1590</v>
      </c>
      <c r="B111" s="53" t="s">
        <v>1591</v>
      </c>
      <c r="C111" s="57" t="s">
        <v>1465</v>
      </c>
      <c r="D111" s="53">
        <v>0.77</v>
      </c>
      <c r="E111" s="53">
        <v>120</v>
      </c>
      <c r="F111" s="54">
        <v>6.2</v>
      </c>
      <c r="G111" s="15" t="str">
        <f t="shared" si="1"/>
        <v>Cinnamyl anthranilate</v>
      </c>
    </row>
    <row r="112" spans="1:7" x14ac:dyDescent="0.3">
      <c r="A112" s="52" t="s">
        <v>1592</v>
      </c>
      <c r="B112" s="53" t="s">
        <v>1074</v>
      </c>
      <c r="C112" s="57" t="s">
        <v>1466</v>
      </c>
      <c r="D112" s="53">
        <v>0.1</v>
      </c>
      <c r="E112" s="53">
        <v>7.4000000000000003E-3</v>
      </c>
      <c r="F112" s="54">
        <v>3.6999999999999999E-4</v>
      </c>
      <c r="G112" s="15" t="str">
        <f t="shared" si="1"/>
        <v>Cobalt and compounds, NOS</v>
      </c>
    </row>
    <row r="113" spans="1:7" x14ac:dyDescent="0.3">
      <c r="A113" s="52" t="s">
        <v>1593</v>
      </c>
      <c r="B113" s="53" t="s">
        <v>1495</v>
      </c>
      <c r="C113" s="57" t="s">
        <v>1465</v>
      </c>
      <c r="D113" s="53">
        <v>9.7000000000000005E-4</v>
      </c>
      <c r="E113" s="53">
        <v>0.16</v>
      </c>
      <c r="F113" s="54">
        <v>7.9000000000000008E-3</v>
      </c>
      <c r="G113" s="15" t="str">
        <f t="shared" si="1"/>
        <v>Coke oven emissions</v>
      </c>
    </row>
    <row r="114" spans="1:7" x14ac:dyDescent="0.3">
      <c r="A114" s="52" t="s">
        <v>1594</v>
      </c>
      <c r="B114" s="53" t="s">
        <v>1495</v>
      </c>
      <c r="C114" s="57" t="s">
        <v>1485</v>
      </c>
      <c r="D114" s="53">
        <v>100</v>
      </c>
      <c r="E114" s="53">
        <v>0.19</v>
      </c>
      <c r="F114" s="54">
        <v>9.2999999999999992E-3</v>
      </c>
      <c r="G114" s="15" t="str">
        <f t="shared" si="1"/>
        <v>Copper &amp; compounds</v>
      </c>
    </row>
    <row r="115" spans="1:7" x14ac:dyDescent="0.3">
      <c r="A115" s="52" t="s">
        <v>1595</v>
      </c>
      <c r="B115" s="53" t="s">
        <v>1596</v>
      </c>
      <c r="C115" s="57" t="s">
        <v>1465</v>
      </c>
      <c r="D115" s="53">
        <v>2.3E-2</v>
      </c>
      <c r="E115" s="53">
        <v>3.8</v>
      </c>
      <c r="F115" s="54">
        <v>0.19</v>
      </c>
      <c r="G115" s="15" t="str">
        <f t="shared" si="1"/>
        <v>p-Cresidine</v>
      </c>
    </row>
    <row r="116" spans="1:7" ht="24" x14ac:dyDescent="0.3">
      <c r="A116" s="56" t="s">
        <v>1597</v>
      </c>
      <c r="B116" s="57" t="s">
        <v>513</v>
      </c>
      <c r="C116" s="57" t="s">
        <v>1466</v>
      </c>
      <c r="D116" s="57">
        <v>600</v>
      </c>
      <c r="E116" s="57">
        <v>44</v>
      </c>
      <c r="F116" s="58">
        <v>2.2000000000000002</v>
      </c>
      <c r="G116" s="15" t="str">
        <f t="shared" si="1"/>
        <v>Cresols (mixture), including m-cresol, o-cresol, p-cresol</v>
      </c>
    </row>
    <row r="117" spans="1:7" x14ac:dyDescent="0.3">
      <c r="A117" s="56" t="s">
        <v>1598</v>
      </c>
      <c r="B117" s="57" t="s">
        <v>310</v>
      </c>
      <c r="C117" s="57" t="s">
        <v>1466</v>
      </c>
      <c r="D117" s="57">
        <v>600</v>
      </c>
      <c r="E117" s="57">
        <v>44</v>
      </c>
      <c r="F117" s="58">
        <v>2.2000000000000002</v>
      </c>
      <c r="G117" s="15" t="str">
        <f t="shared" si="1"/>
        <v>m-Cresol (3-methylphenol)</v>
      </c>
    </row>
    <row r="118" spans="1:7" x14ac:dyDescent="0.3">
      <c r="A118" s="56" t="s">
        <v>1599</v>
      </c>
      <c r="B118" s="57" t="s">
        <v>1400</v>
      </c>
      <c r="C118" s="57" t="s">
        <v>1466</v>
      </c>
      <c r="D118" s="57">
        <v>600</v>
      </c>
      <c r="E118" s="57">
        <v>44</v>
      </c>
      <c r="F118" s="58">
        <v>2.2000000000000002</v>
      </c>
      <c r="G118" s="15" t="str">
        <f t="shared" si="1"/>
        <v>o-Cresol (2-methylphenol)</v>
      </c>
    </row>
    <row r="119" spans="1:7" x14ac:dyDescent="0.3">
      <c r="A119" s="56" t="s">
        <v>1600</v>
      </c>
      <c r="B119" s="57" t="s">
        <v>236</v>
      </c>
      <c r="C119" s="57" t="s">
        <v>1466</v>
      </c>
      <c r="D119" s="57">
        <v>600</v>
      </c>
      <c r="E119" s="57">
        <v>44</v>
      </c>
      <c r="F119" s="58">
        <v>2.2000000000000002</v>
      </c>
      <c r="G119" s="15" t="str">
        <f t="shared" si="1"/>
        <v>p-Cresol (4-methylphenol)</v>
      </c>
    </row>
    <row r="120" spans="1:7" x14ac:dyDescent="0.3">
      <c r="A120" s="52" t="s">
        <v>1601</v>
      </c>
      <c r="B120" s="53" t="s">
        <v>1439</v>
      </c>
      <c r="C120" s="53" t="s">
        <v>1466</v>
      </c>
      <c r="D120" s="53">
        <v>400</v>
      </c>
      <c r="E120" s="53">
        <v>30</v>
      </c>
      <c r="F120" s="54">
        <v>1.5</v>
      </c>
      <c r="G120" s="15" t="str">
        <f t="shared" si="1"/>
        <v>Cumene</v>
      </c>
    </row>
    <row r="121" spans="1:7" x14ac:dyDescent="0.3">
      <c r="A121" s="52" t="s">
        <v>548</v>
      </c>
      <c r="B121" s="53" t="s">
        <v>547</v>
      </c>
      <c r="C121" s="57" t="s">
        <v>1465</v>
      </c>
      <c r="D121" s="53">
        <v>1.6E-2</v>
      </c>
      <c r="E121" s="53">
        <v>2.6</v>
      </c>
      <c r="F121" s="54">
        <v>0.13</v>
      </c>
      <c r="G121" s="15" t="str">
        <f t="shared" si="1"/>
        <v>Cupferron</v>
      </c>
    </row>
    <row r="122" spans="1:7" x14ac:dyDescent="0.3">
      <c r="A122" s="56" t="s">
        <v>369</v>
      </c>
      <c r="B122" s="57" t="s">
        <v>368</v>
      </c>
      <c r="C122" s="57" t="s">
        <v>1466</v>
      </c>
      <c r="D122" s="57">
        <v>6000</v>
      </c>
      <c r="E122" s="57">
        <v>440</v>
      </c>
      <c r="F122" s="58">
        <v>22</v>
      </c>
      <c r="G122" s="15" t="str">
        <f t="shared" si="1"/>
        <v>Cyclohexane</v>
      </c>
    </row>
    <row r="123" spans="1:7" ht="24" x14ac:dyDescent="0.3">
      <c r="A123" s="56" t="s">
        <v>1602</v>
      </c>
      <c r="B123" s="57" t="s">
        <v>1603</v>
      </c>
      <c r="C123" s="57" t="s">
        <v>1465</v>
      </c>
      <c r="D123" s="57">
        <v>5.8999999999999999E-3</v>
      </c>
      <c r="E123" s="57">
        <v>0.96</v>
      </c>
      <c r="F123" s="58">
        <v>4.8000000000000001E-2</v>
      </c>
      <c r="G123" s="15" t="str">
        <f t="shared" si="1"/>
        <v>Cyclophosphamide (anhydrous)</v>
      </c>
    </row>
    <row r="124" spans="1:7" x14ac:dyDescent="0.3">
      <c r="A124" s="56" t="s">
        <v>1604</v>
      </c>
      <c r="B124" s="57" t="s">
        <v>1605</v>
      </c>
      <c r="C124" s="57" t="s">
        <v>1465</v>
      </c>
      <c r="D124" s="59">
        <v>6.3E-3</v>
      </c>
      <c r="E124" s="57">
        <v>1</v>
      </c>
      <c r="F124" s="58">
        <v>5.0999999999999997E-2</v>
      </c>
      <c r="G124" s="15" t="str">
        <f t="shared" si="1"/>
        <v>Cyclophosphamide (hydrated)</v>
      </c>
    </row>
    <row r="125" spans="1:7" x14ac:dyDescent="0.3">
      <c r="A125" s="52" t="s">
        <v>1606</v>
      </c>
      <c r="B125" s="53">
        <v>1190723</v>
      </c>
      <c r="C125" s="57" t="s">
        <v>1465</v>
      </c>
      <c r="D125" s="53">
        <v>0.67</v>
      </c>
      <c r="E125" s="53">
        <v>110</v>
      </c>
      <c r="F125" s="54">
        <v>5.4</v>
      </c>
      <c r="G125" s="15" t="str">
        <f t="shared" si="1"/>
        <v>D &amp; C red no. 9</v>
      </c>
    </row>
    <row r="126" spans="1:7" x14ac:dyDescent="0.3">
      <c r="A126" s="52" t="s">
        <v>1607</v>
      </c>
      <c r="B126" s="53">
        <v>891986</v>
      </c>
      <c r="C126" s="57" t="s">
        <v>1465</v>
      </c>
      <c r="D126" s="53">
        <v>7.1000000000000005E-5</v>
      </c>
      <c r="E126" s="53">
        <v>1.2E-2</v>
      </c>
      <c r="F126" s="54">
        <v>5.8E-4</v>
      </c>
      <c r="G126" s="15" t="str">
        <f t="shared" si="1"/>
        <v>Dacarbazine</v>
      </c>
    </row>
    <row r="127" spans="1:7" x14ac:dyDescent="0.3">
      <c r="A127" s="52" t="s">
        <v>1608</v>
      </c>
      <c r="B127" s="53" t="s">
        <v>1609</v>
      </c>
      <c r="C127" s="57" t="s">
        <v>1465</v>
      </c>
      <c r="D127" s="53">
        <v>4.4999999999999998E-2</v>
      </c>
      <c r="E127" s="53">
        <v>7.4</v>
      </c>
      <c r="F127" s="54">
        <v>0.37</v>
      </c>
      <c r="G127" s="15" t="str">
        <f t="shared" si="1"/>
        <v>Dantron</v>
      </c>
    </row>
    <row r="128" spans="1:7" x14ac:dyDescent="0.3">
      <c r="A128" s="52" t="s">
        <v>1610</v>
      </c>
      <c r="B128" s="53" t="s">
        <v>403</v>
      </c>
      <c r="C128" s="57" t="s">
        <v>1465</v>
      </c>
      <c r="D128" s="53">
        <v>0.42</v>
      </c>
      <c r="E128" s="53">
        <v>68</v>
      </c>
      <c r="F128" s="54">
        <v>3.4</v>
      </c>
      <c r="G128" s="15" t="str">
        <f t="shared" si="1"/>
        <v>Di(2-ethylhexl)phthalate</v>
      </c>
    </row>
    <row r="129" spans="1:7" x14ac:dyDescent="0.3">
      <c r="A129" s="52" t="s">
        <v>1611</v>
      </c>
      <c r="B129" s="53" t="s">
        <v>1612</v>
      </c>
      <c r="C129" s="57" t="s">
        <v>1465</v>
      </c>
      <c r="D129" s="55">
        <v>0.15</v>
      </c>
      <c r="E129" s="53">
        <v>25</v>
      </c>
      <c r="F129" s="54">
        <v>1.2</v>
      </c>
      <c r="G129" s="15" t="str">
        <f t="shared" si="1"/>
        <v>2,4-Diaminoanisole</v>
      </c>
    </row>
    <row r="130" spans="1:7" x14ac:dyDescent="0.3">
      <c r="A130" s="52" t="s">
        <v>1613</v>
      </c>
      <c r="B130" s="53" t="s">
        <v>1614</v>
      </c>
      <c r="C130" s="57" t="s">
        <v>1465</v>
      </c>
      <c r="D130" s="53">
        <v>0.27</v>
      </c>
      <c r="E130" s="53">
        <v>44</v>
      </c>
      <c r="F130" s="54">
        <v>2.2000000000000002</v>
      </c>
      <c r="G130" s="15" t="str">
        <f t="shared" si="1"/>
        <v>2,4-Diaminoanisole sulfate</v>
      </c>
    </row>
    <row r="131" spans="1:7" x14ac:dyDescent="0.3">
      <c r="A131" s="52" t="s">
        <v>209</v>
      </c>
      <c r="B131" s="53" t="s">
        <v>208</v>
      </c>
      <c r="C131" s="57" t="s">
        <v>1465</v>
      </c>
      <c r="D131" s="53">
        <v>2.5000000000000001E-2</v>
      </c>
      <c r="E131" s="53">
        <v>4.0999999999999996</v>
      </c>
      <c r="F131" s="54">
        <v>0.2</v>
      </c>
      <c r="G131" s="15" t="str">
        <f t="shared" ref="G131:G194" si="2">A131</f>
        <v>4,4'-Diaminodiphenyl ether</v>
      </c>
    </row>
    <row r="132" spans="1:7" ht="22.8" x14ac:dyDescent="0.3">
      <c r="A132" s="52" t="s">
        <v>1615</v>
      </c>
      <c r="B132" s="53" t="s">
        <v>1408</v>
      </c>
      <c r="C132" s="57" t="s">
        <v>1465</v>
      </c>
      <c r="D132" s="55">
        <v>9.1E-4</v>
      </c>
      <c r="E132" s="53">
        <v>0.15</v>
      </c>
      <c r="F132" s="60">
        <v>7.4000000000000003E-3</v>
      </c>
      <c r="G132" s="15" t="str">
        <f t="shared" si="2"/>
        <v>2,4-Diaminotoluene (2,4-toluene diamine)</v>
      </c>
    </row>
    <row r="133" spans="1:7" x14ac:dyDescent="0.3">
      <c r="A133" s="52" t="s">
        <v>752</v>
      </c>
      <c r="B133" s="53" t="s">
        <v>751</v>
      </c>
      <c r="C133" s="57" t="s">
        <v>1466</v>
      </c>
      <c r="D133" s="53">
        <v>10</v>
      </c>
      <c r="E133" s="53">
        <v>0.74</v>
      </c>
      <c r="F133" s="54">
        <v>3.6999999999999998E-2</v>
      </c>
      <c r="G133" s="15" t="str">
        <f t="shared" si="2"/>
        <v>Diazinon</v>
      </c>
    </row>
    <row r="134" spans="1:7" x14ac:dyDescent="0.3">
      <c r="A134" s="52" t="s">
        <v>1616</v>
      </c>
      <c r="B134" s="53" t="s">
        <v>679</v>
      </c>
      <c r="C134" s="57" t="s">
        <v>1465</v>
      </c>
      <c r="D134" s="53">
        <v>5.4999999999999997E-3</v>
      </c>
      <c r="E134" s="53">
        <v>0.89</v>
      </c>
      <c r="F134" s="54">
        <v>4.4999999999999998E-2</v>
      </c>
      <c r="G134" s="15" t="str">
        <f t="shared" si="2"/>
        <v>Dibenz[a,h]acridine</v>
      </c>
    </row>
    <row r="135" spans="1:7" x14ac:dyDescent="0.3">
      <c r="A135" s="52" t="s">
        <v>1617</v>
      </c>
      <c r="B135" s="53" t="s">
        <v>834</v>
      </c>
      <c r="C135" s="57" t="s">
        <v>1465</v>
      </c>
      <c r="D135" s="53">
        <v>5.0000000000000001E-4</v>
      </c>
      <c r="E135" s="53">
        <v>8.2000000000000003E-2</v>
      </c>
      <c r="F135" s="54">
        <v>4.1000000000000003E-3</v>
      </c>
      <c r="G135" s="15" t="str">
        <f t="shared" si="2"/>
        <v>Dibenz[a,h]anthracene</v>
      </c>
    </row>
    <row r="136" spans="1:7" x14ac:dyDescent="0.3">
      <c r="A136" s="52" t="s">
        <v>1618</v>
      </c>
      <c r="B136" s="53" t="s">
        <v>677</v>
      </c>
      <c r="C136" s="57" t="s">
        <v>1465</v>
      </c>
      <c r="D136" s="53">
        <v>5.4999999999999997E-3</v>
      </c>
      <c r="E136" s="53">
        <v>0.89</v>
      </c>
      <c r="F136" s="54">
        <v>4.4999999999999998E-2</v>
      </c>
      <c r="G136" s="15" t="str">
        <f t="shared" si="2"/>
        <v>Dibenz[a,j]acridine</v>
      </c>
    </row>
    <row r="137" spans="1:7" x14ac:dyDescent="0.3">
      <c r="A137" s="52" t="s">
        <v>1619</v>
      </c>
      <c r="B137" s="53" t="s">
        <v>641</v>
      </c>
      <c r="C137" s="57" t="s">
        <v>1465</v>
      </c>
      <c r="D137" s="53">
        <v>5.5000000000000003E-4</v>
      </c>
      <c r="E137" s="53">
        <v>8.8999999999999996E-2</v>
      </c>
      <c r="F137" s="54">
        <v>4.4999999999999997E-3</v>
      </c>
      <c r="G137" s="15" t="str">
        <f t="shared" si="2"/>
        <v>Dibenzo[a,e]pyrene</v>
      </c>
    </row>
    <row r="138" spans="1:7" x14ac:dyDescent="0.3">
      <c r="A138" s="52" t="s">
        <v>1620</v>
      </c>
      <c r="B138" s="53" t="s">
        <v>633</v>
      </c>
      <c r="C138" s="57" t="s">
        <v>1465</v>
      </c>
      <c r="D138" s="53">
        <v>5.5000000000000002E-5</v>
      </c>
      <c r="E138" s="53">
        <v>8.8999999999999999E-3</v>
      </c>
      <c r="F138" s="54">
        <v>4.4999999999999999E-4</v>
      </c>
      <c r="G138" s="15" t="str">
        <f t="shared" si="2"/>
        <v>Dibenzo[a,h]pyrene</v>
      </c>
    </row>
    <row r="139" spans="1:7" x14ac:dyDescent="0.3">
      <c r="A139" s="52" t="s">
        <v>1621</v>
      </c>
      <c r="B139" s="57" t="s">
        <v>631</v>
      </c>
      <c r="C139" s="57" t="s">
        <v>1465</v>
      </c>
      <c r="D139" s="53">
        <v>5.5000000000000002E-5</v>
      </c>
      <c r="E139" s="53">
        <v>8.8999999999999999E-3</v>
      </c>
      <c r="F139" s="54">
        <v>4.4999999999999999E-4</v>
      </c>
      <c r="G139" s="15" t="str">
        <f t="shared" si="2"/>
        <v>Dibenzo[a,i]pyrene</v>
      </c>
    </row>
    <row r="140" spans="1:7" x14ac:dyDescent="0.3">
      <c r="A140" s="52" t="s">
        <v>1622</v>
      </c>
      <c r="B140" s="53" t="s">
        <v>635</v>
      </c>
      <c r="C140" s="57" t="s">
        <v>1465</v>
      </c>
      <c r="D140" s="53">
        <v>5.5000000000000002E-5</v>
      </c>
      <c r="E140" s="53">
        <v>8.8999999999999999E-3</v>
      </c>
      <c r="F140" s="54">
        <v>4.4999999999999999E-4</v>
      </c>
      <c r="G140" s="15" t="str">
        <f t="shared" si="2"/>
        <v>Dibenzo[a,l]pyrene</v>
      </c>
    </row>
    <row r="141" spans="1:7" x14ac:dyDescent="0.3">
      <c r="A141" s="52" t="s">
        <v>1623</v>
      </c>
      <c r="B141" s="53" t="s">
        <v>1624</v>
      </c>
      <c r="C141" s="57" t="s">
        <v>1465</v>
      </c>
      <c r="D141" s="55">
        <v>5.5000000000000003E-4</v>
      </c>
      <c r="E141" s="53">
        <v>8.8999999999999996E-2</v>
      </c>
      <c r="F141" s="60">
        <v>4.4999999999999997E-3</v>
      </c>
      <c r="G141" s="15" t="str">
        <f t="shared" si="2"/>
        <v>7H-Dibenzo[c,g]carbazole</v>
      </c>
    </row>
    <row r="142" spans="1:7" ht="22.8" x14ac:dyDescent="0.3">
      <c r="A142" s="52" t="s">
        <v>1625</v>
      </c>
      <c r="B142" s="53" t="s">
        <v>1414</v>
      </c>
      <c r="C142" s="57" t="s">
        <v>1465</v>
      </c>
      <c r="D142" s="53">
        <v>3.2000000000000003E-4</v>
      </c>
      <c r="E142" s="53">
        <v>5.1999999999999998E-2</v>
      </c>
      <c r="F142" s="54">
        <v>2.5999999999999999E-3</v>
      </c>
      <c r="G142" s="15" t="str">
        <f t="shared" si="2"/>
        <v>1,2-Dibromo-3-chloropropane (DBCP)</v>
      </c>
    </row>
    <row r="143" spans="1:7" ht="22.8" x14ac:dyDescent="0.3">
      <c r="A143" s="52" t="s">
        <v>1626</v>
      </c>
      <c r="B143" s="53" t="s">
        <v>1627</v>
      </c>
      <c r="C143" s="57" t="s">
        <v>1465</v>
      </c>
      <c r="D143" s="53">
        <v>1.5E-3</v>
      </c>
      <c r="E143" s="53">
        <v>0.25</v>
      </c>
      <c r="F143" s="54">
        <v>1.2E-2</v>
      </c>
      <c r="G143" s="15" t="str">
        <f t="shared" si="2"/>
        <v>Tris(2,3-dibromopropyl)phosphate</v>
      </c>
    </row>
    <row r="144" spans="1:7" x14ac:dyDescent="0.3">
      <c r="A144" s="52" t="s">
        <v>1628</v>
      </c>
      <c r="B144" s="53" t="s">
        <v>238</v>
      </c>
      <c r="C144" s="57" t="s">
        <v>1465</v>
      </c>
      <c r="D144" s="53">
        <v>9.0999999999999998E-2</v>
      </c>
      <c r="E144" s="53">
        <v>15</v>
      </c>
      <c r="F144" s="54">
        <v>0.74</v>
      </c>
      <c r="G144" s="15" t="str">
        <f t="shared" si="2"/>
        <v>1,4-Dichlorobenzene</v>
      </c>
    </row>
    <row r="145" spans="1:7" x14ac:dyDescent="0.3">
      <c r="A145" s="52" t="s">
        <v>1629</v>
      </c>
      <c r="B145" s="53" t="s">
        <v>1374</v>
      </c>
      <c r="C145" s="57" t="s">
        <v>1465</v>
      </c>
      <c r="D145" s="53">
        <v>2.8999999999999998E-3</v>
      </c>
      <c r="E145" s="53">
        <v>0.48</v>
      </c>
      <c r="F145" s="54">
        <v>2.4E-2</v>
      </c>
      <c r="G145" s="15" t="str">
        <f t="shared" si="2"/>
        <v>3,3'-Dichlorobenzidine</v>
      </c>
    </row>
    <row r="146" spans="1:7" ht="34.200000000000003" x14ac:dyDescent="0.3">
      <c r="A146" s="52" t="s">
        <v>1630</v>
      </c>
      <c r="B146" s="53" t="s">
        <v>1631</v>
      </c>
      <c r="C146" s="57" t="s">
        <v>1465</v>
      </c>
      <c r="D146" s="55">
        <v>1.4E-2</v>
      </c>
      <c r="E146" s="53">
        <v>2.4</v>
      </c>
      <c r="F146" s="54">
        <v>0.12</v>
      </c>
      <c r="G146" s="15" t="str">
        <f t="shared" si="2"/>
        <v>DDD (dichlorodiphenyldichloroethane)</v>
      </c>
    </row>
    <row r="147" spans="1:7" ht="34.200000000000003" x14ac:dyDescent="0.3">
      <c r="A147" s="52" t="s">
        <v>1632</v>
      </c>
      <c r="B147" s="53" t="s">
        <v>1633</v>
      </c>
      <c r="C147" s="57" t="s">
        <v>1465</v>
      </c>
      <c r="D147" s="53">
        <v>0.01</v>
      </c>
      <c r="E147" s="53">
        <v>1.7</v>
      </c>
      <c r="F147" s="54">
        <v>8.4000000000000005E-2</v>
      </c>
      <c r="G147" s="15" t="str">
        <f t="shared" si="2"/>
        <v>DDE (dichlorodiphenyldichloroethylene)</v>
      </c>
    </row>
    <row r="148" spans="1:7" ht="22.8" x14ac:dyDescent="0.3">
      <c r="A148" s="52" t="s">
        <v>1634</v>
      </c>
      <c r="B148" s="53" t="s">
        <v>812</v>
      </c>
      <c r="C148" s="57" t="s">
        <v>1465</v>
      </c>
      <c r="D148" s="53">
        <v>0.01</v>
      </c>
      <c r="E148" s="53">
        <v>1.7</v>
      </c>
      <c r="F148" s="54">
        <v>8.4000000000000005E-2</v>
      </c>
      <c r="G148" s="15" t="str">
        <f t="shared" si="2"/>
        <v>DDT(dichlorodiphenyltrichloroethane)</v>
      </c>
    </row>
    <row r="149" spans="1:7" ht="22.8" x14ac:dyDescent="0.3">
      <c r="A149" s="52" t="s">
        <v>1635</v>
      </c>
      <c r="B149" s="53" t="s">
        <v>1108</v>
      </c>
      <c r="C149" s="57" t="s">
        <v>1465</v>
      </c>
      <c r="D149" s="53">
        <v>0.63</v>
      </c>
      <c r="E149" s="53">
        <v>100</v>
      </c>
      <c r="F149" s="54">
        <v>5.0999999999999996</v>
      </c>
      <c r="G149" s="15" t="str">
        <f t="shared" si="2"/>
        <v>1,1-Dichloroethane (ethylidene dichloride)</v>
      </c>
    </row>
    <row r="150" spans="1:7" x14ac:dyDescent="0.3">
      <c r="A150" s="52" t="s">
        <v>1636</v>
      </c>
      <c r="B150" s="53" t="s">
        <v>1637</v>
      </c>
      <c r="C150" s="57" t="s">
        <v>1466</v>
      </c>
      <c r="D150" s="53">
        <v>810</v>
      </c>
      <c r="E150" s="53">
        <v>60</v>
      </c>
      <c r="F150" s="54">
        <v>3</v>
      </c>
      <c r="G150" s="15" t="str">
        <f t="shared" si="2"/>
        <v>trans-1,2-Dichloroethene</v>
      </c>
    </row>
    <row r="151" spans="1:7" x14ac:dyDescent="0.3">
      <c r="A151" s="52" t="s">
        <v>1638</v>
      </c>
      <c r="B151" s="53" t="s">
        <v>1110</v>
      </c>
      <c r="C151" s="57" t="s">
        <v>1466</v>
      </c>
      <c r="D151" s="53">
        <v>200</v>
      </c>
      <c r="E151" s="53">
        <v>15</v>
      </c>
      <c r="F151" s="54">
        <v>0.74</v>
      </c>
      <c r="G151" s="15" t="str">
        <f t="shared" si="2"/>
        <v>1,1-Dichloroethylene (1,1-DCE)</v>
      </c>
    </row>
    <row r="152" spans="1:7" x14ac:dyDescent="0.3">
      <c r="A152" s="56" t="s">
        <v>1639</v>
      </c>
      <c r="B152" s="63" t="s">
        <v>77</v>
      </c>
      <c r="C152" s="57" t="s">
        <v>1465</v>
      </c>
      <c r="D152" s="57">
        <v>60</v>
      </c>
      <c r="E152" s="57">
        <v>9800</v>
      </c>
      <c r="F152" s="58">
        <v>490</v>
      </c>
      <c r="G152" s="15" t="str">
        <f t="shared" si="2"/>
        <v>Dichloromethane</v>
      </c>
    </row>
    <row r="153" spans="1:7" ht="22.8" x14ac:dyDescent="0.3">
      <c r="A153" s="52" t="s">
        <v>1640</v>
      </c>
      <c r="B153" s="53" t="s">
        <v>1260</v>
      </c>
      <c r="C153" s="53" t="s">
        <v>1465</v>
      </c>
      <c r="D153" s="53">
        <v>0.1</v>
      </c>
      <c r="E153" s="53">
        <v>16</v>
      </c>
      <c r="F153" s="54">
        <v>0.81</v>
      </c>
      <c r="G153" s="15" t="str">
        <f t="shared" si="2"/>
        <v>1,2-Dichloropropane (propylene dichloride)</v>
      </c>
    </row>
    <row r="154" spans="1:7" x14ac:dyDescent="0.3">
      <c r="A154" s="56" t="s">
        <v>857</v>
      </c>
      <c r="B154" s="57" t="s">
        <v>856</v>
      </c>
      <c r="C154" s="57" t="s">
        <v>1465</v>
      </c>
      <c r="D154" s="57">
        <v>0.25</v>
      </c>
      <c r="E154" s="57">
        <v>41</v>
      </c>
      <c r="F154" s="58">
        <v>2</v>
      </c>
      <c r="G154" s="15" t="str">
        <f t="shared" si="2"/>
        <v>1,3-Dichloropropene</v>
      </c>
    </row>
    <row r="155" spans="1:7" x14ac:dyDescent="0.3">
      <c r="A155" s="56" t="s">
        <v>1641</v>
      </c>
      <c r="B155" s="57" t="s">
        <v>1642</v>
      </c>
      <c r="C155" s="57" t="s">
        <v>1466</v>
      </c>
      <c r="D155" s="57">
        <v>9.1999999999999993</v>
      </c>
      <c r="E155" s="57">
        <v>0.68</v>
      </c>
      <c r="F155" s="58">
        <v>3.4000000000000002E-2</v>
      </c>
      <c r="G155" s="15" t="str">
        <f t="shared" si="2"/>
        <v>2,3-Dichloropropene</v>
      </c>
    </row>
    <row r="156" spans="1:7" x14ac:dyDescent="0.3">
      <c r="A156" s="56" t="s">
        <v>1643</v>
      </c>
      <c r="B156" s="57" t="s">
        <v>948</v>
      </c>
      <c r="C156" s="57" t="s">
        <v>1465</v>
      </c>
      <c r="D156" s="57">
        <v>1.2E-2</v>
      </c>
      <c r="E156" s="57">
        <v>2</v>
      </c>
      <c r="F156" s="58">
        <v>9.8000000000000004E-2</v>
      </c>
      <c r="G156" s="15" t="str">
        <f t="shared" si="2"/>
        <v>Dichlorvos (DDVP)</v>
      </c>
    </row>
    <row r="157" spans="1:7" x14ac:dyDescent="0.3">
      <c r="A157" s="52" t="s">
        <v>933</v>
      </c>
      <c r="B157" s="53" t="s">
        <v>932</v>
      </c>
      <c r="C157" s="57" t="s">
        <v>1465</v>
      </c>
      <c r="D157" s="55">
        <v>2.2000000000000001E-4</v>
      </c>
      <c r="E157" s="53">
        <v>3.5000000000000003E-2</v>
      </c>
      <c r="F157" s="60">
        <v>1.8E-3</v>
      </c>
      <c r="G157" s="15" t="str">
        <f t="shared" si="2"/>
        <v>Dieldrin</v>
      </c>
    </row>
    <row r="158" spans="1:7" ht="22.8" x14ac:dyDescent="0.3">
      <c r="A158" s="52" t="s">
        <v>1644</v>
      </c>
      <c r="B158" s="53" t="s">
        <v>1495</v>
      </c>
      <c r="C158" s="57" t="s">
        <v>1465</v>
      </c>
      <c r="D158" s="53">
        <v>3.3E-3</v>
      </c>
      <c r="E158" s="53">
        <v>0.54</v>
      </c>
      <c r="F158" s="54">
        <v>2.7E-2</v>
      </c>
      <c r="G158" s="15" t="str">
        <f t="shared" si="2"/>
        <v>Diesel engine exhaust, particulate</v>
      </c>
    </row>
    <row r="159" spans="1:7" x14ac:dyDescent="0.3">
      <c r="A159" s="52" t="s">
        <v>383</v>
      </c>
      <c r="B159" s="53" t="s">
        <v>382</v>
      </c>
      <c r="C159" s="57" t="s">
        <v>1466</v>
      </c>
      <c r="D159" s="53">
        <v>3</v>
      </c>
      <c r="E159" s="53">
        <v>0.22</v>
      </c>
      <c r="F159" s="54">
        <v>1.0999999999999999E-2</v>
      </c>
      <c r="G159" s="15" t="str">
        <f t="shared" si="2"/>
        <v>Diethanolamine</v>
      </c>
    </row>
    <row r="160" spans="1:7" x14ac:dyDescent="0.3">
      <c r="A160" s="52" t="s">
        <v>1645</v>
      </c>
      <c r="B160" s="53" t="s">
        <v>1646</v>
      </c>
      <c r="C160" s="57" t="s">
        <v>1465</v>
      </c>
      <c r="D160" s="53">
        <v>1.0000000000000001E-5</v>
      </c>
      <c r="E160" s="53">
        <v>1.6000000000000001E-3</v>
      </c>
      <c r="F160" s="54">
        <v>8.1000000000000004E-5</v>
      </c>
      <c r="G160" s="15" t="str">
        <f t="shared" si="2"/>
        <v>Diethylstilbestrol</v>
      </c>
    </row>
    <row r="161" spans="1:7" x14ac:dyDescent="0.3">
      <c r="A161" s="52" t="s">
        <v>1647</v>
      </c>
      <c r="B161" s="53" t="s">
        <v>1648</v>
      </c>
      <c r="C161" s="57" t="s">
        <v>1466</v>
      </c>
      <c r="D161" s="53">
        <v>40000</v>
      </c>
      <c r="E161" s="53">
        <v>3000</v>
      </c>
      <c r="F161" s="54">
        <v>150</v>
      </c>
      <c r="G161" s="15" t="str">
        <f t="shared" si="2"/>
        <v>1,1-Difluoroethane</v>
      </c>
    </row>
    <row r="162" spans="1:7" x14ac:dyDescent="0.3">
      <c r="A162" s="56" t="s">
        <v>213</v>
      </c>
      <c r="B162" s="57" t="s">
        <v>212</v>
      </c>
      <c r="C162" s="57" t="s">
        <v>1465</v>
      </c>
      <c r="D162" s="57">
        <v>2E-3</v>
      </c>
      <c r="E162" s="57">
        <v>0.33</v>
      </c>
      <c r="F162" s="58">
        <v>1.7000000000000001E-2</v>
      </c>
      <c r="G162" s="15" t="str">
        <f t="shared" si="2"/>
        <v>Diglycidyl resorcinol ether</v>
      </c>
    </row>
    <row r="163" spans="1:7" x14ac:dyDescent="0.3">
      <c r="A163" s="56" t="s">
        <v>1649</v>
      </c>
      <c r="B163" s="57" t="s">
        <v>1650</v>
      </c>
      <c r="C163" s="57" t="s">
        <v>1465</v>
      </c>
      <c r="D163" s="57">
        <v>7.6999999999999999E-2</v>
      </c>
      <c r="E163" s="57">
        <v>12</v>
      </c>
      <c r="F163" s="58">
        <v>0.62</v>
      </c>
      <c r="G163" s="15" t="str">
        <f t="shared" si="2"/>
        <v>Dihydrosafrole</v>
      </c>
    </row>
    <row r="164" spans="1:7" x14ac:dyDescent="0.3">
      <c r="A164" s="56" t="s">
        <v>1651</v>
      </c>
      <c r="B164" s="57" t="s">
        <v>924</v>
      </c>
      <c r="C164" s="57" t="s">
        <v>1465</v>
      </c>
      <c r="D164" s="57">
        <v>7.6999999999999996E-4</v>
      </c>
      <c r="E164" s="57">
        <v>0.12</v>
      </c>
      <c r="F164" s="58">
        <v>6.1999999999999998E-3</v>
      </c>
      <c r="G164" s="15" t="str">
        <f t="shared" si="2"/>
        <v>4-Dimethylaminoazobenzene</v>
      </c>
    </row>
    <row r="165" spans="1:7" ht="35.4" x14ac:dyDescent="0.3">
      <c r="A165" s="56" t="s">
        <v>1652</v>
      </c>
      <c r="B165" s="57" t="s">
        <v>876</v>
      </c>
      <c r="C165" s="57" t="s">
        <v>1465</v>
      </c>
      <c r="D165" s="57">
        <v>7.7000000000000002E-3</v>
      </c>
      <c r="E165" s="57">
        <v>1.2</v>
      </c>
      <c r="F165" s="58">
        <v>6.2E-2</v>
      </c>
      <c r="G165" s="15" t="str">
        <f t="shared" si="2"/>
        <v>trans-2[(dimethylamino)-methylimino]-5-[2-(5-nitro-2-furyl)-vinyl]-1,3,4-oxadiazole</v>
      </c>
    </row>
    <row r="166" spans="1:7" ht="24" x14ac:dyDescent="0.3">
      <c r="A166" s="56" t="s">
        <v>1653</v>
      </c>
      <c r="B166" s="57" t="s">
        <v>1654</v>
      </c>
      <c r="C166" s="57" t="s">
        <v>1465</v>
      </c>
      <c r="D166" s="59">
        <v>8.4999999999999999E-6</v>
      </c>
      <c r="E166" s="57">
        <v>1.4E-3</v>
      </c>
      <c r="F166" s="58">
        <v>6.8999999999999997E-5</v>
      </c>
      <c r="G166" s="15" t="str">
        <f t="shared" si="2"/>
        <v>7,12-Dimethylbenz[a]anthracene</v>
      </c>
    </row>
    <row r="167" spans="1:7" x14ac:dyDescent="0.3">
      <c r="A167" s="56" t="s">
        <v>1294</v>
      </c>
      <c r="B167" s="57" t="s">
        <v>1293</v>
      </c>
      <c r="C167" s="57" t="s">
        <v>1465</v>
      </c>
      <c r="D167" s="57">
        <v>2.7E-4</v>
      </c>
      <c r="E167" s="57">
        <v>4.3999999999999997E-2</v>
      </c>
      <c r="F167" s="58">
        <v>2.2000000000000001E-3</v>
      </c>
      <c r="G167" s="15" t="str">
        <f t="shared" si="2"/>
        <v>Dimethyl carbamoyl chloride</v>
      </c>
    </row>
    <row r="168" spans="1:7" x14ac:dyDescent="0.3">
      <c r="A168" s="52" t="s">
        <v>893</v>
      </c>
      <c r="B168" s="53" t="s">
        <v>892</v>
      </c>
      <c r="C168" s="57" t="s">
        <v>1466</v>
      </c>
      <c r="D168" s="53">
        <v>0.5</v>
      </c>
      <c r="E168" s="53">
        <v>3.6999999999999998E-2</v>
      </c>
      <c r="F168" s="54">
        <v>1.9E-3</v>
      </c>
      <c r="G168" s="15" t="str">
        <f t="shared" si="2"/>
        <v>1,1-Dimethylhydrazine</v>
      </c>
    </row>
    <row r="169" spans="1:7" x14ac:dyDescent="0.3">
      <c r="A169" s="52" t="s">
        <v>849</v>
      </c>
      <c r="B169" s="53" t="s">
        <v>848</v>
      </c>
      <c r="C169" s="53" t="s">
        <v>1465</v>
      </c>
      <c r="D169" s="53">
        <v>6.2999999999999998E-6</v>
      </c>
      <c r="E169" s="53">
        <v>1E-3</v>
      </c>
      <c r="F169" s="54">
        <v>5.1E-5</v>
      </c>
      <c r="G169" s="15" t="str">
        <f t="shared" si="2"/>
        <v>1,2-Dimethylhydrazine</v>
      </c>
    </row>
    <row r="170" spans="1:7" x14ac:dyDescent="0.3">
      <c r="A170" s="52" t="s">
        <v>1655</v>
      </c>
      <c r="B170" s="53" t="s">
        <v>1656</v>
      </c>
      <c r="C170" s="57" t="s">
        <v>1465</v>
      </c>
      <c r="D170" s="53">
        <v>7.6999999999999999E-2</v>
      </c>
      <c r="E170" s="53">
        <v>12</v>
      </c>
      <c r="F170" s="54">
        <v>0.62</v>
      </c>
      <c r="G170" s="15" t="str">
        <f t="shared" si="2"/>
        <v>Dimethylvinylchloride</v>
      </c>
    </row>
    <row r="171" spans="1:7" x14ac:dyDescent="0.3">
      <c r="A171" s="52" t="s">
        <v>1657</v>
      </c>
      <c r="B171" s="53" t="s">
        <v>1658</v>
      </c>
      <c r="C171" s="57" t="s">
        <v>1465</v>
      </c>
      <c r="D171" s="55">
        <v>5.5000000000000002E-5</v>
      </c>
      <c r="E171" s="53">
        <v>8.8999999999999999E-3</v>
      </c>
      <c r="F171" s="54">
        <v>4.4999999999999999E-4</v>
      </c>
      <c r="G171" s="15" t="str">
        <f t="shared" si="2"/>
        <v>1,6-Dinitropyrene</v>
      </c>
    </row>
    <row r="172" spans="1:7" x14ac:dyDescent="0.3">
      <c r="A172" s="52" t="s">
        <v>1659</v>
      </c>
      <c r="B172" s="53" t="s">
        <v>1660</v>
      </c>
      <c r="C172" s="57" t="s">
        <v>1465</v>
      </c>
      <c r="D172" s="55">
        <v>5.5000000000000003E-4</v>
      </c>
      <c r="E172" s="53">
        <v>8.8999999999999996E-2</v>
      </c>
      <c r="F172" s="54">
        <v>4.4999999999999997E-3</v>
      </c>
      <c r="G172" s="15" t="str">
        <f t="shared" si="2"/>
        <v>1,8-Dinitropyrene</v>
      </c>
    </row>
    <row r="173" spans="1:7" x14ac:dyDescent="0.3">
      <c r="A173" s="52" t="s">
        <v>424</v>
      </c>
      <c r="B173" s="53" t="s">
        <v>423</v>
      </c>
      <c r="C173" s="57" t="s">
        <v>1465</v>
      </c>
      <c r="D173" s="55">
        <v>1.0999999999999999E-2</v>
      </c>
      <c r="E173" s="53">
        <v>1.8</v>
      </c>
      <c r="F173" s="54">
        <v>9.0999999999999998E-2</v>
      </c>
      <c r="G173" s="15" t="str">
        <f t="shared" si="2"/>
        <v>2,4-Dinitrotoluene</v>
      </c>
    </row>
    <row r="174" spans="1:7" x14ac:dyDescent="0.3">
      <c r="A174" s="52" t="s">
        <v>1661</v>
      </c>
      <c r="B174" s="53" t="s">
        <v>455</v>
      </c>
      <c r="C174" s="57" t="s">
        <v>1465</v>
      </c>
      <c r="D174" s="55">
        <v>0.2</v>
      </c>
      <c r="E174" s="53">
        <v>32</v>
      </c>
      <c r="F174" s="54">
        <v>1.6</v>
      </c>
      <c r="G174" s="15" t="str">
        <f t="shared" si="2"/>
        <v>1,4-Dioxane</v>
      </c>
    </row>
    <row r="175" spans="1:7" ht="24" x14ac:dyDescent="0.3">
      <c r="A175" s="56" t="s">
        <v>1662</v>
      </c>
      <c r="B175" s="57" t="s">
        <v>443</v>
      </c>
      <c r="C175" s="57" t="s">
        <v>1465</v>
      </c>
      <c r="D175" s="59">
        <v>4.0000000000000001E-3</v>
      </c>
      <c r="E175" s="57">
        <v>0.65</v>
      </c>
      <c r="F175" s="61">
        <v>3.2000000000000001E-2</v>
      </c>
      <c r="G175" s="15" t="str">
        <f t="shared" si="2"/>
        <v>1,2-Diphenylhydrazine (hydrazobenzene)</v>
      </c>
    </row>
    <row r="176" spans="1:7" x14ac:dyDescent="0.3">
      <c r="A176" s="56" t="s">
        <v>1663</v>
      </c>
      <c r="B176" s="57" t="s">
        <v>1664</v>
      </c>
      <c r="C176" s="57" t="s">
        <v>1465</v>
      </c>
      <c r="D176" s="59">
        <v>4.8000000000000001E-4</v>
      </c>
      <c r="E176" s="57">
        <v>7.6999999999999999E-2</v>
      </c>
      <c r="F176" s="61">
        <v>3.8999999999999998E-3</v>
      </c>
      <c r="G176" s="15" t="str">
        <f t="shared" si="2"/>
        <v>Direct black 38</v>
      </c>
    </row>
    <row r="177" spans="1:7" x14ac:dyDescent="0.3">
      <c r="A177" s="52" t="s">
        <v>1665</v>
      </c>
      <c r="B177" s="53" t="s">
        <v>1666</v>
      </c>
      <c r="C177" s="57" t="s">
        <v>1465</v>
      </c>
      <c r="D177" s="53">
        <v>4.8000000000000001E-4</v>
      </c>
      <c r="E177" s="53">
        <v>7.6999999999999999E-2</v>
      </c>
      <c r="F177" s="54">
        <v>3.8999999999999998E-3</v>
      </c>
      <c r="G177" s="15" t="str">
        <f t="shared" si="2"/>
        <v>Direct blue 6</v>
      </c>
    </row>
    <row r="178" spans="1:7" x14ac:dyDescent="0.3">
      <c r="A178" s="52" t="s">
        <v>1667</v>
      </c>
      <c r="B178" s="53" t="s">
        <v>1668</v>
      </c>
      <c r="C178" s="57" t="s">
        <v>1465</v>
      </c>
      <c r="D178" s="53">
        <v>5.2999999999999998E-4</v>
      </c>
      <c r="E178" s="53">
        <v>8.5000000000000006E-2</v>
      </c>
      <c r="F178" s="54">
        <v>4.3E-3</v>
      </c>
      <c r="G178" s="15" t="str">
        <f t="shared" si="2"/>
        <v>Direct brown 95</v>
      </c>
    </row>
    <row r="179" spans="1:7" x14ac:dyDescent="0.3">
      <c r="A179" s="56" t="s">
        <v>1669</v>
      </c>
      <c r="B179" s="57" t="s">
        <v>1670</v>
      </c>
      <c r="C179" s="57" t="s">
        <v>1465</v>
      </c>
      <c r="D179" s="57">
        <v>0.77</v>
      </c>
      <c r="E179" s="57">
        <v>120</v>
      </c>
      <c r="F179" s="58">
        <v>6.2</v>
      </c>
      <c r="G179" s="15" t="str">
        <f t="shared" si="2"/>
        <v>Disperse blue 1</v>
      </c>
    </row>
    <row r="180" spans="1:7" x14ac:dyDescent="0.3">
      <c r="A180" s="56" t="s">
        <v>1671</v>
      </c>
      <c r="B180" s="57" t="s">
        <v>725</v>
      </c>
      <c r="C180" s="57" t="s">
        <v>1466</v>
      </c>
      <c r="D180" s="57">
        <v>0.2</v>
      </c>
      <c r="E180" s="57">
        <v>1.4999999999999999E-2</v>
      </c>
      <c r="F180" s="58">
        <v>7.3999999999999999E-4</v>
      </c>
      <c r="G180" s="15" t="str">
        <f t="shared" si="2"/>
        <v>Disulfoton</v>
      </c>
    </row>
    <row r="181" spans="1:7" x14ac:dyDescent="0.3">
      <c r="A181" s="52" t="s">
        <v>1672</v>
      </c>
      <c r="B181" s="57" t="s">
        <v>250</v>
      </c>
      <c r="C181" s="53" t="s">
        <v>1465</v>
      </c>
      <c r="D181" s="53">
        <v>4.2999999999999997E-2</v>
      </c>
      <c r="E181" s="53">
        <v>7.1</v>
      </c>
      <c r="F181" s="54">
        <v>0.35</v>
      </c>
      <c r="G181" s="15" t="str">
        <f t="shared" si="2"/>
        <v>Epichlorohydrin</v>
      </c>
    </row>
    <row r="182" spans="1:7" x14ac:dyDescent="0.3">
      <c r="A182" s="56" t="s">
        <v>1673</v>
      </c>
      <c r="B182" s="57" t="s">
        <v>248</v>
      </c>
      <c r="C182" s="57" t="s">
        <v>1466</v>
      </c>
      <c r="D182" s="57">
        <v>20</v>
      </c>
      <c r="E182" s="57">
        <v>1.5</v>
      </c>
      <c r="F182" s="58">
        <v>7.3999999999999996E-2</v>
      </c>
      <c r="G182" s="15" t="str">
        <f t="shared" si="2"/>
        <v>1,2-Epoxybutane</v>
      </c>
    </row>
    <row r="183" spans="1:7" x14ac:dyDescent="0.3">
      <c r="A183" s="56" t="s">
        <v>1674</v>
      </c>
      <c r="B183" s="57" t="s">
        <v>1675</v>
      </c>
      <c r="C183" s="57" t="s">
        <v>1465</v>
      </c>
      <c r="D183" s="57">
        <v>9.1000000000000003E-5</v>
      </c>
      <c r="E183" s="57">
        <v>1.4999999999999999E-2</v>
      </c>
      <c r="F183" s="58">
        <v>7.3999999999999999E-4</v>
      </c>
      <c r="G183" s="15" t="str">
        <f t="shared" si="2"/>
        <v>Estradiol 17B</v>
      </c>
    </row>
    <row r="184" spans="1:7" x14ac:dyDescent="0.3">
      <c r="A184" s="52" t="s">
        <v>183</v>
      </c>
      <c r="B184" s="53" t="s">
        <v>95</v>
      </c>
      <c r="C184" s="53" t="s">
        <v>1465</v>
      </c>
      <c r="D184" s="53">
        <v>0.4</v>
      </c>
      <c r="E184" s="53">
        <v>65</v>
      </c>
      <c r="F184" s="54">
        <v>3.2</v>
      </c>
      <c r="G184" s="15" t="str">
        <f t="shared" si="2"/>
        <v>Ethyl benzene</v>
      </c>
    </row>
    <row r="185" spans="1:7" x14ac:dyDescent="0.3">
      <c r="A185" s="52" t="s">
        <v>1676</v>
      </c>
      <c r="B185" s="53" t="s">
        <v>824</v>
      </c>
      <c r="C185" s="57" t="s">
        <v>1465</v>
      </c>
      <c r="D185" s="53">
        <v>2.0999999999999999E-3</v>
      </c>
      <c r="E185" s="53">
        <v>0.34</v>
      </c>
      <c r="F185" s="54">
        <v>1.7000000000000001E-2</v>
      </c>
      <c r="G185" s="15" t="str">
        <f t="shared" si="2"/>
        <v>Ethyl carbamate (urethane)</v>
      </c>
    </row>
    <row r="186" spans="1:7" ht="22.8" x14ac:dyDescent="0.3">
      <c r="A186" s="52" t="s">
        <v>1677</v>
      </c>
      <c r="B186" s="53" t="s">
        <v>254</v>
      </c>
      <c r="C186" s="57" t="s">
        <v>1465</v>
      </c>
      <c r="D186" s="53">
        <v>1.6999999999999999E-3</v>
      </c>
      <c r="E186" s="53">
        <v>0.27</v>
      </c>
      <c r="F186" s="54">
        <v>1.4E-2</v>
      </c>
      <c r="G186" s="15" t="str">
        <f t="shared" si="2"/>
        <v>Ethylene dibromide (EDB, 1,2-dibromoethane)</v>
      </c>
    </row>
    <row r="187" spans="1:7" ht="22.8" x14ac:dyDescent="0.3">
      <c r="A187" s="52" t="s">
        <v>1678</v>
      </c>
      <c r="B187" s="62" t="s">
        <v>262</v>
      </c>
      <c r="C187" s="57" t="s">
        <v>1465</v>
      </c>
      <c r="D187" s="53">
        <v>3.7999999999999999E-2</v>
      </c>
      <c r="E187" s="53">
        <v>6.2</v>
      </c>
      <c r="F187" s="54">
        <v>0.31</v>
      </c>
      <c r="G187" s="15" t="str">
        <f t="shared" si="2"/>
        <v>Ethylene dichloride (EDC, 1,2-dichloroethane)</v>
      </c>
    </row>
    <row r="188" spans="1:7" x14ac:dyDescent="0.3">
      <c r="A188" s="52" t="s">
        <v>277</v>
      </c>
      <c r="B188" s="62" t="s">
        <v>276</v>
      </c>
      <c r="C188" s="57" t="s">
        <v>1466</v>
      </c>
      <c r="D188" s="55">
        <v>400</v>
      </c>
      <c r="E188" s="53">
        <v>30</v>
      </c>
      <c r="F188" s="54">
        <v>1.5</v>
      </c>
      <c r="G188" s="15" t="str">
        <f t="shared" si="2"/>
        <v>Ethylene glycol</v>
      </c>
    </row>
    <row r="189" spans="1:7" ht="22.8" x14ac:dyDescent="0.3">
      <c r="A189" s="52" t="s">
        <v>1679</v>
      </c>
      <c r="B189" s="53" t="s">
        <v>388</v>
      </c>
      <c r="C189" s="57" t="s">
        <v>1466</v>
      </c>
      <c r="D189" s="53">
        <v>82</v>
      </c>
      <c r="E189" s="53">
        <v>6.1</v>
      </c>
      <c r="F189" s="54">
        <v>0.3</v>
      </c>
      <c r="G189" s="15" t="str">
        <f t="shared" si="2"/>
        <v>Ethylene glycol monobutyl ether</v>
      </c>
    </row>
    <row r="190" spans="1:7" ht="22.8" x14ac:dyDescent="0.3">
      <c r="A190" s="52" t="s">
        <v>1680</v>
      </c>
      <c r="B190" s="53" t="s">
        <v>366</v>
      </c>
      <c r="C190" s="57" t="s">
        <v>1466</v>
      </c>
      <c r="D190" s="53">
        <v>70</v>
      </c>
      <c r="E190" s="53">
        <v>5.2</v>
      </c>
      <c r="F190" s="54">
        <v>0.26</v>
      </c>
      <c r="G190" s="15" t="str">
        <f t="shared" si="2"/>
        <v>Ethylene glycol monoethyl ether (2-ethoxyethanol)</v>
      </c>
    </row>
    <row r="191" spans="1:7" ht="22.8" x14ac:dyDescent="0.3">
      <c r="A191" s="52" t="s">
        <v>1681</v>
      </c>
      <c r="B191" s="53" t="s">
        <v>376</v>
      </c>
      <c r="C191" s="57" t="s">
        <v>1466</v>
      </c>
      <c r="D191" s="53">
        <v>300</v>
      </c>
      <c r="E191" s="53">
        <v>22</v>
      </c>
      <c r="F191" s="54">
        <v>1.1000000000000001</v>
      </c>
      <c r="G191" s="15" t="str">
        <f t="shared" si="2"/>
        <v>Ethylene glycol monoethyl ether acetate</v>
      </c>
    </row>
    <row r="192" spans="1:7" ht="22.8" x14ac:dyDescent="0.3">
      <c r="A192" s="52" t="s">
        <v>1682</v>
      </c>
      <c r="B192" s="53" t="s">
        <v>346</v>
      </c>
      <c r="C192" s="57" t="s">
        <v>1466</v>
      </c>
      <c r="D192" s="53">
        <v>60</v>
      </c>
      <c r="E192" s="53">
        <v>4.4000000000000004</v>
      </c>
      <c r="F192" s="54">
        <v>0.22</v>
      </c>
      <c r="G192" s="15" t="str">
        <f t="shared" si="2"/>
        <v>Ethylene glycol monomethyl ether (2-methoxyethanol)</v>
      </c>
    </row>
    <row r="193" spans="1:7" ht="22.8" x14ac:dyDescent="0.3">
      <c r="A193" s="52" t="s">
        <v>1683</v>
      </c>
      <c r="B193" s="53" t="s">
        <v>362</v>
      </c>
      <c r="C193" s="57" t="s">
        <v>1466</v>
      </c>
      <c r="D193" s="53">
        <v>90</v>
      </c>
      <c r="E193" s="53">
        <v>6.7</v>
      </c>
      <c r="F193" s="54">
        <v>0.33</v>
      </c>
      <c r="G193" s="15" t="str">
        <f t="shared" si="2"/>
        <v>Ethylene glycol monomethyl ether acetate</v>
      </c>
    </row>
    <row r="194" spans="1:7" x14ac:dyDescent="0.3">
      <c r="A194" s="56" t="s">
        <v>1103</v>
      </c>
      <c r="B194" s="57" t="s">
        <v>1102</v>
      </c>
      <c r="C194" s="57" t="s">
        <v>1465</v>
      </c>
      <c r="D194" s="57">
        <v>2.0000000000000001E-4</v>
      </c>
      <c r="E194" s="57">
        <v>3.3000000000000002E-2</v>
      </c>
      <c r="F194" s="58">
        <v>1.6000000000000001E-3</v>
      </c>
      <c r="G194" s="15" t="str">
        <f t="shared" si="2"/>
        <v>Ethylene oxide</v>
      </c>
    </row>
    <row r="195" spans="1:7" x14ac:dyDescent="0.3">
      <c r="A195" s="56" t="s">
        <v>1423</v>
      </c>
      <c r="B195" s="57" t="s">
        <v>1422</v>
      </c>
      <c r="C195" s="57" t="s">
        <v>1465</v>
      </c>
      <c r="D195" s="57">
        <v>7.6999999999999999E-2</v>
      </c>
      <c r="E195" s="57">
        <v>12</v>
      </c>
      <c r="F195" s="58">
        <v>0.62</v>
      </c>
      <c r="G195" s="15" t="str">
        <f t="shared" ref="G195:G258" si="3">A195</f>
        <v>Ethylene thiourea</v>
      </c>
    </row>
    <row r="196" spans="1:7" x14ac:dyDescent="0.3">
      <c r="A196" s="52" t="s">
        <v>1684</v>
      </c>
      <c r="B196" s="53" t="s">
        <v>599</v>
      </c>
      <c r="C196" s="53" t="s">
        <v>1465</v>
      </c>
      <c r="D196" s="53">
        <v>5.3000000000000001E-5</v>
      </c>
      <c r="E196" s="53">
        <v>8.5000000000000006E-3</v>
      </c>
      <c r="F196" s="54">
        <v>4.2999999999999999E-4</v>
      </c>
      <c r="G196" s="15" t="str">
        <f t="shared" si="3"/>
        <v>Ethyleneimine</v>
      </c>
    </row>
    <row r="197" spans="1:7" x14ac:dyDescent="0.3">
      <c r="A197" s="52" t="s">
        <v>1685</v>
      </c>
      <c r="B197" s="53" t="s">
        <v>1686</v>
      </c>
      <c r="C197" s="57" t="s">
        <v>1485</v>
      </c>
      <c r="D197" s="53">
        <v>120</v>
      </c>
      <c r="E197" s="53">
        <v>0.22</v>
      </c>
      <c r="F197" s="54">
        <v>1.0999999999999999E-2</v>
      </c>
      <c r="G197" s="15" t="str">
        <f t="shared" si="3"/>
        <v>Ferric sulfate</v>
      </c>
    </row>
    <row r="198" spans="1:7" ht="22.8" x14ac:dyDescent="0.3">
      <c r="A198" s="52" t="s">
        <v>1687</v>
      </c>
      <c r="B198" s="53" t="s">
        <v>1495</v>
      </c>
      <c r="C198" s="57" t="s">
        <v>1466</v>
      </c>
      <c r="D198" s="53">
        <v>13</v>
      </c>
      <c r="E198" s="53">
        <v>0.96</v>
      </c>
      <c r="F198" s="54">
        <v>4.8000000000000001E-2</v>
      </c>
      <c r="G198" s="15" t="str">
        <f t="shared" si="3"/>
        <v>Fluorides (fluoride containing chemicals), NOS</v>
      </c>
    </row>
    <row r="199" spans="1:7" x14ac:dyDescent="0.3">
      <c r="A199" s="52" t="s">
        <v>1688</v>
      </c>
      <c r="B199" s="53" t="s">
        <v>1215</v>
      </c>
      <c r="C199" s="57" t="s">
        <v>1466</v>
      </c>
      <c r="D199" s="55">
        <v>16</v>
      </c>
      <c r="E199" s="53">
        <v>1.2</v>
      </c>
      <c r="F199" s="54">
        <v>5.8999999999999997E-2</v>
      </c>
      <c r="G199" s="15" t="str">
        <f t="shared" si="3"/>
        <v>Fluorine gas F2</v>
      </c>
    </row>
    <row r="200" spans="1:7" x14ac:dyDescent="0.3">
      <c r="A200" s="52" t="s">
        <v>141</v>
      </c>
      <c r="B200" s="53" t="s">
        <v>140</v>
      </c>
      <c r="C200" s="57" t="s">
        <v>1465</v>
      </c>
      <c r="D200" s="55">
        <v>0.17</v>
      </c>
      <c r="E200" s="53">
        <v>27</v>
      </c>
      <c r="F200" s="54">
        <v>1.4</v>
      </c>
      <c r="G200" s="15" t="str">
        <f t="shared" si="3"/>
        <v>Formaldehyde</v>
      </c>
    </row>
    <row r="201" spans="1:7" x14ac:dyDescent="0.3">
      <c r="A201" s="52" t="s">
        <v>1689</v>
      </c>
      <c r="B201" s="53" t="s">
        <v>1690</v>
      </c>
      <c r="C201" s="57" t="s">
        <v>1465</v>
      </c>
      <c r="D201" s="55">
        <v>0.12</v>
      </c>
      <c r="E201" s="53">
        <v>19</v>
      </c>
      <c r="F201" s="54">
        <v>0.94</v>
      </c>
      <c r="G201" s="15" t="str">
        <f t="shared" si="3"/>
        <v>Furmecyclox</v>
      </c>
    </row>
    <row r="202" spans="1:7" x14ac:dyDescent="0.3">
      <c r="A202" s="52" t="s">
        <v>1691</v>
      </c>
      <c r="B202" s="53" t="s">
        <v>1692</v>
      </c>
      <c r="C202" s="57" t="s">
        <v>1465</v>
      </c>
      <c r="D202" s="53">
        <v>1.4E-2</v>
      </c>
      <c r="E202" s="53">
        <v>2.4</v>
      </c>
      <c r="F202" s="54">
        <v>0.12</v>
      </c>
      <c r="G202" s="15" t="str">
        <f t="shared" si="3"/>
        <v>Furylfuramide</v>
      </c>
    </row>
    <row r="203" spans="1:7" x14ac:dyDescent="0.3">
      <c r="A203" s="52" t="s">
        <v>1693</v>
      </c>
      <c r="B203" s="53" t="s">
        <v>1694</v>
      </c>
      <c r="C203" s="57" t="s">
        <v>1465</v>
      </c>
      <c r="D203" s="53">
        <v>7.1000000000000002E-4</v>
      </c>
      <c r="E203" s="53">
        <v>0.12</v>
      </c>
      <c r="F203" s="54">
        <v>5.7999999999999996E-3</v>
      </c>
      <c r="G203" s="15" t="str">
        <f t="shared" si="3"/>
        <v>Glu-P-1</v>
      </c>
    </row>
    <row r="204" spans="1:7" x14ac:dyDescent="0.3">
      <c r="A204" s="52" t="s">
        <v>1695</v>
      </c>
      <c r="B204" s="53" t="s">
        <v>1696</v>
      </c>
      <c r="C204" s="57" t="s">
        <v>1465</v>
      </c>
      <c r="D204" s="53">
        <v>2.5000000000000001E-3</v>
      </c>
      <c r="E204" s="53">
        <v>0.41</v>
      </c>
      <c r="F204" s="54">
        <v>0.02</v>
      </c>
      <c r="G204" s="15" t="str">
        <f t="shared" si="3"/>
        <v>Glu-P-2</v>
      </c>
    </row>
    <row r="205" spans="1:7" x14ac:dyDescent="0.3">
      <c r="A205" s="52" t="s">
        <v>379</v>
      </c>
      <c r="B205" s="53" t="s">
        <v>378</v>
      </c>
      <c r="C205" s="57" t="s">
        <v>1466</v>
      </c>
      <c r="D205" s="53">
        <v>0.08</v>
      </c>
      <c r="E205" s="53">
        <v>5.8999999999999999E-3</v>
      </c>
      <c r="F205" s="54">
        <v>2.9999999999999997E-4</v>
      </c>
      <c r="G205" s="15" t="str">
        <f t="shared" si="3"/>
        <v>Glutaraldehyde</v>
      </c>
    </row>
    <row r="206" spans="1:7" x14ac:dyDescent="0.3">
      <c r="A206" s="52" t="s">
        <v>1697</v>
      </c>
      <c r="B206" s="57" t="s">
        <v>1354</v>
      </c>
      <c r="C206" s="57" t="s">
        <v>1466</v>
      </c>
      <c r="D206" s="53">
        <v>10</v>
      </c>
      <c r="E206" s="53">
        <v>0.74</v>
      </c>
      <c r="F206" s="54">
        <v>3.6999999999999998E-2</v>
      </c>
      <c r="G206" s="15" t="str">
        <f t="shared" si="3"/>
        <v>Guthion (azinphos-methyl)</v>
      </c>
    </row>
    <row r="207" spans="1:7" x14ac:dyDescent="0.3">
      <c r="A207" s="56" t="s">
        <v>1698</v>
      </c>
      <c r="B207" s="57" t="s">
        <v>1699</v>
      </c>
      <c r="C207" s="57" t="s">
        <v>1465</v>
      </c>
      <c r="D207" s="57">
        <v>3.4000000000000002E-4</v>
      </c>
      <c r="E207" s="57">
        <v>5.6000000000000001E-2</v>
      </c>
      <c r="F207" s="58">
        <v>2.8E-3</v>
      </c>
      <c r="G207" s="15" t="str">
        <f t="shared" si="3"/>
        <v>Gyromitrin</v>
      </c>
    </row>
    <row r="208" spans="1:7" x14ac:dyDescent="0.3">
      <c r="A208" s="56" t="s">
        <v>1700</v>
      </c>
      <c r="B208" s="57" t="s">
        <v>1701</v>
      </c>
      <c r="C208" s="57" t="s">
        <v>1465</v>
      </c>
      <c r="D208" s="59">
        <v>6.7000000000000004E-2</v>
      </c>
      <c r="E208" s="59">
        <v>11</v>
      </c>
      <c r="F208" s="61">
        <v>0.54</v>
      </c>
      <c r="G208" s="15" t="str">
        <f t="shared" si="3"/>
        <v>HC blue 1</v>
      </c>
    </row>
    <row r="209" spans="1:7" x14ac:dyDescent="0.3">
      <c r="A209" s="52" t="s">
        <v>1165</v>
      </c>
      <c r="B209" s="53" t="s">
        <v>1164</v>
      </c>
      <c r="C209" s="57" t="s">
        <v>1465</v>
      </c>
      <c r="D209" s="55">
        <v>7.6999999999999996E-4</v>
      </c>
      <c r="E209" s="53">
        <v>0.12</v>
      </c>
      <c r="F209" s="60">
        <v>6.1999999999999998E-3</v>
      </c>
      <c r="G209" s="15" t="str">
        <f t="shared" si="3"/>
        <v>Heptachlor</v>
      </c>
    </row>
    <row r="210" spans="1:7" x14ac:dyDescent="0.3">
      <c r="A210" s="52" t="s">
        <v>1702</v>
      </c>
      <c r="B210" s="53" t="s">
        <v>1703</v>
      </c>
      <c r="C210" s="57" t="s">
        <v>1465</v>
      </c>
      <c r="D210" s="53">
        <v>3.8000000000000002E-4</v>
      </c>
      <c r="E210" s="53">
        <v>6.2E-2</v>
      </c>
      <c r="F210" s="54">
        <v>3.0999999999999999E-3</v>
      </c>
      <c r="G210" s="15" t="str">
        <f t="shared" si="3"/>
        <v>Heptachlor epoxide</v>
      </c>
    </row>
    <row r="211" spans="1:7" ht="22.8" x14ac:dyDescent="0.3">
      <c r="A211" s="52" t="s">
        <v>1704</v>
      </c>
      <c r="B211" s="53" t="s">
        <v>1705</v>
      </c>
      <c r="C211" s="57" t="s">
        <v>1465</v>
      </c>
      <c r="D211" s="53">
        <v>2.6000000000000001E-6</v>
      </c>
      <c r="E211" s="53">
        <v>4.2999999999999999E-4</v>
      </c>
      <c r="F211" s="54">
        <v>2.0999999999999999E-5</v>
      </c>
      <c r="G211" s="15" t="str">
        <f t="shared" si="3"/>
        <v>Heptachlorodibenzo-p-dioxin, NOS</v>
      </c>
    </row>
    <row r="212" spans="1:7" x14ac:dyDescent="0.3">
      <c r="A212" s="52" t="s">
        <v>408</v>
      </c>
      <c r="B212" s="53" t="s">
        <v>407</v>
      </c>
      <c r="C212" s="53" t="s">
        <v>1465</v>
      </c>
      <c r="D212" s="55">
        <v>2.2000000000000001E-3</v>
      </c>
      <c r="E212" s="55">
        <v>0.35</v>
      </c>
      <c r="F212" s="60">
        <v>1.7999999999999999E-2</v>
      </c>
      <c r="G212" s="15" t="str">
        <f t="shared" si="3"/>
        <v>Hexachlorobenzene</v>
      </c>
    </row>
    <row r="213" spans="1:7" x14ac:dyDescent="0.3">
      <c r="A213" s="52" t="s">
        <v>1359</v>
      </c>
      <c r="B213" s="53" t="s">
        <v>1358</v>
      </c>
      <c r="C213" s="57" t="s">
        <v>1465</v>
      </c>
      <c r="D213" s="53">
        <v>4.4999999999999998E-2</v>
      </c>
      <c r="E213" s="53">
        <v>7.4</v>
      </c>
      <c r="F213" s="54">
        <v>0.37</v>
      </c>
      <c r="G213" s="15" t="str">
        <f t="shared" si="3"/>
        <v>Hexachlorobutadiene</v>
      </c>
    </row>
    <row r="214" spans="1:7" x14ac:dyDescent="0.3">
      <c r="A214" s="52" t="s">
        <v>1706</v>
      </c>
      <c r="B214" s="53" t="s">
        <v>1707</v>
      </c>
      <c r="C214" s="57" t="s">
        <v>1465</v>
      </c>
      <c r="D214" s="53">
        <v>9.1E-4</v>
      </c>
      <c r="E214" s="53">
        <v>0.15</v>
      </c>
      <c r="F214" s="54">
        <v>7.4000000000000003E-3</v>
      </c>
      <c r="G214" s="15" t="str">
        <f t="shared" si="3"/>
        <v>Hexachlorocyclohexane</v>
      </c>
    </row>
    <row r="215" spans="1:7" x14ac:dyDescent="0.3">
      <c r="A215" s="52" t="s">
        <v>1708</v>
      </c>
      <c r="B215" s="53" t="s">
        <v>745</v>
      </c>
      <c r="C215" s="57" t="s">
        <v>1465</v>
      </c>
      <c r="D215" s="55">
        <v>1.2999999999999999E-3</v>
      </c>
      <c r="E215" s="55">
        <v>0.21</v>
      </c>
      <c r="F215" s="60">
        <v>1.0999999999999999E-2</v>
      </c>
      <c r="G215" s="15" t="str">
        <f t="shared" si="3"/>
        <v>alpha-Hexachlorocyclohexane</v>
      </c>
    </row>
    <row r="216" spans="1:7" x14ac:dyDescent="0.3">
      <c r="A216" s="52" t="s">
        <v>1709</v>
      </c>
      <c r="B216" s="53" t="s">
        <v>747</v>
      </c>
      <c r="C216" s="57" t="s">
        <v>1465</v>
      </c>
      <c r="D216" s="53">
        <v>2.3E-3</v>
      </c>
      <c r="E216" s="53">
        <v>0.38</v>
      </c>
      <c r="F216" s="54">
        <v>1.9E-2</v>
      </c>
      <c r="G216" s="15" t="str">
        <f t="shared" si="3"/>
        <v>beta-Hexachlorocyclohexane</v>
      </c>
    </row>
    <row r="217" spans="1:7" ht="34.200000000000003" x14ac:dyDescent="0.3">
      <c r="A217" s="52" t="s">
        <v>1710</v>
      </c>
      <c r="B217" s="53" t="s">
        <v>902</v>
      </c>
      <c r="C217" s="57" t="s">
        <v>1465</v>
      </c>
      <c r="D217" s="53">
        <v>3.2000000000000002E-3</v>
      </c>
      <c r="E217" s="53">
        <v>0.52</v>
      </c>
      <c r="F217" s="54">
        <v>2.5999999999999999E-2</v>
      </c>
      <c r="G217" s="15" t="str">
        <f t="shared" si="3"/>
        <v>gamma-Hexachlorocyclohexane (lindane)</v>
      </c>
    </row>
    <row r="218" spans="1:7" x14ac:dyDescent="0.3">
      <c r="A218" s="52" t="s">
        <v>1194</v>
      </c>
      <c r="B218" s="53" t="s">
        <v>1193</v>
      </c>
      <c r="C218" s="57" t="s">
        <v>1466</v>
      </c>
      <c r="D218" s="53">
        <v>0.2</v>
      </c>
      <c r="E218" s="53">
        <v>1.4999999999999999E-2</v>
      </c>
      <c r="F218" s="54">
        <v>7.3999999999999999E-4</v>
      </c>
      <c r="G218" s="15" t="str">
        <f t="shared" si="3"/>
        <v>Hexachlorocyclopentadiene</v>
      </c>
    </row>
    <row r="219" spans="1:7" ht="24" x14ac:dyDescent="0.3">
      <c r="A219" s="56" t="s">
        <v>1711</v>
      </c>
      <c r="B219" s="57" t="s">
        <v>759</v>
      </c>
      <c r="C219" s="57" t="s">
        <v>1465</v>
      </c>
      <c r="D219" s="57">
        <v>2.6E-7</v>
      </c>
      <c r="E219" s="57">
        <v>4.3000000000000002E-5</v>
      </c>
      <c r="F219" s="58">
        <v>2.0999999999999998E-6</v>
      </c>
      <c r="G219" s="15" t="str">
        <f t="shared" si="3"/>
        <v>Hexachlorodibenzo-p-dioxins, NOS</v>
      </c>
    </row>
    <row r="220" spans="1:7" x14ac:dyDescent="0.3">
      <c r="A220" s="56" t="s">
        <v>991</v>
      </c>
      <c r="B220" s="57" t="s">
        <v>990</v>
      </c>
      <c r="C220" s="57" t="s">
        <v>1465</v>
      </c>
      <c r="D220" s="57">
        <v>9.0999999999999998E-2</v>
      </c>
      <c r="E220" s="57">
        <v>15</v>
      </c>
      <c r="F220" s="58">
        <v>0.74</v>
      </c>
      <c r="G220" s="15" t="str">
        <f t="shared" si="3"/>
        <v>Hexachloroethane</v>
      </c>
    </row>
    <row r="221" spans="1:7" x14ac:dyDescent="0.3">
      <c r="A221" s="52" t="s">
        <v>1337</v>
      </c>
      <c r="B221" s="53" t="s">
        <v>1336</v>
      </c>
      <c r="C221" s="57" t="s">
        <v>1466</v>
      </c>
      <c r="D221" s="55">
        <v>7.0000000000000007E-2</v>
      </c>
      <c r="E221" s="53">
        <v>5.1999999999999998E-3</v>
      </c>
      <c r="F221" s="54">
        <v>2.5999999999999998E-4</v>
      </c>
      <c r="G221" s="15" t="str">
        <f t="shared" si="3"/>
        <v>Hexamethylene diisocyanate</v>
      </c>
    </row>
    <row r="222" spans="1:7" x14ac:dyDescent="0.3">
      <c r="A222" s="52" t="s">
        <v>84</v>
      </c>
      <c r="B222" s="53" t="s">
        <v>83</v>
      </c>
      <c r="C222" s="57" t="s">
        <v>1466</v>
      </c>
      <c r="D222" s="53">
        <v>700</v>
      </c>
      <c r="E222" s="53">
        <v>52</v>
      </c>
      <c r="F222" s="54">
        <v>2.6</v>
      </c>
      <c r="G222" s="15" t="str">
        <f t="shared" si="3"/>
        <v>n-Hexane</v>
      </c>
    </row>
    <row r="223" spans="1:7" x14ac:dyDescent="0.3">
      <c r="A223" s="52" t="s">
        <v>1712</v>
      </c>
      <c r="B223" s="53" t="s">
        <v>912</v>
      </c>
      <c r="C223" s="53" t="s">
        <v>1466</v>
      </c>
      <c r="D223" s="55">
        <v>30</v>
      </c>
      <c r="E223" s="53">
        <v>2.2000000000000002</v>
      </c>
      <c r="F223" s="54">
        <v>0.11</v>
      </c>
      <c r="G223" s="15" t="str">
        <f t="shared" si="3"/>
        <v>2-Hexanone</v>
      </c>
    </row>
    <row r="224" spans="1:7" x14ac:dyDescent="0.3">
      <c r="A224" s="52" t="s">
        <v>736</v>
      </c>
      <c r="B224" s="53" t="s">
        <v>735</v>
      </c>
      <c r="C224" s="57" t="s">
        <v>1465</v>
      </c>
      <c r="D224" s="53">
        <v>2.0000000000000001E-4</v>
      </c>
      <c r="E224" s="53">
        <v>3.3000000000000002E-2</v>
      </c>
      <c r="F224" s="54">
        <v>1.6999999999999999E-3</v>
      </c>
      <c r="G224" s="15" t="str">
        <f t="shared" si="3"/>
        <v>Hydrazine</v>
      </c>
    </row>
    <row r="225" spans="1:7" x14ac:dyDescent="0.3">
      <c r="A225" s="52" t="s">
        <v>1713</v>
      </c>
      <c r="B225" s="53" t="s">
        <v>1714</v>
      </c>
      <c r="C225" s="53" t="s">
        <v>1465</v>
      </c>
      <c r="D225" s="53">
        <v>1.1999999999999999E-3</v>
      </c>
      <c r="E225" s="53">
        <v>0.19</v>
      </c>
      <c r="F225" s="54">
        <v>9.4000000000000004E-3</v>
      </c>
      <c r="G225" s="15" t="str">
        <f t="shared" si="3"/>
        <v>Hydrazine sulfate</v>
      </c>
    </row>
    <row r="226" spans="1:7" x14ac:dyDescent="0.3">
      <c r="A226" s="52" t="s">
        <v>1715</v>
      </c>
      <c r="B226" s="53" t="s">
        <v>1174</v>
      </c>
      <c r="C226" s="53" t="s">
        <v>1466</v>
      </c>
      <c r="D226" s="55">
        <v>9</v>
      </c>
      <c r="E226" s="53">
        <v>0.67</v>
      </c>
      <c r="F226" s="54">
        <v>3.3000000000000002E-2</v>
      </c>
      <c r="G226" s="15" t="str">
        <f t="shared" si="3"/>
        <v>Hydrogen chloride</v>
      </c>
    </row>
    <row r="227" spans="1:7" x14ac:dyDescent="0.3">
      <c r="A227" s="56" t="s">
        <v>1028</v>
      </c>
      <c r="B227" s="57" t="s">
        <v>1027</v>
      </c>
      <c r="C227" s="57" t="s">
        <v>1466</v>
      </c>
      <c r="D227" s="57">
        <v>0.8</v>
      </c>
      <c r="E227" s="57">
        <v>5.8999999999999997E-2</v>
      </c>
      <c r="F227" s="58">
        <v>3.0000000000000001E-3</v>
      </c>
      <c r="G227" s="15" t="str">
        <f t="shared" si="3"/>
        <v>Hydrogen cyanide</v>
      </c>
    </row>
    <row r="228" spans="1:7" x14ac:dyDescent="0.3">
      <c r="A228" s="56" t="s">
        <v>1716</v>
      </c>
      <c r="B228" s="57" t="s">
        <v>1180</v>
      </c>
      <c r="C228" s="57" t="s">
        <v>1466</v>
      </c>
      <c r="D228" s="57">
        <v>14</v>
      </c>
      <c r="E228" s="57">
        <v>1</v>
      </c>
      <c r="F228" s="58">
        <v>5.1999999999999998E-2</v>
      </c>
      <c r="G228" s="15" t="str">
        <f t="shared" si="3"/>
        <v>Hydrogen fluoride</v>
      </c>
    </row>
    <row r="229" spans="1:7" x14ac:dyDescent="0.3">
      <c r="A229" s="56" t="s">
        <v>1224</v>
      </c>
      <c r="B229" s="57">
        <v>2148878</v>
      </c>
      <c r="C229" s="57" t="s">
        <v>1466</v>
      </c>
      <c r="D229" s="57">
        <v>2</v>
      </c>
      <c r="E229" s="57">
        <v>0.15</v>
      </c>
      <c r="F229" s="58">
        <v>7.4000000000000003E-3</v>
      </c>
      <c r="G229" s="15" t="str">
        <f t="shared" si="3"/>
        <v>Hydrogen sulfide</v>
      </c>
    </row>
    <row r="230" spans="1:7" x14ac:dyDescent="0.3">
      <c r="A230" s="52" t="s">
        <v>1717</v>
      </c>
      <c r="B230" s="53" t="s">
        <v>647</v>
      </c>
      <c r="C230" s="57" t="s">
        <v>1465</v>
      </c>
      <c r="D230" s="53">
        <v>5.4999999999999997E-3</v>
      </c>
      <c r="E230" s="53">
        <v>0.89</v>
      </c>
      <c r="F230" s="54">
        <v>4.4999999999999998E-2</v>
      </c>
      <c r="G230" s="15" t="str">
        <f t="shared" si="3"/>
        <v>Indeno[1,2,3-cd]pyrene</v>
      </c>
    </row>
    <row r="231" spans="1:7" x14ac:dyDescent="0.3">
      <c r="A231" s="52" t="s">
        <v>1257</v>
      </c>
      <c r="B231" s="53" t="s">
        <v>1256</v>
      </c>
      <c r="C231" s="57" t="s">
        <v>1466</v>
      </c>
      <c r="D231" s="55">
        <v>2000</v>
      </c>
      <c r="E231" s="53">
        <v>150</v>
      </c>
      <c r="F231" s="54">
        <v>7.4</v>
      </c>
      <c r="G231" s="15" t="str">
        <f t="shared" si="3"/>
        <v>Isophorone</v>
      </c>
    </row>
    <row r="232" spans="1:7" x14ac:dyDescent="0.3">
      <c r="A232" s="56" t="s">
        <v>1718</v>
      </c>
      <c r="B232" s="57" t="s">
        <v>162</v>
      </c>
      <c r="C232" s="57" t="s">
        <v>1485</v>
      </c>
      <c r="D232" s="57">
        <v>3200</v>
      </c>
      <c r="E232" s="57">
        <v>5.9</v>
      </c>
      <c r="F232" s="58">
        <v>0.3</v>
      </c>
      <c r="G232" s="15" t="str">
        <f t="shared" si="3"/>
        <v>Isopropyl alcohol</v>
      </c>
    </row>
    <row r="233" spans="1:7" x14ac:dyDescent="0.3">
      <c r="A233" s="56" t="s">
        <v>1719</v>
      </c>
      <c r="B233" s="57" t="s">
        <v>1720</v>
      </c>
      <c r="C233" s="57" t="s">
        <v>1465</v>
      </c>
      <c r="D233" s="57">
        <v>4.4999999999999999E-4</v>
      </c>
      <c r="E233" s="57">
        <v>7.3999999999999996E-2</v>
      </c>
      <c r="F233" s="58">
        <v>3.7000000000000002E-3</v>
      </c>
      <c r="G233" s="15" t="str">
        <f t="shared" si="3"/>
        <v>Lasiocarpine</v>
      </c>
    </row>
    <row r="234" spans="1:7" x14ac:dyDescent="0.3">
      <c r="A234" s="56" t="s">
        <v>1721</v>
      </c>
      <c r="B234" s="53" t="s">
        <v>1495</v>
      </c>
      <c r="C234" s="53" t="s">
        <v>1465</v>
      </c>
      <c r="D234" s="53">
        <v>8.3000000000000004E-2</v>
      </c>
      <c r="E234" s="53">
        <v>14</v>
      </c>
      <c r="F234" s="54">
        <v>10</v>
      </c>
      <c r="G234" s="15" t="str">
        <f t="shared" si="3"/>
        <v>Lead &amp; compounds, NOS</v>
      </c>
    </row>
    <row r="235" spans="1:7" x14ac:dyDescent="0.3">
      <c r="A235" s="52" t="s">
        <v>734</v>
      </c>
      <c r="B235" s="53" t="s">
        <v>733</v>
      </c>
      <c r="C235" s="57" t="s">
        <v>1465</v>
      </c>
      <c r="D235" s="53">
        <v>1.2999999999999999E-2</v>
      </c>
      <c r="E235" s="53">
        <v>2</v>
      </c>
      <c r="F235" s="54">
        <v>0.1</v>
      </c>
      <c r="G235" s="15" t="str">
        <f t="shared" si="3"/>
        <v>Lead acetate</v>
      </c>
    </row>
    <row r="236" spans="1:7" x14ac:dyDescent="0.3">
      <c r="A236" s="52" t="s">
        <v>1722</v>
      </c>
      <c r="B236" s="53" t="s">
        <v>1723</v>
      </c>
      <c r="C236" s="57" t="s">
        <v>1465</v>
      </c>
      <c r="D236" s="53">
        <v>4.1999999999999998E-5</v>
      </c>
      <c r="E236" s="53">
        <v>6.8999999999999999E-3</v>
      </c>
      <c r="F236" s="54">
        <v>3.4000000000000002E-4</v>
      </c>
      <c r="G236" s="15" t="str">
        <f t="shared" si="3"/>
        <v>Lead chromate oxide</v>
      </c>
    </row>
    <row r="237" spans="1:7" x14ac:dyDescent="0.3">
      <c r="A237" s="56" t="s">
        <v>1724</v>
      </c>
      <c r="B237" s="57" t="s">
        <v>1211</v>
      </c>
      <c r="C237" s="57" t="s">
        <v>1465</v>
      </c>
      <c r="D237" s="57">
        <v>2.5000000000000001E-5</v>
      </c>
      <c r="E237" s="57">
        <v>4.1000000000000003E-3</v>
      </c>
      <c r="F237" s="58">
        <v>2.0000000000000001E-4</v>
      </c>
      <c r="G237" s="15" t="str">
        <f t="shared" si="3"/>
        <v>Lead chromate</v>
      </c>
    </row>
    <row r="238" spans="1:7" x14ac:dyDescent="0.3">
      <c r="A238" s="52" t="s">
        <v>1089</v>
      </c>
      <c r="B238" s="53" t="s">
        <v>1088</v>
      </c>
      <c r="C238" s="53" t="s">
        <v>1465</v>
      </c>
      <c r="D238" s="53">
        <v>8.3000000000000004E-2</v>
      </c>
      <c r="E238" s="53">
        <v>14</v>
      </c>
      <c r="F238" s="54">
        <v>0.68</v>
      </c>
      <c r="G238" s="15" t="str">
        <f t="shared" si="3"/>
        <v>Lead phosphate</v>
      </c>
    </row>
    <row r="239" spans="1:7" x14ac:dyDescent="0.3">
      <c r="A239" s="52" t="s">
        <v>1725</v>
      </c>
      <c r="B239" s="53" t="s">
        <v>1726</v>
      </c>
      <c r="C239" s="57" t="s">
        <v>1465</v>
      </c>
      <c r="D239" s="53">
        <v>9.0999999999999998E-2</v>
      </c>
      <c r="E239" s="53">
        <v>15</v>
      </c>
      <c r="F239" s="54">
        <v>0.74</v>
      </c>
      <c r="G239" s="15" t="str">
        <f t="shared" si="3"/>
        <v>Lead subacetate</v>
      </c>
    </row>
    <row r="240" spans="1:7" x14ac:dyDescent="0.3">
      <c r="A240" s="52" t="s">
        <v>432</v>
      </c>
      <c r="B240" s="53" t="s">
        <v>431</v>
      </c>
      <c r="C240" s="57" t="s">
        <v>1466</v>
      </c>
      <c r="D240" s="53">
        <v>20</v>
      </c>
      <c r="E240" s="53">
        <v>1.5</v>
      </c>
      <c r="F240" s="54">
        <v>7.3999999999999996E-2</v>
      </c>
      <c r="G240" s="15" t="str">
        <f t="shared" si="3"/>
        <v>Malathion</v>
      </c>
    </row>
    <row r="241" spans="1:7" x14ac:dyDescent="0.3">
      <c r="A241" s="52" t="s">
        <v>307</v>
      </c>
      <c r="B241" s="53" t="s">
        <v>306</v>
      </c>
      <c r="C241" s="53" t="s">
        <v>1466</v>
      </c>
      <c r="D241" s="53">
        <v>0.7</v>
      </c>
      <c r="E241" s="53">
        <v>5.1999999999999998E-2</v>
      </c>
      <c r="F241" s="54">
        <v>2.5999999999999999E-3</v>
      </c>
      <c r="G241" s="15" t="str">
        <f t="shared" si="3"/>
        <v>Maleic anhydride</v>
      </c>
    </row>
    <row r="242" spans="1:7" x14ac:dyDescent="0.3">
      <c r="A242" s="52" t="s">
        <v>1727</v>
      </c>
      <c r="B242" s="53" t="s">
        <v>1495</v>
      </c>
      <c r="C242" s="57" t="s">
        <v>1466</v>
      </c>
      <c r="D242" s="53">
        <v>0.3</v>
      </c>
      <c r="E242" s="53">
        <v>2.1999999999999999E-2</v>
      </c>
      <c r="F242" s="54">
        <v>1.1000000000000001E-3</v>
      </c>
      <c r="G242" s="15" t="str">
        <f t="shared" si="3"/>
        <v>Manganese &amp; compounds</v>
      </c>
    </row>
    <row r="243" spans="1:7" x14ac:dyDescent="0.3">
      <c r="A243" s="52" t="s">
        <v>1728</v>
      </c>
      <c r="B243" s="53" t="s">
        <v>1729</v>
      </c>
      <c r="C243" s="57" t="s">
        <v>1465</v>
      </c>
      <c r="D243" s="53">
        <v>2.6999999999999999E-5</v>
      </c>
      <c r="E243" s="53">
        <v>4.4000000000000003E-3</v>
      </c>
      <c r="F243" s="54">
        <v>2.2000000000000001E-4</v>
      </c>
      <c r="G243" s="15" t="str">
        <f t="shared" si="3"/>
        <v>Melphalan</v>
      </c>
    </row>
    <row r="244" spans="1:7" x14ac:dyDescent="0.3">
      <c r="A244" s="52" t="s">
        <v>1730</v>
      </c>
      <c r="B244" s="53" t="s">
        <v>1042</v>
      </c>
      <c r="C244" s="57" t="s">
        <v>1466</v>
      </c>
      <c r="D244" s="55">
        <v>0.03</v>
      </c>
      <c r="E244" s="53">
        <v>2.2000000000000001E-3</v>
      </c>
      <c r="F244" s="54">
        <v>1.1E-4</v>
      </c>
      <c r="G244" s="15" t="str">
        <f t="shared" si="3"/>
        <v>Mercury, elemental</v>
      </c>
    </row>
    <row r="245" spans="1:7" x14ac:dyDescent="0.3">
      <c r="A245" s="52" t="s">
        <v>1731</v>
      </c>
      <c r="B245" s="53" t="s">
        <v>1732</v>
      </c>
      <c r="C245" s="57" t="s">
        <v>1466</v>
      </c>
      <c r="D245" s="53">
        <v>0.14000000000000001</v>
      </c>
      <c r="E245" s="53">
        <v>0.01</v>
      </c>
      <c r="F245" s="54">
        <v>5.1999999999999995E-4</v>
      </c>
      <c r="G245" s="15" t="str">
        <f t="shared" si="3"/>
        <v>Diethyl mercury</v>
      </c>
    </row>
    <row r="246" spans="1:7" x14ac:dyDescent="0.3">
      <c r="A246" s="52" t="s">
        <v>1733</v>
      </c>
      <c r="B246" s="53" t="s">
        <v>1734</v>
      </c>
      <c r="C246" s="57" t="s">
        <v>1466</v>
      </c>
      <c r="D246" s="55">
        <v>0.14000000000000001</v>
      </c>
      <c r="E246" s="53">
        <v>0.01</v>
      </c>
      <c r="F246" s="60">
        <v>5.1999999999999995E-4</v>
      </c>
      <c r="G246" s="15" t="str">
        <f t="shared" si="3"/>
        <v>Dimethyl mercury</v>
      </c>
    </row>
    <row r="247" spans="1:7" x14ac:dyDescent="0.3">
      <c r="A247" s="52" t="s">
        <v>1735</v>
      </c>
      <c r="B247" s="53" t="s">
        <v>161</v>
      </c>
      <c r="C247" s="57" t="s">
        <v>1466</v>
      </c>
      <c r="D247" s="53">
        <v>20000</v>
      </c>
      <c r="E247" s="53">
        <v>1500</v>
      </c>
      <c r="F247" s="54">
        <v>74</v>
      </c>
      <c r="G247" s="15" t="str">
        <f t="shared" si="3"/>
        <v>Methyl alchohol (methanol)</v>
      </c>
    </row>
    <row r="248" spans="1:7" x14ac:dyDescent="0.3">
      <c r="A248" s="52" t="s">
        <v>1736</v>
      </c>
      <c r="B248" s="53" t="s">
        <v>1737</v>
      </c>
      <c r="C248" s="57" t="s">
        <v>1465</v>
      </c>
      <c r="D248" s="53">
        <v>9.6000000000000002E-5</v>
      </c>
      <c r="E248" s="53">
        <v>1.6E-2</v>
      </c>
      <c r="F248" s="54">
        <v>7.7999999999999999E-4</v>
      </c>
      <c r="G248" s="15" t="str">
        <f t="shared" si="3"/>
        <v>3-Methylcholanthrene</v>
      </c>
    </row>
    <row r="249" spans="1:7" x14ac:dyDescent="0.3">
      <c r="A249" s="52" t="s">
        <v>774</v>
      </c>
      <c r="B249" s="53" t="s">
        <v>773</v>
      </c>
      <c r="C249" s="57" t="s">
        <v>1465</v>
      </c>
      <c r="D249" s="53">
        <v>5.5000000000000003E-4</v>
      </c>
      <c r="E249" s="53">
        <v>8.8999999999999996E-2</v>
      </c>
      <c r="F249" s="54">
        <v>4.4999999999999997E-3</v>
      </c>
      <c r="G249" s="15" t="str">
        <f t="shared" si="3"/>
        <v>5-Methylchrysene</v>
      </c>
    </row>
    <row r="250" spans="1:7" ht="22.8" x14ac:dyDescent="0.3">
      <c r="A250" s="52" t="s">
        <v>1738</v>
      </c>
      <c r="B250" s="53" t="s">
        <v>202</v>
      </c>
      <c r="C250" s="53" t="s">
        <v>1465</v>
      </c>
      <c r="D250" s="53">
        <v>1.4E-3</v>
      </c>
      <c r="E250" s="53">
        <v>0.23</v>
      </c>
      <c r="F250" s="54">
        <v>1.0999999999999999E-2</v>
      </c>
      <c r="G250" s="15" t="str">
        <f t="shared" si="3"/>
        <v>4,4'-Methylenebis(2-chloroaniline) (MOCA)</v>
      </c>
    </row>
    <row r="251" spans="1:7" ht="22.8" x14ac:dyDescent="0.3">
      <c r="A251" s="52" t="s">
        <v>1739</v>
      </c>
      <c r="B251" s="53" t="s">
        <v>1342</v>
      </c>
      <c r="C251" s="57" t="s">
        <v>1465</v>
      </c>
      <c r="D251" s="55">
        <v>3.8E-3</v>
      </c>
      <c r="E251" s="55">
        <v>0.62</v>
      </c>
      <c r="F251" s="60">
        <v>3.1E-2</v>
      </c>
      <c r="G251" s="15" t="str">
        <f t="shared" si="3"/>
        <v>4,4'-Methylenebis(2-methylaniline)</v>
      </c>
    </row>
    <row r="252" spans="1:7" ht="22.8" x14ac:dyDescent="0.3">
      <c r="A252" s="52" t="s">
        <v>1740</v>
      </c>
      <c r="B252" s="53" t="s">
        <v>1741</v>
      </c>
      <c r="C252" s="57" t="s">
        <v>1465</v>
      </c>
      <c r="D252" s="53">
        <v>7.6999999999999999E-2</v>
      </c>
      <c r="E252" s="53">
        <v>12</v>
      </c>
      <c r="F252" s="54">
        <v>0.62</v>
      </c>
      <c r="G252" s="15" t="str">
        <f t="shared" si="3"/>
        <v>4,4'-Methylenebis(N,N'-dimethyl)aniline</v>
      </c>
    </row>
    <row r="253" spans="1:7" x14ac:dyDescent="0.3">
      <c r="A253" s="52" t="s">
        <v>1742</v>
      </c>
      <c r="B253" s="53" t="s">
        <v>206</v>
      </c>
      <c r="C253" s="57" t="s">
        <v>1465</v>
      </c>
      <c r="D253" s="53">
        <v>2.2000000000000001E-3</v>
      </c>
      <c r="E253" s="53">
        <v>0.35</v>
      </c>
      <c r="F253" s="54">
        <v>1.7999999999999999E-2</v>
      </c>
      <c r="G253" s="15" t="str">
        <f t="shared" si="3"/>
        <v>4,4'-Methylenedianiline</v>
      </c>
    </row>
    <row r="254" spans="1:7" ht="22.8" x14ac:dyDescent="0.3">
      <c r="A254" s="52" t="s">
        <v>1743</v>
      </c>
      <c r="B254" s="53" t="s">
        <v>553</v>
      </c>
      <c r="C254" s="57" t="s">
        <v>1465</v>
      </c>
      <c r="D254" s="53">
        <v>2.2000000000000001E-3</v>
      </c>
      <c r="E254" s="53">
        <v>0.35</v>
      </c>
      <c r="F254" s="54">
        <v>1.7999999999999999E-2</v>
      </c>
      <c r="G254" s="15" t="str">
        <f t="shared" si="3"/>
        <v>4,4'-Methylenedianiline dihydrochloride</v>
      </c>
    </row>
    <row r="255" spans="1:7" ht="22.8" x14ac:dyDescent="0.3">
      <c r="A255" s="52" t="s">
        <v>1744</v>
      </c>
      <c r="B255" s="53" t="s">
        <v>204</v>
      </c>
      <c r="C255" s="53" t="s">
        <v>1466</v>
      </c>
      <c r="D255" s="53">
        <v>0.08</v>
      </c>
      <c r="E255" s="53">
        <v>5.8999999999999999E-3</v>
      </c>
      <c r="F255" s="54">
        <v>2.9999999999999997E-4</v>
      </c>
      <c r="G255" s="15" t="str">
        <f t="shared" si="3"/>
        <v>Methylene diphenyl diisocyanate (MDI)</v>
      </c>
    </row>
    <row r="256" spans="1:7" x14ac:dyDescent="0.3">
      <c r="A256" s="52" t="s">
        <v>1745</v>
      </c>
      <c r="B256" s="53" t="s">
        <v>97</v>
      </c>
      <c r="C256" s="53" t="s">
        <v>1466</v>
      </c>
      <c r="D256" s="53">
        <v>5000</v>
      </c>
      <c r="E256" s="53">
        <v>370</v>
      </c>
      <c r="F256" s="54">
        <v>19</v>
      </c>
      <c r="G256" s="15" t="str">
        <f t="shared" si="3"/>
        <v>Methyl ethyl ketone</v>
      </c>
    </row>
    <row r="257" spans="1:7" ht="22.8" x14ac:dyDescent="0.3">
      <c r="A257" s="52" t="s">
        <v>1746</v>
      </c>
      <c r="B257" s="62" t="s">
        <v>91</v>
      </c>
      <c r="C257" s="53" t="s">
        <v>1466</v>
      </c>
      <c r="D257" s="53">
        <v>3000</v>
      </c>
      <c r="E257" s="53">
        <v>220</v>
      </c>
      <c r="F257" s="54">
        <v>11</v>
      </c>
      <c r="G257" s="15" t="str">
        <f t="shared" si="3"/>
        <v>Methyl isobutyl ketone (MIBK, hexone)</v>
      </c>
    </row>
    <row r="258" spans="1:7" x14ac:dyDescent="0.3">
      <c r="A258" s="52" t="s">
        <v>957</v>
      </c>
      <c r="B258" s="62" t="s">
        <v>956</v>
      </c>
      <c r="C258" s="53" t="s">
        <v>1466</v>
      </c>
      <c r="D258" s="53">
        <v>1</v>
      </c>
      <c r="E258" s="53">
        <v>7.3999999999999996E-2</v>
      </c>
      <c r="F258" s="54">
        <v>3.7000000000000002E-3</v>
      </c>
      <c r="G258" s="15" t="str">
        <f t="shared" si="3"/>
        <v>Methyl isocyanate</v>
      </c>
    </row>
    <row r="259" spans="1:7" x14ac:dyDescent="0.3">
      <c r="A259" s="52" t="s">
        <v>1300</v>
      </c>
      <c r="B259" s="62" t="s">
        <v>1299</v>
      </c>
      <c r="C259" s="53" t="s">
        <v>1466</v>
      </c>
      <c r="D259" s="53">
        <v>700</v>
      </c>
      <c r="E259" s="53">
        <v>52</v>
      </c>
      <c r="F259" s="54">
        <v>2.6</v>
      </c>
      <c r="G259" s="15" t="str">
        <f t="shared" ref="G259:G322" si="4">A259</f>
        <v>Methyl methacrylate</v>
      </c>
    </row>
    <row r="260" spans="1:7" x14ac:dyDescent="0.3">
      <c r="A260" s="52" t="s">
        <v>1747</v>
      </c>
      <c r="B260" s="53" t="s">
        <v>1748</v>
      </c>
      <c r="C260" s="57" t="s">
        <v>1465</v>
      </c>
      <c r="D260" s="53">
        <v>3.5999999999999997E-2</v>
      </c>
      <c r="E260" s="53">
        <v>5.8</v>
      </c>
      <c r="F260" s="54">
        <v>0.28999999999999998</v>
      </c>
      <c r="G260" s="15" t="str">
        <f t="shared" si="4"/>
        <v>Methyl methanesulfonate</v>
      </c>
    </row>
    <row r="261" spans="1:7" x14ac:dyDescent="0.3">
      <c r="A261" s="52" t="s">
        <v>478</v>
      </c>
      <c r="B261" s="53" t="s">
        <v>477</v>
      </c>
      <c r="C261" s="53" t="s">
        <v>1465</v>
      </c>
      <c r="D261" s="53">
        <v>8.3000000000000001E-4</v>
      </c>
      <c r="E261" s="53">
        <v>0.14000000000000001</v>
      </c>
      <c r="F261" s="54">
        <v>6.7999999999999996E-3</v>
      </c>
      <c r="G261" s="15" t="str">
        <f t="shared" si="4"/>
        <v>2-Methyl-1-nitroanthraquinone</v>
      </c>
    </row>
    <row r="262" spans="1:7" ht="22.8" x14ac:dyDescent="0.3">
      <c r="A262" s="52" t="s">
        <v>1749</v>
      </c>
      <c r="B262" s="53" t="s">
        <v>1750</v>
      </c>
      <c r="C262" s="53" t="s">
        <v>1465</v>
      </c>
      <c r="D262" s="53">
        <v>4.2000000000000002E-4</v>
      </c>
      <c r="E262" s="53">
        <v>6.8000000000000005E-2</v>
      </c>
      <c r="F262" s="54">
        <v>3.3999999999999998E-3</v>
      </c>
      <c r="G262" s="15" t="str">
        <f t="shared" si="4"/>
        <v>N-Methyl-N-nitro-N-nitrosoguanidine</v>
      </c>
    </row>
    <row r="263" spans="1:7" x14ac:dyDescent="0.3">
      <c r="A263" s="52" t="s">
        <v>1751</v>
      </c>
      <c r="B263" s="53" t="s">
        <v>613</v>
      </c>
      <c r="C263" s="57" t="s">
        <v>1465</v>
      </c>
      <c r="D263" s="53">
        <v>3.8</v>
      </c>
      <c r="E263" s="53">
        <v>620</v>
      </c>
      <c r="F263" s="54">
        <v>31</v>
      </c>
      <c r="G263" s="15" t="str">
        <f t="shared" si="4"/>
        <v>Methyl tert-butyl ether</v>
      </c>
    </row>
    <row r="264" spans="1:7" x14ac:dyDescent="0.3">
      <c r="A264" s="52" t="s">
        <v>1752</v>
      </c>
      <c r="B264" s="64" t="s">
        <v>1753</v>
      </c>
      <c r="C264" s="57" t="s">
        <v>1465</v>
      </c>
      <c r="D264" s="53">
        <v>9.1000000000000004E-3</v>
      </c>
      <c r="E264" s="53">
        <v>1.5</v>
      </c>
      <c r="F264" s="54">
        <v>7.3999999999999996E-2</v>
      </c>
      <c r="G264" s="15" t="str">
        <f t="shared" si="4"/>
        <v>Methylthiouracil</v>
      </c>
    </row>
    <row r="265" spans="1:7" x14ac:dyDescent="0.3">
      <c r="A265" s="52" t="s">
        <v>1754</v>
      </c>
      <c r="B265" s="53" t="s">
        <v>1755</v>
      </c>
      <c r="C265" s="57" t="s">
        <v>1465</v>
      </c>
      <c r="D265" s="53">
        <v>4.0000000000000001E-3</v>
      </c>
      <c r="E265" s="53">
        <v>0.65</v>
      </c>
      <c r="F265" s="54">
        <v>3.2000000000000001E-2</v>
      </c>
      <c r="G265" s="15" t="str">
        <f t="shared" si="4"/>
        <v>Michler's ketone</v>
      </c>
    </row>
    <row r="266" spans="1:7" x14ac:dyDescent="0.3">
      <c r="A266" s="52" t="s">
        <v>682</v>
      </c>
      <c r="B266" s="53" t="s">
        <v>681</v>
      </c>
      <c r="C266" s="57" t="s">
        <v>1465</v>
      </c>
      <c r="D266" s="55">
        <v>2.0000000000000001E-4</v>
      </c>
      <c r="E266" s="53">
        <v>3.2000000000000001E-2</v>
      </c>
      <c r="F266" s="54">
        <v>1.6000000000000001E-3</v>
      </c>
      <c r="G266" s="15" t="str">
        <f t="shared" si="4"/>
        <v>Mirex</v>
      </c>
    </row>
    <row r="267" spans="1:7" x14ac:dyDescent="0.3">
      <c r="A267" s="52" t="s">
        <v>1756</v>
      </c>
      <c r="B267" s="53" t="s">
        <v>1757</v>
      </c>
      <c r="C267" s="57" t="s">
        <v>1465</v>
      </c>
      <c r="D267" s="55">
        <v>4.3000000000000001E-7</v>
      </c>
      <c r="E267" s="53">
        <v>7.1000000000000005E-5</v>
      </c>
      <c r="F267" s="54">
        <v>3.4999999999999999E-6</v>
      </c>
      <c r="G267" s="15" t="str">
        <f t="shared" si="4"/>
        <v>Mitomycin C</v>
      </c>
    </row>
    <row r="268" spans="1:7" x14ac:dyDescent="0.3">
      <c r="A268" s="52" t="s">
        <v>1758</v>
      </c>
      <c r="B268" s="53" t="s">
        <v>1759</v>
      </c>
      <c r="C268" s="57" t="s">
        <v>1465</v>
      </c>
      <c r="D268" s="53">
        <v>3.4000000000000002E-4</v>
      </c>
      <c r="E268" s="53">
        <v>5.6000000000000001E-2</v>
      </c>
      <c r="F268" s="54">
        <v>2.8E-3</v>
      </c>
      <c r="G268" s="15" t="str">
        <f t="shared" si="4"/>
        <v>Monocrotaline</v>
      </c>
    </row>
    <row r="269" spans="1:7" x14ac:dyDescent="0.3">
      <c r="A269" s="52" t="s">
        <v>1760</v>
      </c>
      <c r="B269" s="53" t="s">
        <v>994</v>
      </c>
      <c r="C269" s="53" t="s">
        <v>1466</v>
      </c>
      <c r="D269" s="53">
        <v>80</v>
      </c>
      <c r="E269" s="53">
        <v>5.9</v>
      </c>
      <c r="F269" s="54">
        <v>0.3</v>
      </c>
      <c r="G269" s="15" t="str">
        <f t="shared" si="4"/>
        <v>N,N-Dimethylformamide</v>
      </c>
    </row>
    <row r="270" spans="1:7" x14ac:dyDescent="0.3">
      <c r="A270" s="52" t="s">
        <v>167</v>
      </c>
      <c r="B270" s="57" t="s">
        <v>166</v>
      </c>
      <c r="C270" s="53" t="s">
        <v>1465</v>
      </c>
      <c r="D270" s="53">
        <v>2.9000000000000001E-2</v>
      </c>
      <c r="E270" s="53">
        <v>4.8</v>
      </c>
      <c r="F270" s="54">
        <v>0.24</v>
      </c>
      <c r="G270" s="15" t="str">
        <f t="shared" si="4"/>
        <v>Naphthalene</v>
      </c>
    </row>
    <row r="271" spans="1:7" x14ac:dyDescent="0.3">
      <c r="A271" s="52" t="s">
        <v>1761</v>
      </c>
      <c r="B271" s="53" t="s">
        <v>1762</v>
      </c>
      <c r="C271" s="57" t="s">
        <v>1465</v>
      </c>
      <c r="D271" s="55">
        <v>2E-3</v>
      </c>
      <c r="E271" s="53">
        <v>0.32</v>
      </c>
      <c r="F271" s="54">
        <v>1.6E-2</v>
      </c>
      <c r="G271" s="15" t="str">
        <f t="shared" si="4"/>
        <v>2-Naphthylamine</v>
      </c>
    </row>
    <row r="272" spans="1:7" x14ac:dyDescent="0.3">
      <c r="A272" s="52" t="s">
        <v>1763</v>
      </c>
      <c r="B272" s="62" t="s">
        <v>1495</v>
      </c>
      <c r="C272" s="57" t="s">
        <v>1465</v>
      </c>
      <c r="D272" s="55">
        <v>3.8E-3</v>
      </c>
      <c r="E272" s="53">
        <v>0.62</v>
      </c>
      <c r="F272" s="54">
        <v>3.1E-2</v>
      </c>
      <c r="G272" s="15" t="str">
        <f t="shared" si="4"/>
        <v>Nickel &amp; compounds, NOS</v>
      </c>
    </row>
    <row r="273" spans="1:7" x14ac:dyDescent="0.3">
      <c r="A273" s="52" t="s">
        <v>1764</v>
      </c>
      <c r="B273" s="53" t="s">
        <v>1765</v>
      </c>
      <c r="C273" s="53" t="s">
        <v>1465</v>
      </c>
      <c r="D273" s="53">
        <v>1.2E-2</v>
      </c>
      <c r="E273" s="53">
        <v>1.9</v>
      </c>
      <c r="F273" s="54">
        <v>9.4E-2</v>
      </c>
      <c r="G273" s="15" t="str">
        <f t="shared" si="4"/>
        <v>Nickel acetate</v>
      </c>
    </row>
    <row r="274" spans="1:7" x14ac:dyDescent="0.3">
      <c r="A274" s="52" t="s">
        <v>1766</v>
      </c>
      <c r="B274" s="53" t="s">
        <v>1767</v>
      </c>
      <c r="C274" s="53" t="s">
        <v>1465</v>
      </c>
      <c r="D274" s="53">
        <v>7.7999999999999996E-3</v>
      </c>
      <c r="E274" s="53">
        <v>1.3</v>
      </c>
      <c r="F274" s="54">
        <v>6.3E-2</v>
      </c>
      <c r="G274" s="15" t="str">
        <f t="shared" si="4"/>
        <v>Nickel carbonate</v>
      </c>
    </row>
    <row r="275" spans="1:7" x14ac:dyDescent="0.3">
      <c r="A275" s="52" t="s">
        <v>1768</v>
      </c>
      <c r="B275" s="53" t="s">
        <v>1769</v>
      </c>
      <c r="C275" s="53" t="s">
        <v>1465</v>
      </c>
      <c r="D275" s="53">
        <v>6.6E-3</v>
      </c>
      <c r="E275" s="53">
        <v>1.1000000000000001</v>
      </c>
      <c r="F275" s="54">
        <v>5.3999999999999999E-2</v>
      </c>
      <c r="G275" s="15" t="str">
        <f t="shared" si="4"/>
        <v>Nickel carbonate hydroxide</v>
      </c>
    </row>
    <row r="276" spans="1:7" x14ac:dyDescent="0.3">
      <c r="A276" s="52" t="s">
        <v>1770</v>
      </c>
      <c r="B276" s="53" t="s">
        <v>1771</v>
      </c>
      <c r="C276" s="53" t="s">
        <v>1465</v>
      </c>
      <c r="D276" s="53">
        <v>1.0999999999999999E-2</v>
      </c>
      <c r="E276" s="53">
        <v>1.8</v>
      </c>
      <c r="F276" s="54">
        <v>9.0999999999999998E-2</v>
      </c>
      <c r="G276" s="15" t="str">
        <f t="shared" si="4"/>
        <v>Nickel carbonyl</v>
      </c>
    </row>
    <row r="277" spans="1:7" x14ac:dyDescent="0.3">
      <c r="A277" s="52" t="s">
        <v>1772</v>
      </c>
      <c r="B277" s="53" t="s">
        <v>1773</v>
      </c>
      <c r="C277" s="53" t="s">
        <v>1465</v>
      </c>
      <c r="D277" s="53">
        <v>8.5000000000000006E-3</v>
      </c>
      <c r="E277" s="53">
        <v>1.4</v>
      </c>
      <c r="F277" s="54">
        <v>6.9000000000000006E-2</v>
      </c>
      <c r="G277" s="15" t="str">
        <f t="shared" si="4"/>
        <v>Nickel chloride</v>
      </c>
    </row>
    <row r="278" spans="1:7" x14ac:dyDescent="0.3">
      <c r="A278" s="52" t="s">
        <v>1774</v>
      </c>
      <c r="B278" s="53" t="s">
        <v>1775</v>
      </c>
      <c r="C278" s="53" t="s">
        <v>1465</v>
      </c>
      <c r="D278" s="53">
        <v>6.1000000000000004E-3</v>
      </c>
      <c r="E278" s="53">
        <v>0.99</v>
      </c>
      <c r="F278" s="54">
        <v>4.9000000000000002E-2</v>
      </c>
      <c r="G278" s="15" t="str">
        <f t="shared" si="4"/>
        <v>Nickel hydroxide</v>
      </c>
    </row>
    <row r="279" spans="1:7" x14ac:dyDescent="0.3">
      <c r="A279" s="52" t="s">
        <v>1776</v>
      </c>
      <c r="B279" s="53" t="s">
        <v>1777</v>
      </c>
      <c r="C279" s="53" t="s">
        <v>1465</v>
      </c>
      <c r="D279" s="53">
        <v>1.9E-2</v>
      </c>
      <c r="E279" s="53">
        <v>3.1</v>
      </c>
      <c r="F279" s="54">
        <v>0.15</v>
      </c>
      <c r="G279" s="15" t="str">
        <f t="shared" si="4"/>
        <v>Nickel nitrate hexahydrate</v>
      </c>
    </row>
    <row r="280" spans="1:7" ht="22.8" x14ac:dyDescent="0.3">
      <c r="A280" s="52" t="s">
        <v>1778</v>
      </c>
      <c r="B280" s="53" t="s">
        <v>1779</v>
      </c>
      <c r="C280" s="53" t="s">
        <v>1465</v>
      </c>
      <c r="D280" s="53">
        <v>4.8999999999999998E-3</v>
      </c>
      <c r="E280" s="53">
        <v>0.79</v>
      </c>
      <c r="F280" s="54">
        <v>0.04</v>
      </c>
      <c r="G280" s="15" t="str">
        <f t="shared" si="4"/>
        <v>Nickel oxide (nickel monoxide, nickel(II) oxide)</v>
      </c>
    </row>
    <row r="281" spans="1:7" ht="24" x14ac:dyDescent="0.3">
      <c r="A281" s="56" t="s">
        <v>1780</v>
      </c>
      <c r="B281" s="57" t="s">
        <v>1781</v>
      </c>
      <c r="C281" s="57" t="s">
        <v>1465</v>
      </c>
      <c r="D281" s="57">
        <v>5.4000000000000003E-3</v>
      </c>
      <c r="E281" s="57">
        <v>0.88</v>
      </c>
      <c r="F281" s="58">
        <v>4.3999999999999997E-2</v>
      </c>
      <c r="G281" s="15" t="str">
        <f t="shared" si="4"/>
        <v>Nickel oxide black (nickel sesquioxide, nickel(III) oxide)</v>
      </c>
    </row>
    <row r="282" spans="1:7" x14ac:dyDescent="0.3">
      <c r="A282" s="52" t="s">
        <v>1782</v>
      </c>
      <c r="B282" s="53" t="s">
        <v>1495</v>
      </c>
      <c r="C282" s="53" t="s">
        <v>1465</v>
      </c>
      <c r="D282" s="53">
        <v>4.1999999999999997E-3</v>
      </c>
      <c r="E282" s="53">
        <v>0.68</v>
      </c>
      <c r="F282" s="54">
        <v>3.4000000000000002E-2</v>
      </c>
      <c r="G282" s="15" t="str">
        <f t="shared" si="4"/>
        <v>Nickel refinery dust</v>
      </c>
    </row>
    <row r="283" spans="1:7" x14ac:dyDescent="0.3">
      <c r="A283" s="52" t="s">
        <v>1783</v>
      </c>
      <c r="B283" s="53" t="s">
        <v>1784</v>
      </c>
      <c r="C283" s="53" t="s">
        <v>1465</v>
      </c>
      <c r="D283" s="53">
        <v>2.0999999999999999E-3</v>
      </c>
      <c r="E283" s="53">
        <v>0.34</v>
      </c>
      <c r="F283" s="54">
        <v>1.7000000000000001E-2</v>
      </c>
      <c r="G283" s="15" t="str">
        <f t="shared" si="4"/>
        <v>Nickel subsulfide</v>
      </c>
    </row>
    <row r="284" spans="1:7" x14ac:dyDescent="0.3">
      <c r="A284" s="52" t="s">
        <v>1785</v>
      </c>
      <c r="B284" s="53" t="s">
        <v>1786</v>
      </c>
      <c r="C284" s="57" t="s">
        <v>1465</v>
      </c>
      <c r="D284" s="53">
        <v>0.01</v>
      </c>
      <c r="E284" s="53">
        <v>1.6</v>
      </c>
      <c r="F284" s="54">
        <v>8.2000000000000003E-2</v>
      </c>
      <c r="G284" s="15" t="str">
        <f t="shared" si="4"/>
        <v>Nickel sulfate</v>
      </c>
    </row>
    <row r="285" spans="1:7" x14ac:dyDescent="0.3">
      <c r="A285" s="52" t="s">
        <v>1787</v>
      </c>
      <c r="B285" s="53" t="s">
        <v>1788</v>
      </c>
      <c r="C285" s="57" t="s">
        <v>1465</v>
      </c>
      <c r="D285" s="53">
        <v>1.7000000000000001E-2</v>
      </c>
      <c r="E285" s="53">
        <v>2.8</v>
      </c>
      <c r="F285" s="54">
        <v>0.14000000000000001</v>
      </c>
      <c r="G285" s="15" t="str">
        <f t="shared" si="4"/>
        <v>Nickel sulfate hexahydrate</v>
      </c>
    </row>
    <row r="286" spans="1:7" x14ac:dyDescent="0.3">
      <c r="A286" s="52" t="s">
        <v>1789</v>
      </c>
      <c r="B286" s="53" t="s">
        <v>1790</v>
      </c>
      <c r="C286" s="57" t="s">
        <v>1465</v>
      </c>
      <c r="D286" s="53">
        <v>6.0000000000000001E-3</v>
      </c>
      <c r="E286" s="53">
        <v>0.97</v>
      </c>
      <c r="F286" s="54">
        <v>4.8000000000000001E-2</v>
      </c>
      <c r="G286" s="15" t="str">
        <f t="shared" si="4"/>
        <v>Nickel sulfide</v>
      </c>
    </row>
    <row r="287" spans="1:7" x14ac:dyDescent="0.3">
      <c r="A287" s="52" t="s">
        <v>1791</v>
      </c>
      <c r="B287" s="53" t="s">
        <v>1792</v>
      </c>
      <c r="C287" s="57" t="s">
        <v>1465</v>
      </c>
      <c r="D287" s="55">
        <v>1.2E-2</v>
      </c>
      <c r="E287" s="55">
        <v>2</v>
      </c>
      <c r="F287" s="60">
        <v>0.1</v>
      </c>
      <c r="G287" s="15" t="str">
        <f t="shared" si="4"/>
        <v>Nickelocene</v>
      </c>
    </row>
    <row r="288" spans="1:7" x14ac:dyDescent="0.3">
      <c r="A288" s="52" t="s">
        <v>1793</v>
      </c>
      <c r="B288" s="53" t="s">
        <v>1794</v>
      </c>
      <c r="C288" s="57" t="s">
        <v>1465</v>
      </c>
      <c r="D288" s="53">
        <v>1.5E-3</v>
      </c>
      <c r="E288" s="53">
        <v>0.25</v>
      </c>
      <c r="F288" s="54">
        <v>1.2E-2</v>
      </c>
      <c r="G288" s="15" t="str">
        <f t="shared" si="4"/>
        <v>Nifurthiazole</v>
      </c>
    </row>
    <row r="289" spans="1:7" x14ac:dyDescent="0.3">
      <c r="A289" s="52" t="s">
        <v>1192</v>
      </c>
      <c r="B289" s="53" t="s">
        <v>1191</v>
      </c>
      <c r="C289" s="53" t="s">
        <v>1485</v>
      </c>
      <c r="D289" s="53">
        <v>86</v>
      </c>
      <c r="E289" s="53">
        <v>0.16</v>
      </c>
      <c r="F289" s="54">
        <v>8.0000000000000002E-3</v>
      </c>
      <c r="G289" s="15" t="str">
        <f t="shared" si="4"/>
        <v>Nitric acid</v>
      </c>
    </row>
    <row r="290" spans="1:7" x14ac:dyDescent="0.3">
      <c r="A290" s="52" t="s">
        <v>1795</v>
      </c>
      <c r="B290" s="53" t="s">
        <v>1796</v>
      </c>
      <c r="C290" s="53" t="s">
        <v>1465</v>
      </c>
      <c r="D290" s="53">
        <v>0.67</v>
      </c>
      <c r="E290" s="53">
        <v>110</v>
      </c>
      <c r="F290" s="54">
        <v>5.4</v>
      </c>
      <c r="G290" s="15" t="str">
        <f t="shared" si="4"/>
        <v>Nitrilotriacetic acid</v>
      </c>
    </row>
    <row r="291" spans="1:7" ht="24" x14ac:dyDescent="0.3">
      <c r="A291" s="56" t="s">
        <v>1797</v>
      </c>
      <c r="B291" s="57" t="s">
        <v>1798</v>
      </c>
      <c r="C291" s="57" t="s">
        <v>1465</v>
      </c>
      <c r="D291" s="57">
        <v>0.34</v>
      </c>
      <c r="E291" s="57">
        <v>56</v>
      </c>
      <c r="F291" s="58">
        <v>2.8</v>
      </c>
      <c r="G291" s="15" t="str">
        <f t="shared" si="4"/>
        <v>Nitrilotriacetic acid, trisodium salt monohydrate</v>
      </c>
    </row>
    <row r="292" spans="1:7" x14ac:dyDescent="0.3">
      <c r="A292" s="52" t="s">
        <v>1446</v>
      </c>
      <c r="B292" s="53" t="s">
        <v>1445</v>
      </c>
      <c r="C292" s="57" t="s">
        <v>1465</v>
      </c>
      <c r="D292" s="53">
        <v>2.5000000000000001E-2</v>
      </c>
      <c r="E292" s="53">
        <v>4.0999999999999996</v>
      </c>
      <c r="F292" s="54">
        <v>0.2</v>
      </c>
      <c r="G292" s="15" t="str">
        <f t="shared" si="4"/>
        <v>Nitrobenzene</v>
      </c>
    </row>
    <row r="293" spans="1:7" x14ac:dyDescent="0.3">
      <c r="A293" s="56" t="s">
        <v>630</v>
      </c>
      <c r="B293" s="57" t="s">
        <v>629</v>
      </c>
      <c r="C293" s="57" t="s">
        <v>1465</v>
      </c>
      <c r="D293" s="57">
        <v>4.2999999999999997E-2</v>
      </c>
      <c r="E293" s="57">
        <v>7.1</v>
      </c>
      <c r="F293" s="58">
        <v>0.35</v>
      </c>
      <c r="G293" s="15" t="str">
        <f t="shared" si="4"/>
        <v>Nitrofen</v>
      </c>
    </row>
    <row r="294" spans="1:7" x14ac:dyDescent="0.3">
      <c r="A294" s="56" t="s">
        <v>1799</v>
      </c>
      <c r="B294" s="57" t="s">
        <v>1800</v>
      </c>
      <c r="C294" s="57" t="s">
        <v>1465</v>
      </c>
      <c r="D294" s="57">
        <v>5.5E-2</v>
      </c>
      <c r="E294" s="57">
        <v>8.9</v>
      </c>
      <c r="F294" s="58">
        <v>0.45</v>
      </c>
      <c r="G294" s="15" t="str">
        <f t="shared" si="4"/>
        <v>2-Nitrofluorene</v>
      </c>
    </row>
    <row r="295" spans="1:7" x14ac:dyDescent="0.3">
      <c r="A295" s="52" t="s">
        <v>909</v>
      </c>
      <c r="B295" s="53" t="s">
        <v>908</v>
      </c>
      <c r="C295" s="57" t="s">
        <v>1465</v>
      </c>
      <c r="D295" s="53">
        <v>2.7000000000000001E-3</v>
      </c>
      <c r="E295" s="53">
        <v>0.44</v>
      </c>
      <c r="F295" s="54">
        <v>2.1999999999999999E-2</v>
      </c>
      <c r="G295" s="15" t="str">
        <f t="shared" si="4"/>
        <v>Nitrofurazone</v>
      </c>
    </row>
    <row r="296" spans="1:7" ht="22.8" x14ac:dyDescent="0.3">
      <c r="A296" s="52" t="s">
        <v>1801</v>
      </c>
      <c r="B296" s="53" t="s">
        <v>1802</v>
      </c>
      <c r="C296" s="57" t="s">
        <v>1465</v>
      </c>
      <c r="D296" s="53">
        <v>2E-3</v>
      </c>
      <c r="E296" s="53">
        <v>0.32</v>
      </c>
      <c r="F296" s="54">
        <v>1.6E-2</v>
      </c>
      <c r="G296" s="15" t="str">
        <f t="shared" si="4"/>
        <v>1-[(5-Nitrofurfurylidene)-amino]-2-imidazolidinone</v>
      </c>
    </row>
    <row r="297" spans="1:7" ht="24" x14ac:dyDescent="0.3">
      <c r="A297" s="56" t="s">
        <v>1803</v>
      </c>
      <c r="B297" s="57" t="s">
        <v>838</v>
      </c>
      <c r="C297" s="57" t="s">
        <v>1465</v>
      </c>
      <c r="D297" s="57">
        <v>2.3E-3</v>
      </c>
      <c r="E297" s="57">
        <v>0.38</v>
      </c>
      <c r="F297" s="58">
        <v>1.9E-2</v>
      </c>
      <c r="G297" s="15" t="str">
        <f t="shared" si="4"/>
        <v>N-[4-(5-nitro-2-furyl)-2-thiazolyl]-acetamide</v>
      </c>
    </row>
    <row r="298" spans="1:7" x14ac:dyDescent="0.3">
      <c r="A298" s="56" t="s">
        <v>1804</v>
      </c>
      <c r="B298" s="57" t="s">
        <v>1805</v>
      </c>
      <c r="C298" s="57" t="s">
        <v>1485</v>
      </c>
      <c r="D298" s="57">
        <v>470</v>
      </c>
      <c r="E298" s="57">
        <v>0.87</v>
      </c>
      <c r="F298" s="58">
        <v>0.46</v>
      </c>
      <c r="G298" s="15" t="str">
        <f t="shared" si="4"/>
        <v>Nitrogen dioxide</v>
      </c>
    </row>
    <row r="299" spans="1:7" x14ac:dyDescent="0.3">
      <c r="A299" s="56" t="s">
        <v>1296</v>
      </c>
      <c r="B299" s="57" t="s">
        <v>1295</v>
      </c>
      <c r="C299" s="57" t="s">
        <v>1466</v>
      </c>
      <c r="D299" s="57">
        <v>20</v>
      </c>
      <c r="E299" s="57">
        <v>1.5</v>
      </c>
      <c r="F299" s="58">
        <v>7.3999999999999996E-2</v>
      </c>
      <c r="G299" s="15" t="str">
        <f t="shared" si="4"/>
        <v>2-Nitropropane</v>
      </c>
    </row>
    <row r="300" spans="1:7" x14ac:dyDescent="0.3">
      <c r="A300" s="52" t="s">
        <v>1806</v>
      </c>
      <c r="B300" s="53" t="s">
        <v>1807</v>
      </c>
      <c r="C300" s="57" t="s">
        <v>1465</v>
      </c>
      <c r="D300" s="53">
        <v>5.4999999999999997E-3</v>
      </c>
      <c r="E300" s="53">
        <v>0.89</v>
      </c>
      <c r="F300" s="54">
        <v>4.4999999999999998E-2</v>
      </c>
      <c r="G300" s="15" t="str">
        <f t="shared" si="4"/>
        <v>1-Nitropyrene</v>
      </c>
    </row>
    <row r="301" spans="1:7" x14ac:dyDescent="0.3">
      <c r="A301" s="52" t="s">
        <v>1808</v>
      </c>
      <c r="B301" s="53" t="s">
        <v>1809</v>
      </c>
      <c r="C301" s="57" t="s">
        <v>1465</v>
      </c>
      <c r="D301" s="53">
        <v>5.4999999999999997E-3</v>
      </c>
      <c r="E301" s="53">
        <v>0.89</v>
      </c>
      <c r="F301" s="54">
        <v>4.4999999999999998E-2</v>
      </c>
      <c r="G301" s="15" t="str">
        <f t="shared" si="4"/>
        <v>4-Nitropyrene</v>
      </c>
    </row>
    <row r="302" spans="1:7" x14ac:dyDescent="0.3">
      <c r="A302" s="52" t="s">
        <v>937</v>
      </c>
      <c r="B302" s="53" t="s">
        <v>936</v>
      </c>
      <c r="C302" s="53" t="s">
        <v>1465</v>
      </c>
      <c r="D302" s="53">
        <v>1.6E-2</v>
      </c>
      <c r="E302" s="53">
        <v>2.6</v>
      </c>
      <c r="F302" s="54">
        <v>0.13</v>
      </c>
      <c r="G302" s="15" t="str">
        <f t="shared" si="4"/>
        <v>5-Nitroacenaphthene</v>
      </c>
    </row>
    <row r="303" spans="1:7" x14ac:dyDescent="0.3">
      <c r="A303" s="52" t="s">
        <v>1810</v>
      </c>
      <c r="B303" s="53">
        <v>2043937</v>
      </c>
      <c r="C303" s="57" t="s">
        <v>1465</v>
      </c>
      <c r="D303" s="53">
        <v>5.5000000000000002E-5</v>
      </c>
      <c r="E303" s="53">
        <v>8.8999999999999999E-3</v>
      </c>
      <c r="F303" s="54">
        <v>4.4999999999999999E-4</v>
      </c>
      <c r="G303" s="15" t="str">
        <f t="shared" si="4"/>
        <v>6-Nitrochrysene</v>
      </c>
    </row>
    <row r="304" spans="1:7" x14ac:dyDescent="0.3">
      <c r="A304" s="52" t="s">
        <v>1811</v>
      </c>
      <c r="B304" s="53" t="s">
        <v>1812</v>
      </c>
      <c r="C304" s="57" t="s">
        <v>1465</v>
      </c>
      <c r="D304" s="53">
        <v>1.2999999999999999E-3</v>
      </c>
      <c r="E304" s="53">
        <v>0.2</v>
      </c>
      <c r="F304" s="54">
        <v>0.01</v>
      </c>
      <c r="G304" s="15" t="str">
        <f t="shared" si="4"/>
        <v>N-Nitrosodiethanolamine</v>
      </c>
    </row>
    <row r="305" spans="1:7" x14ac:dyDescent="0.3">
      <c r="A305" s="52" t="s">
        <v>1813</v>
      </c>
      <c r="B305" s="53" t="s">
        <v>862</v>
      </c>
      <c r="C305" s="57" t="s">
        <v>1465</v>
      </c>
      <c r="D305" s="55">
        <v>6.0000000000000002E-5</v>
      </c>
      <c r="E305" s="53">
        <v>0.01</v>
      </c>
      <c r="F305" s="54">
        <v>4.8999999999999998E-4</v>
      </c>
      <c r="G305" s="15" t="str">
        <f t="shared" si="4"/>
        <v>N-Nitrosodiethylamine</v>
      </c>
    </row>
    <row r="306" spans="1:7" x14ac:dyDescent="0.3">
      <c r="A306" s="52" t="s">
        <v>953</v>
      </c>
      <c r="B306" s="53" t="s">
        <v>952</v>
      </c>
      <c r="C306" s="57" t="s">
        <v>1465</v>
      </c>
      <c r="D306" s="53">
        <v>1.2999999999999999E-4</v>
      </c>
      <c r="E306" s="53">
        <v>2.1000000000000001E-2</v>
      </c>
      <c r="F306" s="54">
        <v>1.1000000000000001E-3</v>
      </c>
      <c r="G306" s="15" t="str">
        <f t="shared" si="4"/>
        <v>N-Nitrosodimethylamine</v>
      </c>
    </row>
    <row r="307" spans="1:7" x14ac:dyDescent="0.3">
      <c r="A307" s="52" t="s">
        <v>1814</v>
      </c>
      <c r="B307" s="53" t="s">
        <v>1386</v>
      </c>
      <c r="C307" s="57" t="s">
        <v>1465</v>
      </c>
      <c r="D307" s="53">
        <v>3.2000000000000003E-4</v>
      </c>
      <c r="E307" s="53">
        <v>5.1999999999999998E-2</v>
      </c>
      <c r="F307" s="54">
        <v>2.5999999999999999E-3</v>
      </c>
      <c r="G307" s="15" t="str">
        <f t="shared" si="4"/>
        <v>N-Nitrosodi-N-butylamine</v>
      </c>
    </row>
    <row r="308" spans="1:7" x14ac:dyDescent="0.3">
      <c r="A308" s="52" t="s">
        <v>1815</v>
      </c>
      <c r="B308" s="53" t="s">
        <v>1816</v>
      </c>
      <c r="C308" s="57" t="s">
        <v>1465</v>
      </c>
      <c r="D308" s="53">
        <v>5.0000000000000001E-4</v>
      </c>
      <c r="E308" s="53">
        <v>8.1000000000000003E-2</v>
      </c>
      <c r="F308" s="54">
        <v>4.1000000000000003E-3</v>
      </c>
      <c r="G308" s="15" t="str">
        <f t="shared" si="4"/>
        <v>N-Nitrosodi-N-propylamine</v>
      </c>
    </row>
    <row r="309" spans="1:7" x14ac:dyDescent="0.3">
      <c r="A309" s="52" t="s">
        <v>1353</v>
      </c>
      <c r="B309" s="53" t="s">
        <v>1352</v>
      </c>
      <c r="C309" s="57" t="s">
        <v>1465</v>
      </c>
      <c r="D309" s="53">
        <v>0.38</v>
      </c>
      <c r="E309" s="53">
        <v>62</v>
      </c>
      <c r="F309" s="54">
        <v>3.1</v>
      </c>
      <c r="G309" s="15" t="str">
        <f t="shared" si="4"/>
        <v>N-Nitrosodiphenylamine</v>
      </c>
    </row>
    <row r="310" spans="1:7" x14ac:dyDescent="0.3">
      <c r="A310" s="52" t="s">
        <v>1817</v>
      </c>
      <c r="B310" s="53" t="s">
        <v>1818</v>
      </c>
      <c r="C310" s="57" t="s">
        <v>1465</v>
      </c>
      <c r="D310" s="53">
        <v>0.16</v>
      </c>
      <c r="E310" s="53">
        <v>26</v>
      </c>
      <c r="F310" s="54">
        <v>1.3</v>
      </c>
      <c r="G310" s="15" t="str">
        <f t="shared" si="4"/>
        <v>p-Nitrosodiphenylamine</v>
      </c>
    </row>
    <row r="311" spans="1:7" x14ac:dyDescent="0.3">
      <c r="A311" s="52" t="s">
        <v>911</v>
      </c>
      <c r="B311" s="53" t="s">
        <v>910</v>
      </c>
      <c r="C311" s="57" t="s">
        <v>1465</v>
      </c>
      <c r="D311" s="53">
        <v>5.2999999999999998E-4</v>
      </c>
      <c r="E311" s="53">
        <v>8.5000000000000006E-2</v>
      </c>
      <c r="F311" s="54">
        <v>4.3E-3</v>
      </c>
      <c r="G311" s="15" t="str">
        <f t="shared" si="4"/>
        <v>N-Nitrosomorpholine</v>
      </c>
    </row>
    <row r="312" spans="1:7" x14ac:dyDescent="0.3">
      <c r="A312" s="52" t="s">
        <v>1819</v>
      </c>
      <c r="B312" s="53" t="s">
        <v>1147</v>
      </c>
      <c r="C312" s="57" t="s">
        <v>1465</v>
      </c>
      <c r="D312" s="53">
        <v>7.7999999999999999E-5</v>
      </c>
      <c r="E312" s="53">
        <v>1.2999999999999999E-2</v>
      </c>
      <c r="F312" s="54">
        <v>6.4000000000000005E-4</v>
      </c>
      <c r="G312" s="15" t="str">
        <f t="shared" si="4"/>
        <v>N-Nitroso-N-ethylurea</v>
      </c>
    </row>
    <row r="313" spans="1:7" x14ac:dyDescent="0.3">
      <c r="A313" s="52" t="s">
        <v>1820</v>
      </c>
      <c r="B313" s="53" t="s">
        <v>230</v>
      </c>
      <c r="C313" s="57" t="s">
        <v>1465</v>
      </c>
      <c r="D313" s="55">
        <v>1.6000000000000001E-4</v>
      </c>
      <c r="E313" s="53">
        <v>2.5999999999999999E-2</v>
      </c>
      <c r="F313" s="54">
        <v>1.2999999999999999E-3</v>
      </c>
      <c r="G313" s="15" t="str">
        <f t="shared" si="4"/>
        <v>N-Nitroso-N-methylethylamine</v>
      </c>
    </row>
    <row r="314" spans="1:7" x14ac:dyDescent="0.3">
      <c r="A314" s="52" t="s">
        <v>1821</v>
      </c>
      <c r="B314" s="53" t="s">
        <v>1002</v>
      </c>
      <c r="C314" s="57" t="s">
        <v>1465</v>
      </c>
      <c r="D314" s="55">
        <v>1.8E-5</v>
      </c>
      <c r="E314" s="53">
        <v>2.8999999999999998E-3</v>
      </c>
      <c r="F314" s="54">
        <v>1.3999999999999999E-4</v>
      </c>
      <c r="G314" s="15" t="str">
        <f t="shared" si="4"/>
        <v>N-Nitroso-N-methylurea</v>
      </c>
    </row>
    <row r="315" spans="1:7" x14ac:dyDescent="0.3">
      <c r="A315" s="52" t="s">
        <v>1822</v>
      </c>
      <c r="B315" s="53" t="s">
        <v>944</v>
      </c>
      <c r="C315" s="57" t="s">
        <v>1465</v>
      </c>
      <c r="D315" s="53">
        <v>3.1999999999999999E-5</v>
      </c>
      <c r="E315" s="53">
        <v>5.1999999999999998E-3</v>
      </c>
      <c r="F315" s="54">
        <v>2.5999999999999998E-4</v>
      </c>
      <c r="G315" s="15" t="str">
        <f t="shared" si="4"/>
        <v>N-Nitroso-N-methylurethane</v>
      </c>
    </row>
    <row r="316" spans="1:7" x14ac:dyDescent="0.3">
      <c r="A316" s="52" t="s">
        <v>1823</v>
      </c>
      <c r="B316" s="53" t="s">
        <v>1824</v>
      </c>
      <c r="C316" s="57" t="s">
        <v>1465</v>
      </c>
      <c r="D316" s="53">
        <v>2.5000000000000001E-3</v>
      </c>
      <c r="E316" s="53">
        <v>0.41</v>
      </c>
      <c r="F316" s="54">
        <v>0.02</v>
      </c>
      <c r="G316" s="15" t="str">
        <f t="shared" si="4"/>
        <v>N-Nitrosonornicotine</v>
      </c>
    </row>
    <row r="317" spans="1:7" x14ac:dyDescent="0.3">
      <c r="A317" s="52" t="s">
        <v>1825</v>
      </c>
      <c r="B317" s="53" t="s">
        <v>1826</v>
      </c>
      <c r="C317" s="57" t="s">
        <v>1465</v>
      </c>
      <c r="D317" s="53">
        <v>3.6999999999999999E-4</v>
      </c>
      <c r="E317" s="53">
        <v>0.06</v>
      </c>
      <c r="F317" s="54">
        <v>3.0000000000000001E-3</v>
      </c>
      <c r="G317" s="15" t="str">
        <f t="shared" si="4"/>
        <v>N-Nitrosopiperidine</v>
      </c>
    </row>
    <row r="318" spans="1:7" x14ac:dyDescent="0.3">
      <c r="A318" s="52" t="s">
        <v>1827</v>
      </c>
      <c r="B318" s="53" t="s">
        <v>1828</v>
      </c>
      <c r="C318" s="57" t="s">
        <v>1465</v>
      </c>
      <c r="D318" s="53">
        <v>1.6999999999999999E-3</v>
      </c>
      <c r="E318" s="53">
        <v>0.27</v>
      </c>
      <c r="F318" s="54">
        <v>1.4E-2</v>
      </c>
      <c r="G318" s="15" t="str">
        <f t="shared" si="4"/>
        <v>N-Nitrosopyrrolidine</v>
      </c>
    </row>
    <row r="319" spans="1:7" x14ac:dyDescent="0.3">
      <c r="A319" s="52" t="s">
        <v>1829</v>
      </c>
      <c r="B319" s="53" t="s">
        <v>1830</v>
      </c>
      <c r="C319" s="57" t="s">
        <v>1485</v>
      </c>
      <c r="D319" s="53">
        <v>120</v>
      </c>
      <c r="E319" s="53">
        <v>0.22</v>
      </c>
      <c r="F319" s="54">
        <v>1.0999999999999999E-2</v>
      </c>
      <c r="G319" s="15" t="str">
        <f t="shared" si="4"/>
        <v>Oleum</v>
      </c>
    </row>
    <row r="320" spans="1:7" x14ac:dyDescent="0.3">
      <c r="A320" s="52" t="s">
        <v>1831</v>
      </c>
      <c r="B320" s="53" t="s">
        <v>1832</v>
      </c>
      <c r="C320" s="57" t="s">
        <v>1485</v>
      </c>
      <c r="D320" s="53">
        <v>180</v>
      </c>
      <c r="E320" s="53">
        <v>0.33</v>
      </c>
      <c r="F320" s="54">
        <v>0.02</v>
      </c>
      <c r="G320" s="15" t="str">
        <f t="shared" si="4"/>
        <v>Ozone</v>
      </c>
    </row>
    <row r="321" spans="1:7" x14ac:dyDescent="0.3">
      <c r="A321" s="52" t="s">
        <v>883</v>
      </c>
      <c r="B321" s="53" t="s">
        <v>882</v>
      </c>
      <c r="C321" s="57" t="s">
        <v>1466</v>
      </c>
      <c r="D321" s="53">
        <v>2.0000000000000002E-5</v>
      </c>
      <c r="E321" s="53">
        <v>1.5E-6</v>
      </c>
      <c r="F321" s="54">
        <v>7.4000000000000001E-8</v>
      </c>
      <c r="G321" s="15" t="str">
        <f t="shared" si="4"/>
        <v>Parathion</v>
      </c>
    </row>
    <row r="322" spans="1:7" x14ac:dyDescent="0.3">
      <c r="A322" s="52" t="s">
        <v>1361</v>
      </c>
      <c r="B322" s="53" t="s">
        <v>1360</v>
      </c>
      <c r="C322" s="57" t="s">
        <v>1465</v>
      </c>
      <c r="D322" s="53">
        <v>0.22</v>
      </c>
      <c r="E322" s="53">
        <v>35</v>
      </c>
      <c r="F322" s="54">
        <v>1.8</v>
      </c>
      <c r="G322" s="15" t="str">
        <f t="shared" si="4"/>
        <v>Pentachlorophenol</v>
      </c>
    </row>
    <row r="323" spans="1:7" x14ac:dyDescent="0.3">
      <c r="A323" s="52" t="s">
        <v>1833</v>
      </c>
      <c r="B323" s="53" t="s">
        <v>471</v>
      </c>
      <c r="C323" s="57" t="s">
        <v>1465</v>
      </c>
      <c r="D323" s="53">
        <v>0.16</v>
      </c>
      <c r="E323" s="53">
        <v>27</v>
      </c>
      <c r="F323" s="54">
        <v>1.3</v>
      </c>
      <c r="G323" s="15" t="str">
        <f t="shared" ref="G323:G386" si="5">A323</f>
        <v>Perchloroethylene</v>
      </c>
    </row>
    <row r="324" spans="1:7" x14ac:dyDescent="0.3">
      <c r="A324" s="56" t="s">
        <v>1834</v>
      </c>
      <c r="B324" s="57" t="s">
        <v>1835</v>
      </c>
      <c r="C324" s="57" t="s">
        <v>1465</v>
      </c>
      <c r="D324" s="57">
        <v>1.6</v>
      </c>
      <c r="E324" s="57">
        <v>260</v>
      </c>
      <c r="F324" s="58">
        <v>13</v>
      </c>
      <c r="G324" s="15" t="str">
        <f t="shared" si="5"/>
        <v>Phenacetin</v>
      </c>
    </row>
    <row r="325" spans="1:7" x14ac:dyDescent="0.3">
      <c r="A325" s="52" t="s">
        <v>1836</v>
      </c>
      <c r="B325" s="53" t="s">
        <v>1837</v>
      </c>
      <c r="C325" s="53" t="s">
        <v>1465</v>
      </c>
      <c r="D325" s="53">
        <v>0.02</v>
      </c>
      <c r="E325" s="53">
        <v>3.3</v>
      </c>
      <c r="F325" s="54">
        <v>0.17</v>
      </c>
      <c r="G325" s="15" t="str">
        <f t="shared" si="5"/>
        <v>Phenazopyridine</v>
      </c>
    </row>
    <row r="326" spans="1:7" x14ac:dyDescent="0.3">
      <c r="A326" s="56" t="s">
        <v>1838</v>
      </c>
      <c r="B326" s="57" t="s">
        <v>1839</v>
      </c>
      <c r="C326" s="57" t="s">
        <v>1465</v>
      </c>
      <c r="D326" s="57">
        <v>2.3E-2</v>
      </c>
      <c r="E326" s="57">
        <v>3.8</v>
      </c>
      <c r="F326" s="58">
        <v>0.19</v>
      </c>
      <c r="G326" s="15" t="str">
        <f t="shared" si="5"/>
        <v>Phenazopyridine hydrochloride</v>
      </c>
    </row>
    <row r="327" spans="1:7" x14ac:dyDescent="0.3">
      <c r="A327" s="52" t="s">
        <v>1840</v>
      </c>
      <c r="B327" s="53">
        <v>601472</v>
      </c>
      <c r="C327" s="57" t="s">
        <v>1465</v>
      </c>
      <c r="D327" s="53">
        <v>2.3E-5</v>
      </c>
      <c r="E327" s="53">
        <v>3.8E-3</v>
      </c>
      <c r="F327" s="54">
        <v>1.9000000000000001E-4</v>
      </c>
      <c r="G327" s="15" t="str">
        <f t="shared" si="5"/>
        <v>Phenesterin</v>
      </c>
    </row>
    <row r="328" spans="1:7" x14ac:dyDescent="0.3">
      <c r="A328" s="52" t="s">
        <v>1841</v>
      </c>
      <c r="B328" s="53" t="s">
        <v>1842</v>
      </c>
      <c r="C328" s="53" t="s">
        <v>1465</v>
      </c>
      <c r="D328" s="53">
        <v>7.7000000000000002E-3</v>
      </c>
      <c r="E328" s="53">
        <v>1.2</v>
      </c>
      <c r="F328" s="54">
        <v>6.2E-2</v>
      </c>
      <c r="G328" s="15" t="str">
        <f t="shared" si="5"/>
        <v>Phenobarbital</v>
      </c>
    </row>
    <row r="329" spans="1:7" x14ac:dyDescent="0.3">
      <c r="A329" s="52" t="s">
        <v>333</v>
      </c>
      <c r="B329" s="53" t="s">
        <v>332</v>
      </c>
      <c r="C329" s="57" t="s">
        <v>1466</v>
      </c>
      <c r="D329" s="53">
        <v>200</v>
      </c>
      <c r="E329" s="53">
        <v>15</v>
      </c>
      <c r="F329" s="54">
        <v>0.74</v>
      </c>
      <c r="G329" s="15" t="str">
        <f t="shared" si="5"/>
        <v>Phenol</v>
      </c>
    </row>
    <row r="330" spans="1:7" x14ac:dyDescent="0.3">
      <c r="A330" s="52" t="s">
        <v>1843</v>
      </c>
      <c r="B330" s="53" t="s">
        <v>1844</v>
      </c>
      <c r="C330" s="57" t="s">
        <v>1465</v>
      </c>
      <c r="D330" s="53">
        <v>1.1000000000000001E-3</v>
      </c>
      <c r="E330" s="53">
        <v>0.18</v>
      </c>
      <c r="F330" s="54">
        <v>9.1000000000000004E-3</v>
      </c>
      <c r="G330" s="15" t="str">
        <f t="shared" si="5"/>
        <v>Phenoxybenzamine</v>
      </c>
    </row>
    <row r="331" spans="1:7" ht="22.8" x14ac:dyDescent="0.3">
      <c r="A331" s="52" t="s">
        <v>971</v>
      </c>
      <c r="B331" s="53" t="s">
        <v>970</v>
      </c>
      <c r="C331" s="57" t="s">
        <v>1465</v>
      </c>
      <c r="D331" s="53">
        <v>1.2999999999999999E-3</v>
      </c>
      <c r="E331" s="53">
        <v>0.21</v>
      </c>
      <c r="F331" s="54">
        <v>1.0999999999999999E-2</v>
      </c>
      <c r="G331" s="15" t="str">
        <f t="shared" si="5"/>
        <v>Phenoxybenzamine hydrochloride</v>
      </c>
    </row>
    <row r="332" spans="1:7" x14ac:dyDescent="0.3">
      <c r="A332" s="52" t="s">
        <v>1845</v>
      </c>
      <c r="B332" s="53" t="s">
        <v>1846</v>
      </c>
      <c r="C332" s="57" t="s">
        <v>1465</v>
      </c>
      <c r="D332" s="53">
        <v>1.2</v>
      </c>
      <c r="E332" s="53">
        <v>190</v>
      </c>
      <c r="F332" s="54">
        <v>9.4</v>
      </c>
      <c r="G332" s="15" t="str">
        <f t="shared" si="5"/>
        <v>o-Phenylphenate, sodium</v>
      </c>
    </row>
    <row r="333" spans="1:7" x14ac:dyDescent="0.3">
      <c r="A333" s="52" t="s">
        <v>1115</v>
      </c>
      <c r="B333" s="53" t="s">
        <v>1114</v>
      </c>
      <c r="C333" s="57" t="s">
        <v>1466</v>
      </c>
      <c r="D333" s="53">
        <v>0.3</v>
      </c>
      <c r="E333" s="53">
        <v>2.1999999999999999E-2</v>
      </c>
      <c r="F333" s="54">
        <v>1.1000000000000001E-3</v>
      </c>
      <c r="G333" s="15" t="str">
        <f t="shared" si="5"/>
        <v>Phosgene</v>
      </c>
    </row>
    <row r="334" spans="1:7" x14ac:dyDescent="0.3">
      <c r="A334" s="52" t="s">
        <v>1265</v>
      </c>
      <c r="B334" s="62" t="s">
        <v>1264</v>
      </c>
      <c r="C334" s="57" t="s">
        <v>1466</v>
      </c>
      <c r="D334" s="55">
        <v>0.8</v>
      </c>
      <c r="E334" s="53">
        <v>5.8999999999999997E-2</v>
      </c>
      <c r="F334" s="54">
        <v>3.0000000000000001E-3</v>
      </c>
      <c r="G334" s="15" t="str">
        <f t="shared" si="5"/>
        <v>Phosphine</v>
      </c>
    </row>
    <row r="335" spans="1:7" x14ac:dyDescent="0.3">
      <c r="A335" s="52" t="s">
        <v>1179</v>
      </c>
      <c r="B335" s="53" t="s">
        <v>1178</v>
      </c>
      <c r="C335" s="57" t="s">
        <v>1466</v>
      </c>
      <c r="D335" s="53">
        <v>7</v>
      </c>
      <c r="E335" s="53">
        <v>0.52</v>
      </c>
      <c r="F335" s="54">
        <v>2.5999999999999999E-2</v>
      </c>
      <c r="G335" s="15" t="str">
        <f t="shared" si="5"/>
        <v>Phosphoric acid</v>
      </c>
    </row>
    <row r="336" spans="1:7" x14ac:dyDescent="0.3">
      <c r="A336" s="56" t="s">
        <v>1208</v>
      </c>
      <c r="B336" s="57" t="s">
        <v>1207</v>
      </c>
      <c r="C336" s="57" t="s">
        <v>1466</v>
      </c>
      <c r="D336" s="57">
        <v>20</v>
      </c>
      <c r="E336" s="57">
        <v>1.5</v>
      </c>
      <c r="F336" s="58">
        <v>7.3999999999999996E-2</v>
      </c>
      <c r="G336" s="15" t="str">
        <f t="shared" si="5"/>
        <v>Phosphorus</v>
      </c>
    </row>
    <row r="337" spans="1:7" x14ac:dyDescent="0.3">
      <c r="A337" s="56" t="s">
        <v>1847</v>
      </c>
      <c r="B337" s="57" t="s">
        <v>1848</v>
      </c>
      <c r="C337" s="57" t="s">
        <v>1466</v>
      </c>
      <c r="D337" s="57">
        <v>20</v>
      </c>
      <c r="E337" s="57">
        <v>1.5</v>
      </c>
      <c r="F337" s="58">
        <v>7.3999999999999996E-2</v>
      </c>
      <c r="G337" s="15" t="str">
        <f t="shared" si="5"/>
        <v>Phosphorus, white</v>
      </c>
    </row>
    <row r="338" spans="1:7" x14ac:dyDescent="0.3">
      <c r="A338" s="52" t="s">
        <v>1351</v>
      </c>
      <c r="B338" s="53" t="s">
        <v>1350</v>
      </c>
      <c r="C338" s="57" t="s">
        <v>1466</v>
      </c>
      <c r="D338" s="53">
        <v>20</v>
      </c>
      <c r="E338" s="53">
        <v>1.5</v>
      </c>
      <c r="F338" s="54">
        <v>7.3999999999999996E-2</v>
      </c>
      <c r="G338" s="15" t="str">
        <f t="shared" si="5"/>
        <v>Phthalic anhydride</v>
      </c>
    </row>
    <row r="339" spans="1:7" x14ac:dyDescent="0.3">
      <c r="A339" s="52" t="s">
        <v>1849</v>
      </c>
      <c r="B339" s="53" t="s">
        <v>1495</v>
      </c>
      <c r="C339" s="53" t="s">
        <v>1465</v>
      </c>
      <c r="D339" s="53">
        <v>1.2E-4</v>
      </c>
      <c r="E339" s="53">
        <v>1.9E-2</v>
      </c>
      <c r="F339" s="54">
        <v>9.3999999999999997E-4</v>
      </c>
      <c r="G339" s="15" t="str">
        <f t="shared" si="5"/>
        <v>Polybrominated biphenyls</v>
      </c>
    </row>
    <row r="340" spans="1:7" ht="34.200000000000003" x14ac:dyDescent="0.3">
      <c r="A340" s="52" t="s">
        <v>1850</v>
      </c>
      <c r="B340" s="53" t="s">
        <v>1495</v>
      </c>
      <c r="C340" s="53" t="s">
        <v>1466</v>
      </c>
      <c r="D340" s="53">
        <v>6</v>
      </c>
      <c r="E340" s="53">
        <v>0.44</v>
      </c>
      <c r="F340" s="54">
        <v>2.1999999999999999E-2</v>
      </c>
      <c r="G340" s="15" t="str">
        <f t="shared" si="5"/>
        <v>Polybrominated diphenyl ethers (PBDEs) [containing less than 10 bromine atoms]</v>
      </c>
    </row>
    <row r="341" spans="1:7" ht="22.8" x14ac:dyDescent="0.3">
      <c r="A341" s="52" t="s">
        <v>1851</v>
      </c>
      <c r="B341" s="53" t="s">
        <v>537</v>
      </c>
      <c r="C341" s="53" t="s">
        <v>1465</v>
      </c>
      <c r="D341" s="53">
        <v>1.8E-3</v>
      </c>
      <c r="E341" s="53">
        <v>0.28000000000000003</v>
      </c>
      <c r="F341" s="54">
        <v>1.4E-2</v>
      </c>
      <c r="G341" s="15" t="str">
        <f t="shared" si="5"/>
        <v>Polychlorinated biphenyls (PCBs), NOS</v>
      </c>
    </row>
    <row r="342" spans="1:7" ht="22.8" x14ac:dyDescent="0.3">
      <c r="A342" s="52" t="s">
        <v>1852</v>
      </c>
      <c r="B342" s="53" t="s">
        <v>1853</v>
      </c>
      <c r="C342" s="53" t="s">
        <v>1465</v>
      </c>
      <c r="D342" s="53">
        <v>2.5999999999999998E-4</v>
      </c>
      <c r="E342" s="53">
        <v>4.2999999999999997E-2</v>
      </c>
      <c r="F342" s="54">
        <v>2.0999999999999999E-3</v>
      </c>
      <c r="G342" s="15" t="str">
        <f t="shared" si="5"/>
        <v>PCB 77 (3,3',4,4'-tetrachlorobiphenyl)</v>
      </c>
    </row>
    <row r="343" spans="1:7" ht="22.8" x14ac:dyDescent="0.3">
      <c r="A343" s="52" t="s">
        <v>1854</v>
      </c>
      <c r="B343" s="53" t="s">
        <v>1855</v>
      </c>
      <c r="C343" s="53" t="s">
        <v>1465</v>
      </c>
      <c r="D343" s="53">
        <v>9.1000000000000003E-5</v>
      </c>
      <c r="E343" s="53">
        <v>1.4999999999999999E-2</v>
      </c>
      <c r="F343" s="54">
        <v>7.3999999999999999E-4</v>
      </c>
      <c r="G343" s="15" t="str">
        <f t="shared" si="5"/>
        <v>PCB 81 (3,4,4',5-tetrachlorobiphenyl)</v>
      </c>
    </row>
    <row r="344" spans="1:7" ht="22.8" x14ac:dyDescent="0.3">
      <c r="A344" s="52" t="s">
        <v>1856</v>
      </c>
      <c r="B344" s="53" t="s">
        <v>1857</v>
      </c>
      <c r="C344" s="57" t="s">
        <v>1465</v>
      </c>
      <c r="D344" s="53">
        <v>9.1E-4</v>
      </c>
      <c r="E344" s="53">
        <v>0.15</v>
      </c>
      <c r="F344" s="54">
        <v>7.4000000000000003E-3</v>
      </c>
      <c r="G344" s="15" t="str">
        <f t="shared" si="5"/>
        <v>PCB 105 (2,3,3',4,4'-pentachlorobiphenyl)</v>
      </c>
    </row>
    <row r="345" spans="1:7" ht="22.8" x14ac:dyDescent="0.3">
      <c r="A345" s="52" t="s">
        <v>1858</v>
      </c>
      <c r="B345" s="57" t="s">
        <v>1859</v>
      </c>
      <c r="C345" s="57" t="s">
        <v>1465</v>
      </c>
      <c r="D345" s="53">
        <v>9.1E-4</v>
      </c>
      <c r="E345" s="53">
        <v>0.15</v>
      </c>
      <c r="F345" s="54">
        <v>7.4000000000000003E-3</v>
      </c>
      <c r="G345" s="15" t="str">
        <f t="shared" si="5"/>
        <v>PCB 114 (2,3,4,4',5-pentachlorobiphenyl)</v>
      </c>
    </row>
    <row r="346" spans="1:7" ht="22.8" x14ac:dyDescent="0.3">
      <c r="A346" s="52" t="s">
        <v>1860</v>
      </c>
      <c r="B346" s="53" t="s">
        <v>1861</v>
      </c>
      <c r="C346" s="57" t="s">
        <v>1465</v>
      </c>
      <c r="D346" s="53">
        <v>9.1E-4</v>
      </c>
      <c r="E346" s="53">
        <v>0.15</v>
      </c>
      <c r="F346" s="54">
        <v>7.4000000000000003E-3</v>
      </c>
      <c r="G346" s="15" t="str">
        <f t="shared" si="5"/>
        <v>PCB 118 (2,3',4,4',5-pentachlorobiphenyl)</v>
      </c>
    </row>
    <row r="347" spans="1:7" ht="22.8" x14ac:dyDescent="0.3">
      <c r="A347" s="52" t="s">
        <v>1862</v>
      </c>
      <c r="B347" s="62" t="s">
        <v>1863</v>
      </c>
      <c r="C347" s="57" t="s">
        <v>1465</v>
      </c>
      <c r="D347" s="53">
        <v>9.1E-4</v>
      </c>
      <c r="E347" s="53">
        <v>0.15</v>
      </c>
      <c r="F347" s="54">
        <v>7.4000000000000003E-3</v>
      </c>
      <c r="G347" s="15" t="str">
        <f t="shared" si="5"/>
        <v>PCB 123 (2,3',4,4',5'-pentachlorobiphenyl)</v>
      </c>
    </row>
    <row r="348" spans="1:7" ht="22.8" x14ac:dyDescent="0.3">
      <c r="A348" s="52" t="s">
        <v>1864</v>
      </c>
      <c r="B348" s="53" t="s">
        <v>1865</v>
      </c>
      <c r="C348" s="57" t="s">
        <v>1465</v>
      </c>
      <c r="D348" s="53">
        <v>2.6E-7</v>
      </c>
      <c r="E348" s="53">
        <v>4.3000000000000002E-5</v>
      </c>
      <c r="F348" s="54">
        <v>2.0999999999999998E-6</v>
      </c>
      <c r="G348" s="15" t="str">
        <f t="shared" si="5"/>
        <v>PCB 126 (3,3',4,4',5-pentachlorobiphenyl)</v>
      </c>
    </row>
    <row r="349" spans="1:7" ht="22.8" x14ac:dyDescent="0.3">
      <c r="A349" s="52" t="s">
        <v>1866</v>
      </c>
      <c r="B349" s="62" t="s">
        <v>1867</v>
      </c>
      <c r="C349" s="57" t="s">
        <v>1465</v>
      </c>
      <c r="D349" s="53">
        <v>9.1E-4</v>
      </c>
      <c r="E349" s="53">
        <v>0.15</v>
      </c>
      <c r="F349" s="54">
        <v>7.4000000000000003E-3</v>
      </c>
      <c r="G349" s="15" t="str">
        <f t="shared" si="5"/>
        <v>PCB 156 (2,3,3',4,4',5-hexachlorobiphenyl)</v>
      </c>
    </row>
    <row r="350" spans="1:7" ht="22.8" x14ac:dyDescent="0.3">
      <c r="A350" s="52" t="s">
        <v>1868</v>
      </c>
      <c r="B350" s="53" t="s">
        <v>1869</v>
      </c>
      <c r="C350" s="57" t="s">
        <v>1465</v>
      </c>
      <c r="D350" s="53">
        <v>9.1E-4</v>
      </c>
      <c r="E350" s="53">
        <v>0.15</v>
      </c>
      <c r="F350" s="54">
        <v>7.4000000000000003E-3</v>
      </c>
      <c r="G350" s="15" t="str">
        <f t="shared" si="5"/>
        <v>PCB 157 (2,3,3',4,4',5'-hexachlorobiphenyl)</v>
      </c>
    </row>
    <row r="351" spans="1:7" ht="22.8" x14ac:dyDescent="0.3">
      <c r="A351" s="52" t="s">
        <v>1870</v>
      </c>
      <c r="B351" s="53" t="s">
        <v>1871</v>
      </c>
      <c r="C351" s="57" t="s">
        <v>1465</v>
      </c>
      <c r="D351" s="53">
        <v>9.1E-4</v>
      </c>
      <c r="E351" s="53">
        <v>0.15</v>
      </c>
      <c r="F351" s="54">
        <v>7.4000000000000003E-3</v>
      </c>
      <c r="G351" s="15" t="str">
        <f t="shared" si="5"/>
        <v>PCB 167 (2,3',4,4',5,5'-hexachlorobiphenyl)</v>
      </c>
    </row>
    <row r="352" spans="1:7" ht="22.8" x14ac:dyDescent="0.3">
      <c r="A352" s="52" t="s">
        <v>1872</v>
      </c>
      <c r="B352" s="53" t="s">
        <v>1873</v>
      </c>
      <c r="C352" s="53" t="s">
        <v>1465</v>
      </c>
      <c r="D352" s="53">
        <v>9.0999999999999997E-7</v>
      </c>
      <c r="E352" s="53">
        <v>1.4999999999999999E-4</v>
      </c>
      <c r="F352" s="54">
        <v>7.4000000000000003E-6</v>
      </c>
      <c r="G352" s="15" t="str">
        <f t="shared" si="5"/>
        <v>PCB 169 (3,3',4,4',5,5'-hexachlorobiphenyl)</v>
      </c>
    </row>
    <row r="353" spans="1:7" ht="22.8" x14ac:dyDescent="0.3">
      <c r="A353" s="52" t="s">
        <v>1874</v>
      </c>
      <c r="B353" s="53" t="s">
        <v>1875</v>
      </c>
      <c r="C353" s="53" t="s">
        <v>1465</v>
      </c>
      <c r="D353" s="53">
        <v>9.1E-4</v>
      </c>
      <c r="E353" s="53">
        <v>0.15</v>
      </c>
      <c r="F353" s="54">
        <v>7.4000000000000003E-3</v>
      </c>
      <c r="G353" s="15" t="str">
        <f t="shared" si="5"/>
        <v>PCB 189 (2,3,3',4,4',5,5'-heptachlorobiphenyl)</v>
      </c>
    </row>
    <row r="354" spans="1:7" ht="34.200000000000003" x14ac:dyDescent="0.3">
      <c r="A354" s="52" t="s">
        <v>1876</v>
      </c>
      <c r="B354" s="53" t="s">
        <v>1877</v>
      </c>
      <c r="C354" s="53" t="s">
        <v>1465</v>
      </c>
      <c r="D354" s="53">
        <v>2.6000000000000001E-6</v>
      </c>
      <c r="E354" s="53">
        <v>4.2999999999999999E-4</v>
      </c>
      <c r="F354" s="54">
        <v>2.0999999999999999E-5</v>
      </c>
      <c r="G354" s="15" t="str">
        <f t="shared" si="5"/>
        <v>1,2,3,4,6,7,8-Heptachlorodibenzo-p-dioxin (HpCDD)</v>
      </c>
    </row>
    <row r="355" spans="1:7" ht="22.8" x14ac:dyDescent="0.3">
      <c r="A355" s="52" t="s">
        <v>1878</v>
      </c>
      <c r="B355" s="53" t="s">
        <v>1879</v>
      </c>
      <c r="C355" s="53" t="s">
        <v>1465</v>
      </c>
      <c r="D355" s="53">
        <v>2.6E-7</v>
      </c>
      <c r="E355" s="53">
        <v>4.3000000000000002E-5</v>
      </c>
      <c r="F355" s="54">
        <v>2.0999999999999998E-6</v>
      </c>
      <c r="G355" s="15" t="str">
        <f t="shared" si="5"/>
        <v>1,2,3,4,7,8-Hexachlorodibenzo-p-dioxin (HxCDD)</v>
      </c>
    </row>
    <row r="356" spans="1:7" ht="22.8" x14ac:dyDescent="0.3">
      <c r="A356" s="52" t="s">
        <v>1880</v>
      </c>
      <c r="B356" s="53" t="s">
        <v>1881</v>
      </c>
      <c r="C356" s="57" t="s">
        <v>1465</v>
      </c>
      <c r="D356" s="53">
        <v>2.6E-7</v>
      </c>
      <c r="E356" s="53">
        <v>4.3000000000000002E-5</v>
      </c>
      <c r="F356" s="54">
        <v>2.0999999999999998E-6</v>
      </c>
      <c r="G356" s="15" t="str">
        <f t="shared" si="5"/>
        <v>1,2,3,6,7,8-Hexachlorodibenzo-p-dioxin (HxCDD)</v>
      </c>
    </row>
    <row r="357" spans="1:7" ht="22.8" x14ac:dyDescent="0.3">
      <c r="A357" s="52" t="s">
        <v>1882</v>
      </c>
      <c r="B357" s="53" t="s">
        <v>649</v>
      </c>
      <c r="C357" s="57" t="s">
        <v>1465</v>
      </c>
      <c r="D357" s="53">
        <v>2.6E-7</v>
      </c>
      <c r="E357" s="53">
        <v>4.3000000000000002E-5</v>
      </c>
      <c r="F357" s="54">
        <v>2.0999999999999998E-6</v>
      </c>
      <c r="G357" s="15" t="str">
        <f t="shared" si="5"/>
        <v>1,2,3,7,8,9-Hexachlorodibenzo-p-dioxin (HxCDD)</v>
      </c>
    </row>
    <row r="358" spans="1:7" ht="34.200000000000003" x14ac:dyDescent="0.3">
      <c r="A358" s="52" t="s">
        <v>1883</v>
      </c>
      <c r="B358" s="53" t="s">
        <v>1884</v>
      </c>
      <c r="C358" s="53" t="s">
        <v>1465</v>
      </c>
      <c r="D358" s="53">
        <v>9.1000000000000003E-5</v>
      </c>
      <c r="E358" s="53">
        <v>1.4999999999999999E-2</v>
      </c>
      <c r="F358" s="54">
        <v>7.3999999999999999E-4</v>
      </c>
      <c r="G358" s="15" t="str">
        <f t="shared" si="5"/>
        <v>1,2,3,4,6,7,8,9-Octachlorodibenzo-p-dioxin (OCDD)</v>
      </c>
    </row>
    <row r="359" spans="1:7" ht="22.8" x14ac:dyDescent="0.3">
      <c r="A359" s="52" t="s">
        <v>1885</v>
      </c>
      <c r="B359" s="53" t="s">
        <v>1886</v>
      </c>
      <c r="C359" s="53" t="s">
        <v>1465</v>
      </c>
      <c r="D359" s="53">
        <v>2.6000000000000001E-8</v>
      </c>
      <c r="E359" s="53">
        <v>4.3000000000000003E-6</v>
      </c>
      <c r="F359" s="54">
        <v>2.1E-7</v>
      </c>
      <c r="G359" s="15" t="str">
        <f t="shared" si="5"/>
        <v>1,2,3,7,8-Pentachlorodibenzo-p-dioxin (PeCDD)</v>
      </c>
    </row>
    <row r="360" spans="1:7" ht="22.8" x14ac:dyDescent="0.3">
      <c r="A360" s="52" t="s">
        <v>1887</v>
      </c>
      <c r="B360" s="53" t="s">
        <v>623</v>
      </c>
      <c r="C360" s="57" t="s">
        <v>1465</v>
      </c>
      <c r="D360" s="53">
        <v>2.6000000000000001E-8</v>
      </c>
      <c r="E360" s="53">
        <v>4.3000000000000003E-6</v>
      </c>
      <c r="F360" s="54">
        <v>2.1E-7</v>
      </c>
      <c r="G360" s="15" t="str">
        <f t="shared" si="5"/>
        <v>2,3,7,8-Tetrachlorodibenzo-p-dioxin (TCDD)</v>
      </c>
    </row>
    <row r="361" spans="1:7" ht="34.200000000000003" x14ac:dyDescent="0.3">
      <c r="A361" s="52" t="s">
        <v>1888</v>
      </c>
      <c r="B361" s="53" t="s">
        <v>1495</v>
      </c>
      <c r="C361" s="57" t="s">
        <v>1465</v>
      </c>
      <c r="D361" s="53">
        <v>2.6000000000000001E-8</v>
      </c>
      <c r="E361" s="53">
        <v>4.3000000000000003E-6</v>
      </c>
      <c r="F361" s="54">
        <v>2.1E-7</v>
      </c>
      <c r="G361" s="15" t="str">
        <f t="shared" si="5"/>
        <v>2,3,7,8-Tetrachlorodibenzo-p-dioxin &amp; related compounds, NOS</v>
      </c>
    </row>
    <row r="362" spans="1:7" ht="35.4" x14ac:dyDescent="0.3">
      <c r="A362" s="56" t="s">
        <v>1889</v>
      </c>
      <c r="B362" s="57" t="s">
        <v>1890</v>
      </c>
      <c r="C362" s="57" t="s">
        <v>1465</v>
      </c>
      <c r="D362" s="57">
        <v>2.6000000000000001E-6</v>
      </c>
      <c r="E362" s="57">
        <v>4.2999999999999999E-4</v>
      </c>
      <c r="F362" s="58">
        <v>2.0999999999999999E-5</v>
      </c>
      <c r="G362" s="15" t="str">
        <f t="shared" si="5"/>
        <v>1,2,3,4,6,7,8-Heptachlorodibenzofuran (HpCDF)</v>
      </c>
    </row>
    <row r="363" spans="1:7" ht="35.4" x14ac:dyDescent="0.3">
      <c r="A363" s="56" t="s">
        <v>1891</v>
      </c>
      <c r="B363" s="57" t="s">
        <v>1892</v>
      </c>
      <c r="C363" s="57" t="s">
        <v>1465</v>
      </c>
      <c r="D363" s="57">
        <v>2.6000000000000001E-6</v>
      </c>
      <c r="E363" s="57">
        <v>4.2999999999999999E-4</v>
      </c>
      <c r="F363" s="58">
        <v>2.0999999999999999E-5</v>
      </c>
      <c r="G363" s="15" t="str">
        <f t="shared" si="5"/>
        <v>1,2,3,4,7,8,9-Heptachlorodibenzofuran (HpCDF)</v>
      </c>
    </row>
    <row r="364" spans="1:7" ht="34.200000000000003" x14ac:dyDescent="0.3">
      <c r="A364" s="52" t="s">
        <v>1893</v>
      </c>
      <c r="B364" s="53" t="s">
        <v>1894</v>
      </c>
      <c r="C364" s="53" t="s">
        <v>1465</v>
      </c>
      <c r="D364" s="53">
        <v>2.6E-7</v>
      </c>
      <c r="E364" s="53">
        <v>4.3000000000000002E-5</v>
      </c>
      <c r="F364" s="54">
        <v>2.0999999999999998E-6</v>
      </c>
      <c r="G364" s="15" t="str">
        <f t="shared" si="5"/>
        <v>1,2,3,4,7,8-Hexachlorodibenzofuran (HxCDF)</v>
      </c>
    </row>
    <row r="365" spans="1:7" ht="35.4" x14ac:dyDescent="0.3">
      <c r="A365" s="56" t="s">
        <v>1895</v>
      </c>
      <c r="B365" s="57" t="s">
        <v>1896</v>
      </c>
      <c r="C365" s="57" t="s">
        <v>1465</v>
      </c>
      <c r="D365" s="57">
        <v>2.6E-7</v>
      </c>
      <c r="E365" s="57">
        <v>4.3000000000000002E-5</v>
      </c>
      <c r="F365" s="58">
        <v>2.0999999999999998E-6</v>
      </c>
      <c r="G365" s="15" t="str">
        <f t="shared" si="5"/>
        <v>1,2,3,6,7,8-Hexachlorodibenzofuran (HxCDF)</v>
      </c>
    </row>
    <row r="366" spans="1:7" ht="34.200000000000003" x14ac:dyDescent="0.3">
      <c r="A366" s="65" t="s">
        <v>1897</v>
      </c>
      <c r="B366" s="57" t="s">
        <v>1898</v>
      </c>
      <c r="C366" s="57" t="s">
        <v>1465</v>
      </c>
      <c r="D366" s="57">
        <v>2.6E-7</v>
      </c>
      <c r="E366" s="57">
        <v>4.3000000000000002E-5</v>
      </c>
      <c r="F366" s="58">
        <v>2.0999999999999998E-6</v>
      </c>
      <c r="G366" s="15" t="str">
        <f t="shared" si="5"/>
        <v>1,2,3,7,8,9-Hexachlorodibenzofuran (HxCDF)</v>
      </c>
    </row>
    <row r="367" spans="1:7" ht="34.200000000000003" x14ac:dyDescent="0.3">
      <c r="A367" s="65" t="s">
        <v>1899</v>
      </c>
      <c r="B367" s="57" t="s">
        <v>1900</v>
      </c>
      <c r="C367" s="57" t="s">
        <v>1465</v>
      </c>
      <c r="D367" s="57">
        <v>2.6E-7</v>
      </c>
      <c r="E367" s="57">
        <v>4.3000000000000002E-5</v>
      </c>
      <c r="F367" s="58">
        <v>2.0999999999999998E-6</v>
      </c>
      <c r="G367" s="15" t="str">
        <f t="shared" si="5"/>
        <v>2,3,4,6,7,8-Hexachlorodibenzofuran (HxCDF)</v>
      </c>
    </row>
    <row r="368" spans="1:7" ht="34.200000000000003" x14ac:dyDescent="0.3">
      <c r="A368" s="65" t="s">
        <v>1901</v>
      </c>
      <c r="B368" s="57" t="s">
        <v>1902</v>
      </c>
      <c r="C368" s="57" t="s">
        <v>1465</v>
      </c>
      <c r="D368" s="57">
        <v>9.1000000000000003E-5</v>
      </c>
      <c r="E368" s="57">
        <v>1.4999999999999999E-2</v>
      </c>
      <c r="F368" s="58">
        <v>7.3999999999999999E-4</v>
      </c>
      <c r="G368" s="15" t="str">
        <f t="shared" si="5"/>
        <v>1,2,3,4,6,7,8,9-Octachlorodibenzofuran (OCDF)</v>
      </c>
    </row>
    <row r="369" spans="1:7" ht="34.200000000000003" x14ac:dyDescent="0.3">
      <c r="A369" s="65" t="s">
        <v>1903</v>
      </c>
      <c r="B369" s="57" t="s">
        <v>1904</v>
      </c>
      <c r="C369" s="57" t="s">
        <v>1465</v>
      </c>
      <c r="D369" s="57">
        <v>9.0999999999999997E-7</v>
      </c>
      <c r="E369" s="57">
        <v>1.4999999999999999E-4</v>
      </c>
      <c r="F369" s="58">
        <v>7.4000000000000003E-6</v>
      </c>
      <c r="G369" s="15" t="str">
        <f t="shared" si="5"/>
        <v>1,2,3,7,8-Pentachlorodibenzofuran (PeCDF)</v>
      </c>
    </row>
    <row r="370" spans="1:7" ht="34.200000000000003" x14ac:dyDescent="0.3">
      <c r="A370" s="65" t="s">
        <v>1905</v>
      </c>
      <c r="B370" s="57" t="s">
        <v>1906</v>
      </c>
      <c r="C370" s="57" t="s">
        <v>1465</v>
      </c>
      <c r="D370" s="57">
        <v>9.0999999999999994E-8</v>
      </c>
      <c r="E370" s="57">
        <v>1.5E-5</v>
      </c>
      <c r="F370" s="58">
        <v>7.4000000000000001E-7</v>
      </c>
      <c r="G370" s="15" t="str">
        <f t="shared" si="5"/>
        <v>2,3,4,7,8-Pentachlorodibenzofuran (PeCDF)</v>
      </c>
    </row>
    <row r="371" spans="1:7" ht="34.200000000000003" x14ac:dyDescent="0.3">
      <c r="A371" s="65" t="s">
        <v>1907</v>
      </c>
      <c r="B371" s="57" t="s">
        <v>1908</v>
      </c>
      <c r="C371" s="57" t="s">
        <v>1465</v>
      </c>
      <c r="D371" s="57">
        <v>2.6E-7</v>
      </c>
      <c r="E371" s="57">
        <v>4.3000000000000002E-5</v>
      </c>
      <c r="F371" s="58">
        <v>2.0999999999999998E-6</v>
      </c>
      <c r="G371" s="15" t="str">
        <f t="shared" si="5"/>
        <v>2,3,7,8-Tetrachlorodibenzofuran (TcDF)</v>
      </c>
    </row>
    <row r="372" spans="1:7" x14ac:dyDescent="0.3">
      <c r="A372" s="65" t="s">
        <v>1909</v>
      </c>
      <c r="B372" s="63">
        <v>608016</v>
      </c>
      <c r="C372" s="57" t="s">
        <v>1465</v>
      </c>
      <c r="D372" s="57">
        <v>0.22</v>
      </c>
      <c r="E372" s="57">
        <v>35</v>
      </c>
      <c r="F372" s="58">
        <v>1.8</v>
      </c>
      <c r="G372" s="15" t="str">
        <f t="shared" si="5"/>
        <v>Ponceau 3R</v>
      </c>
    </row>
    <row r="373" spans="1:7" x14ac:dyDescent="0.3">
      <c r="A373" s="65" t="s">
        <v>776</v>
      </c>
      <c r="B373" s="57" t="s">
        <v>775</v>
      </c>
      <c r="C373" s="57" t="s">
        <v>1465</v>
      </c>
      <c r="D373" s="57">
        <v>0.77</v>
      </c>
      <c r="E373" s="57">
        <v>120</v>
      </c>
      <c r="F373" s="58">
        <v>6.2</v>
      </c>
      <c r="G373" s="15" t="str">
        <f t="shared" si="5"/>
        <v>Ponceau MX</v>
      </c>
    </row>
    <row r="374" spans="1:7" x14ac:dyDescent="0.3">
      <c r="A374" s="65" t="s">
        <v>1910</v>
      </c>
      <c r="B374" s="57">
        <v>2139594</v>
      </c>
      <c r="C374" s="57" t="s">
        <v>1465</v>
      </c>
      <c r="D374" s="57">
        <v>7.1000000000000004E-3</v>
      </c>
      <c r="E374" s="57">
        <v>1.2</v>
      </c>
      <c r="F374" s="58">
        <v>5.8000000000000003E-2</v>
      </c>
      <c r="G374" s="15" t="str">
        <f t="shared" si="5"/>
        <v>Potassium bromate</v>
      </c>
    </row>
    <row r="375" spans="1:7" x14ac:dyDescent="0.3">
      <c r="A375" s="65" t="s">
        <v>1911</v>
      </c>
      <c r="B375" s="57" t="s">
        <v>1912</v>
      </c>
      <c r="C375" s="57" t="s">
        <v>1465</v>
      </c>
      <c r="D375" s="57">
        <v>2.5000000000000001E-4</v>
      </c>
      <c r="E375" s="57">
        <v>4.1000000000000002E-2</v>
      </c>
      <c r="F375" s="58">
        <v>2E-3</v>
      </c>
      <c r="G375" s="15" t="str">
        <f t="shared" si="5"/>
        <v>Procarbazine</v>
      </c>
    </row>
    <row r="376" spans="1:7" x14ac:dyDescent="0.3">
      <c r="A376" s="65" t="s">
        <v>1913</v>
      </c>
      <c r="B376" s="57" t="s">
        <v>1914</v>
      </c>
      <c r="C376" s="57" t="s">
        <v>1465</v>
      </c>
      <c r="D376" s="57">
        <v>2.9E-4</v>
      </c>
      <c r="E376" s="57">
        <v>4.8000000000000001E-2</v>
      </c>
      <c r="F376" s="58">
        <v>2.3999999999999998E-3</v>
      </c>
      <c r="G376" s="15" t="str">
        <f t="shared" si="5"/>
        <v>Procarbazine hydrochloride</v>
      </c>
    </row>
    <row r="377" spans="1:7" x14ac:dyDescent="0.3">
      <c r="A377" s="65" t="s">
        <v>392</v>
      </c>
      <c r="B377" s="57" t="s">
        <v>391</v>
      </c>
      <c r="C377" s="57" t="s">
        <v>1465</v>
      </c>
      <c r="D377" s="57">
        <v>1.4E-3</v>
      </c>
      <c r="E377" s="57">
        <v>0.24</v>
      </c>
      <c r="F377" s="58">
        <v>1.2E-2</v>
      </c>
      <c r="G377" s="15" t="str">
        <f t="shared" si="5"/>
        <v>1,3-Propane sultone</v>
      </c>
    </row>
    <row r="378" spans="1:7" x14ac:dyDescent="0.3">
      <c r="A378" s="65" t="s">
        <v>145</v>
      </c>
      <c r="B378" s="57" t="s">
        <v>144</v>
      </c>
      <c r="C378" s="57" t="s">
        <v>1466</v>
      </c>
      <c r="D378" s="57">
        <v>8</v>
      </c>
      <c r="E378" s="57">
        <v>0.59</v>
      </c>
      <c r="F378" s="58">
        <v>0.03</v>
      </c>
      <c r="G378" s="15" t="str">
        <f t="shared" si="5"/>
        <v>Propionaldehyde</v>
      </c>
    </row>
    <row r="379" spans="1:7" x14ac:dyDescent="0.3">
      <c r="A379" s="65" t="s">
        <v>1915</v>
      </c>
      <c r="B379" s="57" t="s">
        <v>66</v>
      </c>
      <c r="C379" s="57" t="s">
        <v>1466</v>
      </c>
      <c r="D379" s="57">
        <v>3000</v>
      </c>
      <c r="E379" s="57">
        <v>220</v>
      </c>
      <c r="F379" s="58">
        <v>11</v>
      </c>
      <c r="G379" s="15" t="str">
        <f t="shared" si="5"/>
        <v>Propylene</v>
      </c>
    </row>
    <row r="380" spans="1:7" x14ac:dyDescent="0.3">
      <c r="A380" s="65" t="s">
        <v>1916</v>
      </c>
      <c r="B380" s="57" t="s">
        <v>1917</v>
      </c>
      <c r="C380" s="57" t="s">
        <v>1466</v>
      </c>
      <c r="D380" s="57">
        <v>28</v>
      </c>
      <c r="E380" s="57">
        <v>2.1</v>
      </c>
      <c r="F380" s="58">
        <v>0.11</v>
      </c>
      <c r="G380" s="15" t="str">
        <f t="shared" si="5"/>
        <v>Propylene glycol</v>
      </c>
    </row>
    <row r="381" spans="1:7" x14ac:dyDescent="0.3">
      <c r="A381" s="65" t="s">
        <v>985</v>
      </c>
      <c r="B381" s="57" t="s">
        <v>984</v>
      </c>
      <c r="C381" s="57" t="s">
        <v>1466</v>
      </c>
      <c r="D381" s="57">
        <v>0.28000000000000003</v>
      </c>
      <c r="E381" s="57">
        <v>2.1000000000000001E-2</v>
      </c>
      <c r="F381" s="58">
        <v>1E-3</v>
      </c>
      <c r="G381" s="15" t="str">
        <f t="shared" si="5"/>
        <v>Propylene glycol dinitrate</v>
      </c>
    </row>
    <row r="382" spans="1:7" ht="22.8" x14ac:dyDescent="0.3">
      <c r="A382" s="65" t="s">
        <v>1918</v>
      </c>
      <c r="B382" s="57" t="s">
        <v>290</v>
      </c>
      <c r="C382" s="57" t="s">
        <v>1466</v>
      </c>
      <c r="D382" s="57">
        <v>7000</v>
      </c>
      <c r="E382" s="57">
        <v>520</v>
      </c>
      <c r="F382" s="58">
        <v>26</v>
      </c>
      <c r="G382" s="15" t="str">
        <f t="shared" si="5"/>
        <v>Propylene glycol monomethyl ether</v>
      </c>
    </row>
    <row r="383" spans="1:7" x14ac:dyDescent="0.3">
      <c r="A383" s="65" t="s">
        <v>1127</v>
      </c>
      <c r="B383" s="57" t="s">
        <v>1126</v>
      </c>
      <c r="C383" s="57" t="s">
        <v>1465</v>
      </c>
      <c r="D383" s="57">
        <v>0.27</v>
      </c>
      <c r="E383" s="57">
        <v>44</v>
      </c>
      <c r="F383" s="58">
        <v>2.2000000000000002</v>
      </c>
      <c r="G383" s="15" t="str">
        <f t="shared" si="5"/>
        <v>Propylene oxide</v>
      </c>
    </row>
    <row r="384" spans="1:7" x14ac:dyDescent="0.3">
      <c r="A384" s="65" t="s">
        <v>1919</v>
      </c>
      <c r="B384" s="57" t="s">
        <v>1920</v>
      </c>
      <c r="C384" s="57" t="s">
        <v>1465</v>
      </c>
      <c r="D384" s="57">
        <v>3.3999999999999998E-3</v>
      </c>
      <c r="E384" s="57">
        <v>0.56000000000000005</v>
      </c>
      <c r="F384" s="58">
        <v>2.8000000000000001E-2</v>
      </c>
      <c r="G384" s="15" t="str">
        <f t="shared" si="5"/>
        <v>Propylthiouracil</v>
      </c>
    </row>
    <row r="385" spans="1:7" x14ac:dyDescent="0.3">
      <c r="A385" s="15" t="s">
        <v>1921</v>
      </c>
      <c r="B385" s="57" t="s">
        <v>1495</v>
      </c>
      <c r="C385" s="57" t="s">
        <v>1466</v>
      </c>
      <c r="D385" s="57">
        <v>0.03</v>
      </c>
      <c r="E385" s="57">
        <v>2.2000000000000001E-3</v>
      </c>
      <c r="F385" s="58">
        <v>1.1E-4</v>
      </c>
      <c r="G385" s="15" t="str">
        <f t="shared" si="5"/>
        <v>Refractory ceramic fibers (fibers/cubic centimeter)</v>
      </c>
    </row>
    <row r="386" spans="1:7" x14ac:dyDescent="0.3">
      <c r="A386" s="65" t="s">
        <v>1922</v>
      </c>
      <c r="B386" s="57" t="s">
        <v>1923</v>
      </c>
      <c r="C386" s="57" t="s">
        <v>1465</v>
      </c>
      <c r="D386" s="57">
        <v>3.2000000000000003E-4</v>
      </c>
      <c r="E386" s="57">
        <v>5.1999999999999998E-2</v>
      </c>
      <c r="F386" s="58">
        <v>2.5999999999999999E-3</v>
      </c>
      <c r="G386" s="15" t="str">
        <f t="shared" si="5"/>
        <v>Reserpine</v>
      </c>
    </row>
    <row r="387" spans="1:7" x14ac:dyDescent="0.3">
      <c r="A387" s="65" t="s">
        <v>1924</v>
      </c>
      <c r="B387" s="57" t="s">
        <v>1925</v>
      </c>
      <c r="C387" s="57" t="s">
        <v>1465</v>
      </c>
      <c r="D387" s="57">
        <v>9.5999999999999992E-3</v>
      </c>
      <c r="E387" s="57">
        <v>1.6</v>
      </c>
      <c r="F387" s="58">
        <v>7.8E-2</v>
      </c>
      <c r="G387" s="15" t="str">
        <f t="shared" ref="G387:G439" si="6">A387</f>
        <v>Safrole</v>
      </c>
    </row>
    <row r="388" spans="1:7" x14ac:dyDescent="0.3">
      <c r="A388" s="65" t="s">
        <v>1926</v>
      </c>
      <c r="B388" s="57">
        <v>2148909</v>
      </c>
      <c r="C388" s="57" t="s">
        <v>1485</v>
      </c>
      <c r="D388" s="57">
        <v>5</v>
      </c>
      <c r="E388" s="57">
        <v>9.2999999999999992E-3</v>
      </c>
      <c r="F388" s="58">
        <v>4.6000000000000001E-4</v>
      </c>
      <c r="G388" s="15" t="str">
        <f t="shared" si="6"/>
        <v>Selenide, hydrogen</v>
      </c>
    </row>
    <row r="389" spans="1:7" ht="34.200000000000003" x14ac:dyDescent="0.3">
      <c r="A389" s="65" t="s">
        <v>1927</v>
      </c>
      <c r="B389" s="57" t="s">
        <v>1495</v>
      </c>
      <c r="C389" s="57" t="s">
        <v>1466</v>
      </c>
      <c r="D389" s="57">
        <v>20</v>
      </c>
      <c r="E389" s="57">
        <v>1.5</v>
      </c>
      <c r="F389" s="58">
        <v>7.3999999999999996E-2</v>
      </c>
      <c r="G389" s="15" t="str">
        <f t="shared" si="6"/>
        <v>Selenium &amp; selenium compounds (other than hydrogen selenide)</v>
      </c>
    </row>
    <row r="390" spans="1:7" x14ac:dyDescent="0.3">
      <c r="A390" s="65" t="s">
        <v>1928</v>
      </c>
      <c r="B390" s="57" t="s">
        <v>1929</v>
      </c>
      <c r="C390" s="57" t="s">
        <v>1466</v>
      </c>
      <c r="D390" s="57">
        <v>3</v>
      </c>
      <c r="E390" s="57">
        <v>0.22</v>
      </c>
      <c r="F390" s="58">
        <v>1.0999999999999999E-2</v>
      </c>
      <c r="G390" s="15" t="str">
        <f t="shared" si="6"/>
        <v>Silica, crystalline (respirable)</v>
      </c>
    </row>
    <row r="391" spans="1:7" x14ac:dyDescent="0.3">
      <c r="A391" s="65" t="s">
        <v>502</v>
      </c>
      <c r="B391" s="57" t="s">
        <v>501</v>
      </c>
      <c r="C391" s="57" t="s">
        <v>1485</v>
      </c>
      <c r="D391" s="57">
        <v>8</v>
      </c>
      <c r="E391" s="57">
        <v>1.4999999999999999E-2</v>
      </c>
      <c r="F391" s="58">
        <v>7.3999999999999999E-4</v>
      </c>
      <c r="G391" s="15" t="str">
        <f t="shared" si="6"/>
        <v>Sodium hydroxide</v>
      </c>
    </row>
    <row r="392" spans="1:7" x14ac:dyDescent="0.3">
      <c r="A392" s="65" t="s">
        <v>1930</v>
      </c>
      <c r="B392" s="57" t="s">
        <v>1931</v>
      </c>
      <c r="C392" s="57" t="s">
        <v>1485</v>
      </c>
      <c r="D392" s="57">
        <v>120</v>
      </c>
      <c r="E392" s="57">
        <v>0.22</v>
      </c>
      <c r="F392" s="58">
        <v>1.0999999999999999E-2</v>
      </c>
      <c r="G392" s="15" t="str">
        <f t="shared" si="6"/>
        <v>Sodium sulfate</v>
      </c>
    </row>
    <row r="393" spans="1:7" x14ac:dyDescent="0.3">
      <c r="A393" s="65" t="s">
        <v>1932</v>
      </c>
      <c r="B393" s="57" t="s">
        <v>1933</v>
      </c>
      <c r="C393" s="57" t="s">
        <v>1465</v>
      </c>
      <c r="D393" s="57">
        <v>1E-4</v>
      </c>
      <c r="E393" s="57">
        <v>1.6E-2</v>
      </c>
      <c r="F393" s="58">
        <v>8.0999999999999996E-4</v>
      </c>
      <c r="G393" s="15" t="str">
        <f t="shared" si="6"/>
        <v>Sterigmatocystin</v>
      </c>
    </row>
    <row r="394" spans="1:7" x14ac:dyDescent="0.3">
      <c r="A394" s="65" t="s">
        <v>1934</v>
      </c>
      <c r="B394" s="57" t="s">
        <v>1935</v>
      </c>
      <c r="C394" s="57" t="s">
        <v>1465</v>
      </c>
      <c r="D394" s="57">
        <v>3.1999999999999999E-5</v>
      </c>
      <c r="E394" s="57">
        <v>5.1999999999999998E-3</v>
      </c>
      <c r="F394" s="58">
        <v>2.5999999999999998E-4</v>
      </c>
      <c r="G394" s="15" t="str">
        <f t="shared" si="6"/>
        <v>Streptozotocin</v>
      </c>
    </row>
    <row r="395" spans="1:7" x14ac:dyDescent="0.3">
      <c r="A395" s="65" t="s">
        <v>100</v>
      </c>
      <c r="B395" s="57" t="s">
        <v>99</v>
      </c>
      <c r="C395" s="57" t="s">
        <v>1466</v>
      </c>
      <c r="D395" s="57">
        <v>870</v>
      </c>
      <c r="E395" s="57">
        <v>65</v>
      </c>
      <c r="F395" s="58">
        <v>3.2</v>
      </c>
      <c r="G395" s="15" t="str">
        <f t="shared" si="6"/>
        <v>Styrene</v>
      </c>
    </row>
    <row r="396" spans="1:7" x14ac:dyDescent="0.3">
      <c r="A396" s="65" t="s">
        <v>1413</v>
      </c>
      <c r="B396" s="57" t="s">
        <v>1412</v>
      </c>
      <c r="C396" s="57" t="s">
        <v>1465</v>
      </c>
      <c r="D396" s="57">
        <v>2.1999999999999999E-2</v>
      </c>
      <c r="E396" s="57">
        <v>3.5</v>
      </c>
      <c r="F396" s="58">
        <v>0.18</v>
      </c>
      <c r="G396" s="15" t="str">
        <f t="shared" si="6"/>
        <v>Styrene oxide</v>
      </c>
    </row>
    <row r="397" spans="1:7" x14ac:dyDescent="0.3">
      <c r="A397" s="65" t="s">
        <v>1936</v>
      </c>
      <c r="B397" s="57" t="s">
        <v>1937</v>
      </c>
      <c r="C397" s="57" t="s">
        <v>1465</v>
      </c>
      <c r="D397" s="57">
        <v>1.9E-2</v>
      </c>
      <c r="E397" s="57">
        <v>3</v>
      </c>
      <c r="F397" s="58">
        <v>0.15</v>
      </c>
      <c r="G397" s="15" t="str">
        <f t="shared" si="6"/>
        <v>Sulfallate</v>
      </c>
    </row>
    <row r="398" spans="1:7" x14ac:dyDescent="0.3">
      <c r="A398" s="15" t="s">
        <v>1938</v>
      </c>
      <c r="B398" s="15">
        <v>2025884</v>
      </c>
      <c r="C398" s="15" t="s">
        <v>1485</v>
      </c>
      <c r="D398" s="15">
        <v>660</v>
      </c>
      <c r="E398" s="15">
        <v>1.2</v>
      </c>
      <c r="F398" s="15">
        <v>0.46</v>
      </c>
      <c r="G398" s="15" t="str">
        <f t="shared" si="6"/>
        <v>Sulfur dioxide</v>
      </c>
    </row>
    <row r="399" spans="1:7" x14ac:dyDescent="0.3">
      <c r="A399" s="15" t="s">
        <v>1939</v>
      </c>
      <c r="B399" s="15" t="s">
        <v>1940</v>
      </c>
      <c r="C399" s="15" t="s">
        <v>1466</v>
      </c>
      <c r="D399" s="15">
        <v>0.02</v>
      </c>
      <c r="E399" s="15">
        <v>1.5E-3</v>
      </c>
      <c r="F399" s="15">
        <v>7.3999999999999996E-5</v>
      </c>
      <c r="G399" s="15" t="str">
        <f t="shared" si="6"/>
        <v>Sulfur mustard</v>
      </c>
    </row>
    <row r="400" spans="1:7" x14ac:dyDescent="0.3">
      <c r="A400" s="15" t="s">
        <v>1941</v>
      </c>
      <c r="B400" s="15">
        <v>2025949</v>
      </c>
      <c r="C400" s="15" t="s">
        <v>1485</v>
      </c>
      <c r="D400" s="15">
        <v>120</v>
      </c>
      <c r="E400" s="15">
        <v>0.22</v>
      </c>
      <c r="F400" s="15">
        <v>1.0999999999999999E-2</v>
      </c>
      <c r="G400" s="15" t="str">
        <f t="shared" si="6"/>
        <v>Sulfur trioxide</v>
      </c>
    </row>
    <row r="401" spans="1:7" x14ac:dyDescent="0.3">
      <c r="A401" s="15" t="s">
        <v>1184</v>
      </c>
      <c r="B401" s="15" t="s">
        <v>1183</v>
      </c>
      <c r="C401" s="15" t="s">
        <v>1466</v>
      </c>
      <c r="D401" s="15">
        <v>1</v>
      </c>
      <c r="E401" s="15">
        <v>7.3999999999999996E-2</v>
      </c>
      <c r="F401" s="15">
        <v>3.7000000000000002E-3</v>
      </c>
      <c r="G401" s="15" t="str">
        <f t="shared" si="6"/>
        <v>Sulfuric acid</v>
      </c>
    </row>
    <row r="402" spans="1:7" x14ac:dyDescent="0.3">
      <c r="A402" s="15" t="s">
        <v>1942</v>
      </c>
      <c r="B402" s="15" t="s">
        <v>852</v>
      </c>
      <c r="C402" s="15" t="s">
        <v>1465</v>
      </c>
      <c r="D402" s="15">
        <v>0.77</v>
      </c>
      <c r="E402" s="15">
        <v>120</v>
      </c>
      <c r="F402" s="15">
        <v>6.2</v>
      </c>
      <c r="G402" s="15" t="str">
        <f t="shared" si="6"/>
        <v>Tertiary-butyl acetate</v>
      </c>
    </row>
    <row r="403" spans="1:7" x14ac:dyDescent="0.3">
      <c r="A403" s="15" t="s">
        <v>1943</v>
      </c>
      <c r="B403" s="15" t="s">
        <v>1944</v>
      </c>
      <c r="C403" s="15" t="s">
        <v>1465</v>
      </c>
      <c r="D403" s="15">
        <v>0.14000000000000001</v>
      </c>
      <c r="E403" s="15">
        <v>22</v>
      </c>
      <c r="F403" s="15">
        <v>1.1000000000000001</v>
      </c>
      <c r="G403" s="15" t="str">
        <f t="shared" si="6"/>
        <v>1,1,1,2-Tetrachloroethane</v>
      </c>
    </row>
    <row r="404" spans="1:7" x14ac:dyDescent="0.3">
      <c r="A404" s="15" t="s">
        <v>1290</v>
      </c>
      <c r="B404" s="15" t="s">
        <v>1289</v>
      </c>
      <c r="C404" s="15" t="s">
        <v>1465</v>
      </c>
      <c r="D404" s="15">
        <v>1.7000000000000001E-2</v>
      </c>
      <c r="E404" s="15">
        <v>2.8</v>
      </c>
      <c r="F404" s="15">
        <v>0.14000000000000001</v>
      </c>
      <c r="G404" s="15" t="str">
        <f t="shared" si="6"/>
        <v>1,1,2,2-Tetrachloroethane</v>
      </c>
    </row>
    <row r="405" spans="1:7" x14ac:dyDescent="0.3">
      <c r="A405" s="15" t="s">
        <v>1945</v>
      </c>
      <c r="B405" s="15" t="s">
        <v>1946</v>
      </c>
      <c r="C405" s="15" t="s">
        <v>1466</v>
      </c>
      <c r="D405" s="15">
        <v>80000</v>
      </c>
      <c r="E405" s="15">
        <v>5900</v>
      </c>
      <c r="F405" s="15">
        <v>300</v>
      </c>
      <c r="G405" s="15" t="str">
        <f t="shared" si="6"/>
        <v>1,1,1,2-Tetrafluoroethane</v>
      </c>
    </row>
    <row r="406" spans="1:7" x14ac:dyDescent="0.3">
      <c r="A406" s="15" t="s">
        <v>355</v>
      </c>
      <c r="B406" s="15" t="s">
        <v>354</v>
      </c>
      <c r="C406" s="15" t="s">
        <v>1466</v>
      </c>
      <c r="D406" s="15">
        <v>2000</v>
      </c>
      <c r="E406" s="15">
        <v>150</v>
      </c>
      <c r="F406" s="15">
        <v>7.4</v>
      </c>
      <c r="G406" s="15" t="str">
        <f t="shared" si="6"/>
        <v>Tetrahydrofuran</v>
      </c>
    </row>
    <row r="407" spans="1:7" x14ac:dyDescent="0.3">
      <c r="A407" s="15" t="s">
        <v>1947</v>
      </c>
      <c r="B407" s="15" t="s">
        <v>1948</v>
      </c>
      <c r="C407" s="15" t="s">
        <v>1465</v>
      </c>
      <c r="D407" s="15">
        <v>5.9000000000000003E-4</v>
      </c>
      <c r="E407" s="15">
        <v>0.1</v>
      </c>
      <c r="F407" s="15">
        <v>4.7999999999999996E-3</v>
      </c>
      <c r="G407" s="15" t="str">
        <f t="shared" si="6"/>
        <v>Thioacetamide</v>
      </c>
    </row>
    <row r="408" spans="1:7" x14ac:dyDescent="0.3">
      <c r="A408" s="15" t="s">
        <v>1949</v>
      </c>
      <c r="B408" s="15" t="s">
        <v>567</v>
      </c>
      <c r="C408" s="15" t="s">
        <v>1465</v>
      </c>
      <c r="D408" s="15">
        <v>2.3000000000000001E-4</v>
      </c>
      <c r="E408" s="15">
        <v>3.7999999999999999E-2</v>
      </c>
      <c r="F408" s="15">
        <v>1.9E-3</v>
      </c>
      <c r="G408" s="15" t="str">
        <f t="shared" si="6"/>
        <v>4,4-Thiodianiline</v>
      </c>
    </row>
    <row r="409" spans="1:7" x14ac:dyDescent="0.3">
      <c r="A409" s="15" t="s">
        <v>1950</v>
      </c>
      <c r="B409" s="15" t="s">
        <v>1951</v>
      </c>
      <c r="C409" s="15" t="s">
        <v>1465</v>
      </c>
      <c r="D409" s="15">
        <v>4.8000000000000001E-2</v>
      </c>
      <c r="E409" s="15">
        <v>7.7</v>
      </c>
      <c r="F409" s="15">
        <v>0.39</v>
      </c>
      <c r="G409" s="15" t="str">
        <f t="shared" si="6"/>
        <v>Thiourea</v>
      </c>
    </row>
    <row r="410" spans="1:7" x14ac:dyDescent="0.3">
      <c r="A410" s="15" t="s">
        <v>1140</v>
      </c>
      <c r="B410" s="15" t="s">
        <v>1139</v>
      </c>
      <c r="C410" s="15" t="s">
        <v>1466</v>
      </c>
      <c r="D410" s="15">
        <v>0.1</v>
      </c>
      <c r="E410" s="15">
        <v>7.4000000000000003E-3</v>
      </c>
      <c r="F410" s="15">
        <v>3.6999999999999999E-4</v>
      </c>
      <c r="G410" s="15" t="str">
        <f t="shared" si="6"/>
        <v>Titanium tetrachloride</v>
      </c>
    </row>
    <row r="411" spans="1:7" x14ac:dyDescent="0.3">
      <c r="A411" s="15" t="s">
        <v>94</v>
      </c>
      <c r="B411" s="15" t="s">
        <v>93</v>
      </c>
      <c r="C411" s="15" t="s">
        <v>1466</v>
      </c>
      <c r="D411" s="15">
        <v>5000</v>
      </c>
      <c r="E411" s="15">
        <v>370</v>
      </c>
      <c r="F411" s="15">
        <v>19</v>
      </c>
      <c r="G411" s="15" t="str">
        <f t="shared" si="6"/>
        <v>Toluene</v>
      </c>
    </row>
    <row r="412" spans="1:7" x14ac:dyDescent="0.3">
      <c r="A412" s="15" t="s">
        <v>1952</v>
      </c>
      <c r="B412" s="15" t="s">
        <v>1953</v>
      </c>
      <c r="C412" s="15" t="s">
        <v>1466</v>
      </c>
      <c r="D412" s="15">
        <v>8.0000000000000002E-3</v>
      </c>
      <c r="E412" s="15">
        <v>5.9000000000000003E-4</v>
      </c>
      <c r="F412" s="15">
        <v>3.0000000000000001E-5</v>
      </c>
      <c r="G412" s="15" t="str">
        <f t="shared" si="6"/>
        <v>Toluene diisocyanates (2,4- and 2,6-)</v>
      </c>
    </row>
    <row r="413" spans="1:7" x14ac:dyDescent="0.3">
      <c r="A413" s="15" t="s">
        <v>1954</v>
      </c>
      <c r="B413" s="15" t="s">
        <v>906</v>
      </c>
      <c r="C413" s="15" t="s">
        <v>1466</v>
      </c>
      <c r="D413" s="15">
        <v>8.0000000000000002E-3</v>
      </c>
      <c r="E413" s="15">
        <v>5.9000000000000003E-4</v>
      </c>
      <c r="F413" s="15">
        <v>3.0000000000000001E-5</v>
      </c>
      <c r="G413" s="15" t="str">
        <f t="shared" si="6"/>
        <v>Toluene-2,4-diisocyanate</v>
      </c>
    </row>
    <row r="414" spans="1:7" x14ac:dyDescent="0.3">
      <c r="A414" s="15" t="s">
        <v>1955</v>
      </c>
      <c r="B414" s="15" t="s">
        <v>1956</v>
      </c>
      <c r="C414" s="15" t="s">
        <v>1466</v>
      </c>
      <c r="D414" s="15">
        <v>8.0000000000000002E-3</v>
      </c>
      <c r="E414" s="15">
        <v>5.9000000000000003E-4</v>
      </c>
      <c r="F414" s="15">
        <v>3.0000000000000001E-5</v>
      </c>
      <c r="G414" s="15" t="str">
        <f t="shared" si="6"/>
        <v>Toluene-2,6-diisocyanate</v>
      </c>
    </row>
    <row r="415" spans="1:7" x14ac:dyDescent="0.3">
      <c r="A415" s="15" t="s">
        <v>1407</v>
      </c>
      <c r="B415" s="15" t="s">
        <v>1406</v>
      </c>
      <c r="C415" s="15" t="s">
        <v>1465</v>
      </c>
      <c r="D415" s="15">
        <v>0.02</v>
      </c>
      <c r="E415" s="15">
        <v>3.2</v>
      </c>
      <c r="F415" s="15">
        <v>0.16</v>
      </c>
      <c r="G415" s="15" t="str">
        <f t="shared" si="6"/>
        <v>o-Toluidine</v>
      </c>
    </row>
    <row r="416" spans="1:7" x14ac:dyDescent="0.3">
      <c r="A416" s="15" t="s">
        <v>973</v>
      </c>
      <c r="B416" s="15" t="s">
        <v>972</v>
      </c>
      <c r="C416" s="15" t="s">
        <v>1465</v>
      </c>
      <c r="D416" s="15">
        <v>2.7E-2</v>
      </c>
      <c r="E416" s="15">
        <v>4.4000000000000004</v>
      </c>
      <c r="F416" s="15">
        <v>0.22</v>
      </c>
      <c r="G416" s="15" t="str">
        <f t="shared" si="6"/>
        <v>o-Toluidine hydrochloride</v>
      </c>
    </row>
    <row r="417" spans="1:7" x14ac:dyDescent="0.3">
      <c r="A417" s="15" t="s">
        <v>1957</v>
      </c>
      <c r="B417" s="15" t="s">
        <v>1301</v>
      </c>
      <c r="C417" s="15" t="s">
        <v>1465</v>
      </c>
      <c r="D417" s="15">
        <v>2.8999999999999998E-3</v>
      </c>
      <c r="E417" s="15">
        <v>0.48</v>
      </c>
      <c r="F417" s="15">
        <v>2.4E-2</v>
      </c>
      <c r="G417" s="15" t="str">
        <f t="shared" si="6"/>
        <v>Toxaphene (polychlorinated camphenes)</v>
      </c>
    </row>
    <row r="418" spans="1:7" x14ac:dyDescent="0.3">
      <c r="A418" s="15" t="s">
        <v>1958</v>
      </c>
      <c r="B418" s="15" t="s">
        <v>1014</v>
      </c>
      <c r="C418" s="15" t="s">
        <v>1466</v>
      </c>
      <c r="D418" s="15">
        <v>5000</v>
      </c>
      <c r="E418" s="15">
        <v>370</v>
      </c>
      <c r="F418" s="15">
        <v>19</v>
      </c>
      <c r="G418" s="15" t="str">
        <f t="shared" si="6"/>
        <v>1,1,1-Trichloroethane (methyl chloroform)</v>
      </c>
    </row>
    <row r="419" spans="1:7" x14ac:dyDescent="0.3">
      <c r="A419" s="15" t="s">
        <v>1959</v>
      </c>
      <c r="B419" s="15" t="s">
        <v>1270</v>
      </c>
      <c r="C419" s="15" t="s">
        <v>1465</v>
      </c>
      <c r="D419" s="15">
        <v>6.3E-2</v>
      </c>
      <c r="E419" s="15">
        <v>10</v>
      </c>
      <c r="F419" s="15">
        <v>0.51</v>
      </c>
      <c r="G419" s="15" t="str">
        <f t="shared" si="6"/>
        <v>1,1,2-Trichloroethane (vinyl trichloride)</v>
      </c>
    </row>
    <row r="420" spans="1:7" x14ac:dyDescent="0.3">
      <c r="A420" s="15" t="s">
        <v>1960</v>
      </c>
      <c r="B420" s="15" t="s">
        <v>1272</v>
      </c>
      <c r="C420" s="15" t="s">
        <v>1465</v>
      </c>
      <c r="D420" s="15">
        <v>0.21</v>
      </c>
      <c r="E420" s="15">
        <v>34</v>
      </c>
      <c r="F420" s="15">
        <v>1.7</v>
      </c>
      <c r="G420" s="15" t="str">
        <f t="shared" si="6"/>
        <v>Trichloroethylene (TCE)</v>
      </c>
    </row>
    <row r="421" spans="1:7" x14ac:dyDescent="0.3">
      <c r="A421" s="15" t="s">
        <v>1363</v>
      </c>
      <c r="B421" s="15" t="s">
        <v>1362</v>
      </c>
      <c r="C421" s="15" t="s">
        <v>1465</v>
      </c>
      <c r="D421" s="15">
        <v>0.32</v>
      </c>
      <c r="E421" s="15">
        <v>52</v>
      </c>
      <c r="F421" s="15">
        <v>2.6</v>
      </c>
      <c r="G421" s="15" t="str">
        <f t="shared" si="6"/>
        <v>2,4,6-Trichlorophenol</v>
      </c>
    </row>
    <row r="422" spans="1:7" x14ac:dyDescent="0.3">
      <c r="A422" s="15" t="s">
        <v>1417</v>
      </c>
      <c r="B422" s="15" t="s">
        <v>1416</v>
      </c>
      <c r="C422" s="15" t="s">
        <v>1466</v>
      </c>
      <c r="D422" s="15">
        <v>0.3</v>
      </c>
      <c r="E422" s="15">
        <v>2.1999999999999999E-2</v>
      </c>
      <c r="F422" s="15">
        <v>1.1000000000000001E-3</v>
      </c>
      <c r="G422" s="15" t="str">
        <f t="shared" si="6"/>
        <v>1,2,3-Trichloropropane</v>
      </c>
    </row>
    <row r="423" spans="1:7" x14ac:dyDescent="0.3">
      <c r="A423" s="15" t="s">
        <v>426</v>
      </c>
      <c r="B423" s="15" t="s">
        <v>425</v>
      </c>
      <c r="C423" s="15" t="s">
        <v>1466</v>
      </c>
      <c r="D423" s="15">
        <v>200</v>
      </c>
      <c r="E423" s="15">
        <v>15</v>
      </c>
      <c r="F423" s="15">
        <v>0.74</v>
      </c>
      <c r="G423" s="15" t="str">
        <f t="shared" si="6"/>
        <v>Triethylamine</v>
      </c>
    </row>
    <row r="424" spans="1:7" x14ac:dyDescent="0.3">
      <c r="A424" s="15" t="s">
        <v>1961</v>
      </c>
      <c r="B424" s="15" t="s">
        <v>1962</v>
      </c>
      <c r="C424" s="15" t="s">
        <v>1466</v>
      </c>
      <c r="D424" s="15">
        <v>60</v>
      </c>
      <c r="E424" s="15">
        <v>4.4000000000000004</v>
      </c>
      <c r="F424" s="15">
        <v>0.22</v>
      </c>
      <c r="G424" s="15" t="str">
        <f t="shared" si="6"/>
        <v>1,2,3-Trimethylbenzene</v>
      </c>
    </row>
    <row r="425" spans="1:7" x14ac:dyDescent="0.3">
      <c r="A425" s="15" t="s">
        <v>1963</v>
      </c>
      <c r="B425" s="15" t="s">
        <v>1964</v>
      </c>
      <c r="C425" s="15" t="s">
        <v>1466</v>
      </c>
      <c r="D425" s="15">
        <v>60</v>
      </c>
      <c r="E425" s="15">
        <v>4.4000000000000004</v>
      </c>
      <c r="F425" s="15">
        <v>0.22</v>
      </c>
      <c r="G425" s="15" t="str">
        <f t="shared" si="6"/>
        <v>1,2,4-Trimethylbenzene</v>
      </c>
    </row>
    <row r="426" spans="1:7" x14ac:dyDescent="0.3">
      <c r="A426" s="15" t="s">
        <v>1965</v>
      </c>
      <c r="B426" s="15" t="s">
        <v>1966</v>
      </c>
      <c r="C426" s="15" t="s">
        <v>1466</v>
      </c>
      <c r="D426" s="15">
        <v>60</v>
      </c>
      <c r="E426" s="15">
        <v>4.4000000000000004</v>
      </c>
      <c r="F426" s="15">
        <v>0.22</v>
      </c>
      <c r="G426" s="15" t="str">
        <f t="shared" si="6"/>
        <v>1,3,5-Trimethylbenzene</v>
      </c>
    </row>
    <row r="427" spans="1:7" x14ac:dyDescent="0.3">
      <c r="A427" s="15" t="s">
        <v>1967</v>
      </c>
      <c r="B427" s="15" t="s">
        <v>1968</v>
      </c>
      <c r="C427" s="15" t="s">
        <v>1465</v>
      </c>
      <c r="D427" s="15">
        <v>1.3999999999999999E-4</v>
      </c>
      <c r="E427" s="15">
        <v>2.1999999999999999E-2</v>
      </c>
      <c r="F427" s="15">
        <v>1.1000000000000001E-3</v>
      </c>
      <c r="G427" s="15" t="str">
        <f t="shared" si="6"/>
        <v>Tryptophan-P-1</v>
      </c>
    </row>
    <row r="428" spans="1:7" x14ac:dyDescent="0.3">
      <c r="A428" s="15" t="s">
        <v>1969</v>
      </c>
      <c r="B428" s="15" t="s">
        <v>1970</v>
      </c>
      <c r="C428" s="15" t="s">
        <v>1465</v>
      </c>
      <c r="D428" s="15">
        <v>1.1000000000000001E-3</v>
      </c>
      <c r="E428" s="15">
        <v>0.18</v>
      </c>
      <c r="F428" s="15">
        <v>8.8999999999999999E-3</v>
      </c>
      <c r="G428" s="15" t="str">
        <f t="shared" si="6"/>
        <v>Tryptophan-P-2</v>
      </c>
    </row>
    <row r="429" spans="1:7" x14ac:dyDescent="0.3">
      <c r="A429" s="15" t="s">
        <v>1971</v>
      </c>
      <c r="B429" s="15" t="s">
        <v>1495</v>
      </c>
      <c r="C429" s="15" t="s">
        <v>1466</v>
      </c>
      <c r="D429" s="15">
        <v>0.8</v>
      </c>
      <c r="E429" s="15">
        <v>5.8999999999999997E-2</v>
      </c>
      <c r="F429" s="15">
        <v>3.0000000000000001E-3</v>
      </c>
      <c r="G429" s="15" t="str">
        <f t="shared" si="6"/>
        <v>Uranium, insoluble compounds, NOS</v>
      </c>
    </row>
    <row r="430" spans="1:7" x14ac:dyDescent="0.3">
      <c r="A430" s="15" t="s">
        <v>1972</v>
      </c>
      <c r="B430" s="15" t="s">
        <v>1495</v>
      </c>
      <c r="C430" s="15" t="s">
        <v>1466</v>
      </c>
      <c r="D430" s="15">
        <v>0.04</v>
      </c>
      <c r="E430" s="15">
        <v>3.0000000000000001E-3</v>
      </c>
      <c r="F430" s="15">
        <v>1.4999999999999999E-4</v>
      </c>
      <c r="G430" s="15" t="str">
        <f t="shared" si="6"/>
        <v>Uranium, soluble salts, NOS</v>
      </c>
    </row>
    <row r="431" spans="1:7" x14ac:dyDescent="0.3">
      <c r="A431" s="15" t="s">
        <v>1973</v>
      </c>
      <c r="B431" s="15" t="s">
        <v>1974</v>
      </c>
      <c r="C431" s="15" t="s">
        <v>1466</v>
      </c>
      <c r="D431" s="15">
        <v>0.1</v>
      </c>
      <c r="E431" s="15">
        <v>7.4000000000000003E-3</v>
      </c>
      <c r="F431" s="15">
        <v>3.6999999999999999E-4</v>
      </c>
      <c r="G431" s="15" t="str">
        <f t="shared" si="6"/>
        <v>Vanadium (fume or dust)</v>
      </c>
    </row>
    <row r="432" spans="1:7" x14ac:dyDescent="0.3">
      <c r="A432" s="15" t="s">
        <v>1975</v>
      </c>
      <c r="B432" s="15" t="s">
        <v>509</v>
      </c>
      <c r="C432" s="15" t="s">
        <v>1485</v>
      </c>
      <c r="D432" s="15">
        <v>30</v>
      </c>
      <c r="E432" s="15">
        <v>5.6000000000000001E-2</v>
      </c>
      <c r="F432" s="15">
        <v>2.8E-3</v>
      </c>
      <c r="G432" s="15" t="str">
        <f t="shared" si="6"/>
        <v>Vanadium pentoxide</v>
      </c>
    </row>
    <row r="433" spans="1:7" x14ac:dyDescent="0.3">
      <c r="A433" s="15" t="s">
        <v>294</v>
      </c>
      <c r="B433" s="15" t="s">
        <v>81</v>
      </c>
      <c r="C433" s="15" t="s">
        <v>1466</v>
      </c>
      <c r="D433" s="15">
        <v>200</v>
      </c>
      <c r="E433" s="15">
        <v>15</v>
      </c>
      <c r="F433" s="15">
        <v>0.74</v>
      </c>
      <c r="G433" s="15" t="str">
        <f t="shared" si="6"/>
        <v>Vinyl acetate</v>
      </c>
    </row>
    <row r="434" spans="1:7" x14ac:dyDescent="0.3">
      <c r="A434" s="15" t="s">
        <v>917</v>
      </c>
      <c r="B434" s="15" t="s">
        <v>916</v>
      </c>
      <c r="C434" s="15" t="s">
        <v>1466</v>
      </c>
      <c r="D434" s="15">
        <v>3</v>
      </c>
      <c r="E434" s="15">
        <v>0.22</v>
      </c>
      <c r="F434" s="15">
        <v>1.0999999999999999E-2</v>
      </c>
      <c r="G434" s="15" t="str">
        <f t="shared" si="6"/>
        <v>Vinyl bromide</v>
      </c>
    </row>
    <row r="435" spans="1:7" x14ac:dyDescent="0.3">
      <c r="A435" s="15" t="s">
        <v>1093</v>
      </c>
      <c r="B435" s="15" t="s">
        <v>1092</v>
      </c>
      <c r="C435" s="15" t="s">
        <v>1465</v>
      </c>
      <c r="D435" s="15">
        <v>0.11</v>
      </c>
      <c r="E435" s="15">
        <v>18</v>
      </c>
      <c r="F435" s="15">
        <v>0.92</v>
      </c>
      <c r="G435" s="15" t="str">
        <f t="shared" si="6"/>
        <v>Vinyl chloride</v>
      </c>
    </row>
    <row r="436" spans="1:7" x14ac:dyDescent="0.3">
      <c r="A436" s="15" t="s">
        <v>1976</v>
      </c>
      <c r="B436" s="15" t="s">
        <v>527</v>
      </c>
      <c r="C436" s="15" t="s">
        <v>1466</v>
      </c>
      <c r="D436" s="15">
        <v>220</v>
      </c>
      <c r="E436" s="15">
        <v>16</v>
      </c>
      <c r="F436" s="15">
        <v>0.82</v>
      </c>
      <c r="G436" s="15" t="str">
        <f t="shared" si="6"/>
        <v>Xylene (mixture), including m-xylene, o-xylene, p-xylene</v>
      </c>
    </row>
    <row r="437" spans="1:7" x14ac:dyDescent="0.3">
      <c r="A437" s="15" t="s">
        <v>1977</v>
      </c>
      <c r="B437" s="15" t="s">
        <v>308</v>
      </c>
      <c r="C437" s="15" t="s">
        <v>1466</v>
      </c>
      <c r="D437" s="15">
        <v>220</v>
      </c>
      <c r="E437" s="15">
        <v>16</v>
      </c>
      <c r="F437" s="15">
        <v>0.82</v>
      </c>
      <c r="G437" s="15" t="str">
        <f t="shared" si="6"/>
        <v>m-Xylene</v>
      </c>
    </row>
    <row r="438" spans="1:7" x14ac:dyDescent="0.3">
      <c r="A438" s="15" t="s">
        <v>1978</v>
      </c>
      <c r="B438" s="15" t="s">
        <v>1398</v>
      </c>
      <c r="C438" s="15" t="s">
        <v>1466</v>
      </c>
      <c r="D438" s="15">
        <v>220</v>
      </c>
      <c r="E438" s="15">
        <v>16</v>
      </c>
      <c r="F438" s="15">
        <v>0.82</v>
      </c>
      <c r="G438" s="15" t="str">
        <f t="shared" si="6"/>
        <v>o-Xylene</v>
      </c>
    </row>
    <row r="439" spans="1:7" x14ac:dyDescent="0.3">
      <c r="A439" s="15" t="s">
        <v>1979</v>
      </c>
      <c r="B439" s="15" t="s">
        <v>234</v>
      </c>
      <c r="C439" s="15" t="s">
        <v>1466</v>
      </c>
      <c r="D439" s="15">
        <v>220</v>
      </c>
      <c r="E439" s="15">
        <v>16</v>
      </c>
      <c r="F439" s="15">
        <v>0.82</v>
      </c>
      <c r="G439" s="15" t="str">
        <f t="shared" si="6"/>
        <v>p-Xylene</v>
      </c>
    </row>
  </sheetData>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31"/>
  <sheetViews>
    <sheetView tabSelected="1" topLeftCell="B1" workbookViewId="0">
      <selection activeCell="G13" sqref="G13"/>
    </sheetView>
  </sheetViews>
  <sheetFormatPr defaultColWidth="8.77734375" defaultRowHeight="14.4" x14ac:dyDescent="0.3"/>
  <cols>
    <col min="1" max="1" width="8.77734375" style="15"/>
    <col min="2" max="2" width="65.88671875" style="15" customWidth="1"/>
    <col min="3" max="4" width="17.77734375" style="15" bestFit="1" customWidth="1"/>
    <col min="5" max="5" width="13.77734375" style="15" customWidth="1"/>
    <col min="6" max="6" width="15.21875" style="15" customWidth="1"/>
    <col min="7" max="7" width="11.77734375" style="15" customWidth="1"/>
    <col min="8" max="8" width="12" style="15" bestFit="1" customWidth="1"/>
    <col min="9" max="10" width="8.77734375" style="15"/>
    <col min="11" max="11" width="17.21875" style="15" bestFit="1" customWidth="1"/>
    <col min="12" max="12" width="8.77734375" style="15"/>
    <col min="13" max="13" width="10.5546875" style="15" bestFit="1" customWidth="1"/>
    <col min="14" max="14" width="15.77734375" style="15" bestFit="1" customWidth="1"/>
    <col min="15" max="16384" width="8.77734375" style="15"/>
  </cols>
  <sheetData>
    <row r="2" spans="1:12" x14ac:dyDescent="0.3">
      <c r="A2" s="2"/>
      <c r="B2" s="2"/>
      <c r="C2" s="13"/>
      <c r="D2" s="2"/>
      <c r="E2" s="2"/>
    </row>
    <row r="3" spans="1:12" x14ac:dyDescent="0.3">
      <c r="A3" s="2"/>
      <c r="B3" s="12" t="s">
        <v>9</v>
      </c>
      <c r="C3" s="6" t="s">
        <v>11</v>
      </c>
      <c r="D3" s="6" t="s">
        <v>6</v>
      </c>
      <c r="E3" s="12"/>
      <c r="F3" s="12"/>
    </row>
    <row r="4" spans="1:12" x14ac:dyDescent="0.3">
      <c r="A4" s="2"/>
      <c r="B4" s="2" t="s">
        <v>17</v>
      </c>
      <c r="C4" s="165">
        <v>5.7</v>
      </c>
      <c r="D4" s="2" t="s">
        <v>35</v>
      </c>
      <c r="E4" s="13"/>
      <c r="F4" s="13"/>
      <c r="G4" s="2"/>
      <c r="H4" s="2"/>
    </row>
    <row r="5" spans="1:12" x14ac:dyDescent="0.3">
      <c r="A5" s="2"/>
      <c r="B5" s="2" t="s">
        <v>21</v>
      </c>
      <c r="C5" s="166">
        <v>0.11</v>
      </c>
      <c r="D5" s="2" t="s">
        <v>16</v>
      </c>
      <c r="E5" s="13"/>
      <c r="F5" s="13"/>
      <c r="G5" s="2"/>
      <c r="H5" s="2"/>
    </row>
    <row r="6" spans="1:12" ht="15" thickBot="1" x14ac:dyDescent="0.35">
      <c r="A6" s="2"/>
      <c r="B6" s="2" t="s">
        <v>2080</v>
      </c>
      <c r="C6" s="13">
        <v>90</v>
      </c>
      <c r="D6" s="2" t="s">
        <v>8</v>
      </c>
      <c r="E6" s="13"/>
      <c r="F6" s="206" t="s">
        <v>2109</v>
      </c>
      <c r="G6" s="2"/>
      <c r="H6" s="2"/>
    </row>
    <row r="7" spans="1:12" ht="15" thickTop="1" x14ac:dyDescent="0.3">
      <c r="A7" s="2"/>
      <c r="B7" s="2" t="s">
        <v>20</v>
      </c>
      <c r="C7" s="13">
        <v>95</v>
      </c>
      <c r="D7" s="2" t="s">
        <v>8</v>
      </c>
      <c r="E7" s="13"/>
      <c r="F7" s="205">
        <f>C4*C6/100*C25</f>
        <v>384750</v>
      </c>
      <c r="G7" s="2" t="s">
        <v>2107</v>
      </c>
      <c r="H7" s="2"/>
    </row>
    <row r="8" spans="1:12" x14ac:dyDescent="0.3">
      <c r="A8" s="2"/>
      <c r="B8" s="13" t="s">
        <v>2081</v>
      </c>
      <c r="C8" s="13">
        <v>98</v>
      </c>
      <c r="D8" s="13" t="s">
        <v>8</v>
      </c>
      <c r="E8" s="13"/>
      <c r="F8" s="169">
        <f>F7*(1-0.98)</f>
        <v>7695.0000000000073</v>
      </c>
      <c r="G8" s="2" t="s">
        <v>2106</v>
      </c>
      <c r="H8" s="2"/>
    </row>
    <row r="9" spans="1:12" x14ac:dyDescent="0.3">
      <c r="A9" s="2"/>
      <c r="B9" s="13" t="s">
        <v>13</v>
      </c>
      <c r="C9" s="13">
        <v>75</v>
      </c>
      <c r="D9" s="2" t="s">
        <v>8</v>
      </c>
      <c r="E9" s="13"/>
      <c r="F9" s="169">
        <f>(F7-F8)*(1-0.95)</f>
        <v>18852.750000000018</v>
      </c>
      <c r="G9" s="2" t="s">
        <v>2108</v>
      </c>
      <c r="H9" s="2"/>
      <c r="I9" s="2"/>
      <c r="J9" s="2"/>
      <c r="K9" s="2"/>
      <c r="L9" s="2"/>
    </row>
    <row r="10" spans="1:12" x14ac:dyDescent="0.3">
      <c r="A10" s="2"/>
      <c r="B10" s="13" t="s">
        <v>2083</v>
      </c>
      <c r="C10" s="13">
        <v>0</v>
      </c>
      <c r="D10" s="2"/>
      <c r="E10" s="13"/>
      <c r="F10" s="13"/>
      <c r="G10" s="2"/>
      <c r="H10" s="2"/>
      <c r="I10" s="2"/>
      <c r="J10" s="2"/>
      <c r="K10" s="2"/>
      <c r="L10" s="2"/>
    </row>
    <row r="11" spans="1:12" ht="15" thickBot="1" x14ac:dyDescent="0.35">
      <c r="A11" s="2"/>
      <c r="B11" s="13" t="s">
        <v>2084</v>
      </c>
      <c r="C11" s="13">
        <v>1</v>
      </c>
      <c r="D11" s="2"/>
      <c r="E11" s="13"/>
      <c r="F11" s="206" t="s">
        <v>2110</v>
      </c>
      <c r="G11" s="2"/>
      <c r="H11" s="2"/>
      <c r="I11" s="2"/>
      <c r="J11" s="2"/>
      <c r="K11" s="2"/>
      <c r="L11" s="2"/>
    </row>
    <row r="12" spans="1:12" ht="15" thickTop="1" x14ac:dyDescent="0.3">
      <c r="A12" s="2"/>
      <c r="B12" s="2" t="s">
        <v>27</v>
      </c>
      <c r="C12" s="13">
        <v>0.5</v>
      </c>
      <c r="D12" s="13" t="s">
        <v>28</v>
      </c>
      <c r="E12" s="13"/>
      <c r="F12" s="169">
        <f>F8*(100-C9)/100</f>
        <v>1923.7500000000018</v>
      </c>
      <c r="G12" s="2" t="s">
        <v>2111</v>
      </c>
      <c r="H12" s="2"/>
      <c r="I12" s="2"/>
      <c r="J12" s="2"/>
      <c r="K12" s="2"/>
      <c r="L12" s="2"/>
    </row>
    <row r="13" spans="1:12" x14ac:dyDescent="0.3">
      <c r="A13" s="2"/>
      <c r="B13" s="2"/>
      <c r="C13" s="2"/>
      <c r="D13" s="2"/>
      <c r="E13" s="13"/>
      <c r="F13" s="13"/>
      <c r="G13" s="2"/>
      <c r="H13" s="2"/>
      <c r="I13" s="2"/>
      <c r="J13" s="2"/>
      <c r="K13" s="2"/>
      <c r="L13" s="2"/>
    </row>
    <row r="14" spans="1:12" x14ac:dyDescent="0.3">
      <c r="A14" s="2"/>
      <c r="B14" s="6" t="s">
        <v>10</v>
      </c>
      <c r="C14" s="6" t="s">
        <v>11</v>
      </c>
      <c r="D14" s="6" t="s">
        <v>6</v>
      </c>
      <c r="E14" s="12"/>
      <c r="F14" s="12"/>
      <c r="G14" s="2"/>
      <c r="H14" s="2"/>
      <c r="I14" s="2"/>
      <c r="J14" s="2"/>
      <c r="K14" s="2"/>
      <c r="L14" s="2"/>
    </row>
    <row r="15" spans="1:12" x14ac:dyDescent="0.3">
      <c r="A15" s="2"/>
      <c r="B15" s="2" t="s">
        <v>22</v>
      </c>
      <c r="C15" s="3">
        <f>$C$4*$C$6/100*(1-$C$9/100)</f>
        <v>1.2825</v>
      </c>
      <c r="D15" s="2" t="s">
        <v>7</v>
      </c>
      <c r="E15" s="13"/>
      <c r="F15" s="13"/>
      <c r="G15" s="2"/>
      <c r="H15" s="2"/>
      <c r="I15" s="2"/>
      <c r="J15" s="2"/>
      <c r="K15" s="2"/>
      <c r="L15" s="2"/>
    </row>
    <row r="16" spans="1:12" x14ac:dyDescent="0.3">
      <c r="A16" s="2"/>
      <c r="B16" s="2" t="s">
        <v>18</v>
      </c>
      <c r="C16" s="3">
        <f>$C$4*($C$6/100)*(1-$C$7/100)</f>
        <v>0.25650000000000023</v>
      </c>
      <c r="D16" s="2" t="s">
        <v>7</v>
      </c>
      <c r="E16" s="13"/>
      <c r="F16" s="13"/>
      <c r="G16" s="2"/>
      <c r="H16" s="2"/>
      <c r="I16" s="2"/>
      <c r="J16" s="2"/>
      <c r="K16" s="2"/>
      <c r="L16" s="2"/>
    </row>
    <row r="17" spans="1:14" x14ac:dyDescent="0.3">
      <c r="A17" s="2"/>
      <c r="B17" s="13" t="s">
        <v>2082</v>
      </c>
      <c r="C17" s="3">
        <f>SUM(C15*(100-C8)/100,C16*C8/100)</f>
        <v>0.27702000000000021</v>
      </c>
      <c r="D17" s="2" t="s">
        <v>7</v>
      </c>
      <c r="E17" s="17"/>
      <c r="F17" s="13"/>
      <c r="G17" s="2"/>
      <c r="H17" s="161"/>
      <c r="I17" s="2"/>
      <c r="J17" s="2"/>
      <c r="K17" s="2"/>
      <c r="L17" s="2"/>
    </row>
    <row r="18" spans="1:14" x14ac:dyDescent="0.3">
      <c r="A18" s="2"/>
      <c r="B18" s="2" t="s">
        <v>29</v>
      </c>
      <c r="C18" s="3">
        <f>C5*C12</f>
        <v>5.5E-2</v>
      </c>
      <c r="D18" s="2" t="s">
        <v>7</v>
      </c>
      <c r="E18" s="13"/>
      <c r="F18" s="13"/>
      <c r="G18" s="2"/>
      <c r="H18" s="161"/>
      <c r="I18" s="2"/>
      <c r="J18" s="2"/>
      <c r="K18" s="2"/>
      <c r="L18" s="2"/>
    </row>
    <row r="19" spans="1:14" x14ac:dyDescent="0.3">
      <c r="A19" s="2"/>
      <c r="B19" s="2" t="s">
        <v>2086</v>
      </c>
      <c r="C19" s="3">
        <f>C4*(1-C6/100)</f>
        <v>0.56999999999999984</v>
      </c>
      <c r="D19" s="2" t="s">
        <v>7</v>
      </c>
      <c r="E19" s="3"/>
      <c r="F19" s="3"/>
      <c r="G19" s="2"/>
      <c r="H19" s="2"/>
      <c r="I19" s="2"/>
      <c r="K19" s="2"/>
      <c r="L19" s="2"/>
    </row>
    <row r="20" spans="1:14" x14ac:dyDescent="0.3">
      <c r="A20" s="2"/>
      <c r="B20" s="2"/>
      <c r="C20" s="122"/>
      <c r="D20" s="2"/>
      <c r="E20" s="2"/>
      <c r="F20" s="2"/>
      <c r="G20" s="2"/>
      <c r="H20" s="2"/>
      <c r="I20" s="2"/>
      <c r="J20" s="2"/>
      <c r="K20" s="2"/>
      <c r="L20" s="2"/>
    </row>
    <row r="21" spans="1:14" x14ac:dyDescent="0.3">
      <c r="A21" s="2"/>
      <c r="B21" s="2" t="s">
        <v>3</v>
      </c>
      <c r="C21" s="2">
        <v>2000</v>
      </c>
      <c r="D21" s="2" t="s">
        <v>4</v>
      </c>
      <c r="E21" s="2"/>
      <c r="F21" s="2"/>
      <c r="G21" s="2"/>
      <c r="H21" s="2"/>
      <c r="I21" s="2"/>
      <c r="J21" s="2"/>
      <c r="K21" s="2"/>
      <c r="L21" s="2"/>
    </row>
    <row r="22" spans="1:14" x14ac:dyDescent="0.3">
      <c r="A22" s="2"/>
      <c r="B22" s="2"/>
      <c r="C22" s="2"/>
      <c r="D22" s="2"/>
      <c r="E22" s="2"/>
      <c r="F22" s="2"/>
      <c r="G22" s="2"/>
      <c r="H22" s="2"/>
      <c r="I22" s="2"/>
      <c r="J22" s="2"/>
      <c r="K22" s="2"/>
      <c r="L22" s="2"/>
    </row>
    <row r="23" spans="1:14" x14ac:dyDescent="0.3">
      <c r="A23" s="2"/>
      <c r="B23" s="2"/>
      <c r="C23" s="2"/>
      <c r="D23" s="6" t="s">
        <v>2088</v>
      </c>
      <c r="E23" s="6" t="s">
        <v>33</v>
      </c>
      <c r="F23" s="6" t="s">
        <v>5</v>
      </c>
      <c r="G23" s="5" t="s">
        <v>19</v>
      </c>
      <c r="H23" s="6" t="s">
        <v>12</v>
      </c>
      <c r="I23" s="2"/>
      <c r="J23" s="2"/>
      <c r="K23" s="2"/>
      <c r="L23" s="2"/>
    </row>
    <row r="24" spans="1:14" x14ac:dyDescent="0.3">
      <c r="C24" s="6" t="s">
        <v>0</v>
      </c>
      <c r="D24" s="6" t="s">
        <v>34</v>
      </c>
      <c r="E24" s="6" t="s">
        <v>34</v>
      </c>
      <c r="F24" s="6" t="s">
        <v>34</v>
      </c>
      <c r="G24" s="6" t="s">
        <v>34</v>
      </c>
      <c r="H24" s="6" t="s">
        <v>34</v>
      </c>
      <c r="I24" s="6" t="s">
        <v>15</v>
      </c>
      <c r="J24" s="6" t="s">
        <v>14</v>
      </c>
      <c r="K24" s="6"/>
      <c r="L24" s="6"/>
      <c r="M24" s="6"/>
      <c r="N24" s="8"/>
    </row>
    <row r="25" spans="1:14" x14ac:dyDescent="0.3">
      <c r="B25" s="15" t="s">
        <v>1</v>
      </c>
      <c r="C25" s="162">
        <v>75000</v>
      </c>
      <c r="D25" s="163">
        <f>$C$15*C25*(100-$C$8)/100</f>
        <v>1923.75</v>
      </c>
      <c r="E25" s="164">
        <f>$C$16*C25*$C$8/100</f>
        <v>18852.750000000018</v>
      </c>
      <c r="F25" s="163">
        <f>$C25*$C$19</f>
        <v>42749.999999999985</v>
      </c>
      <c r="G25" s="163">
        <f>$C25*$C$18</f>
        <v>4125</v>
      </c>
      <c r="H25" s="163">
        <f>SUM(D25:G25)</f>
        <v>67651.5</v>
      </c>
      <c r="I25" s="165">
        <f>H25/$C$21</f>
        <v>33.825749999999999</v>
      </c>
      <c r="J25" s="10">
        <f>I25</f>
        <v>33.825749999999999</v>
      </c>
      <c r="L25" s="2"/>
      <c r="M25" s="7"/>
      <c r="N25" s="7"/>
    </row>
    <row r="26" spans="1:14" x14ac:dyDescent="0.3">
      <c r="B26" s="15" t="s">
        <v>2</v>
      </c>
      <c r="C26" s="162">
        <v>150000</v>
      </c>
      <c r="D26" s="163">
        <f>$C$15*C26*(100-$C$8)/100</f>
        <v>3847.5</v>
      </c>
      <c r="E26" s="164">
        <f>$C$16*C26*$C$8/100</f>
        <v>37705.500000000036</v>
      </c>
      <c r="F26" s="163">
        <f>$C26*$C$19</f>
        <v>85499.999999999971</v>
      </c>
      <c r="G26" s="163">
        <f>$C26*$C$18</f>
        <v>8250</v>
      </c>
      <c r="H26" s="163">
        <f>SUM(D26:G26)</f>
        <v>135303</v>
      </c>
      <c r="I26" s="165">
        <f>H26/$C$21</f>
        <v>67.651499999999999</v>
      </c>
      <c r="J26" s="10">
        <f>I26</f>
        <v>67.651499999999999</v>
      </c>
      <c r="L26" s="2"/>
      <c r="M26" s="7"/>
      <c r="N26" s="7"/>
    </row>
    <row r="27" spans="1:14" x14ac:dyDescent="0.3">
      <c r="C27" s="2"/>
      <c r="D27" s="2"/>
      <c r="E27" s="2"/>
      <c r="F27" s="2"/>
      <c r="G27" s="4"/>
      <c r="H27" s="2"/>
      <c r="I27" s="2"/>
      <c r="J27" s="2"/>
      <c r="K27" s="2"/>
      <c r="L27" s="2"/>
    </row>
    <row r="28" spans="1:14" x14ac:dyDescent="0.3">
      <c r="C28" s="2"/>
      <c r="D28" s="16"/>
      <c r="E28" s="14"/>
      <c r="F28" s="14"/>
      <c r="G28" s="2"/>
      <c r="H28" s="2"/>
      <c r="I28" s="2"/>
      <c r="J28" s="2"/>
      <c r="K28" s="2"/>
      <c r="L28" s="2"/>
    </row>
    <row r="29" spans="1:14" x14ac:dyDescent="0.3">
      <c r="D29" s="16"/>
      <c r="E29" s="14"/>
      <c r="F29" s="14"/>
    </row>
    <row r="30" spans="1:14" x14ac:dyDescent="0.3">
      <c r="D30" s="18"/>
      <c r="E30" s="18"/>
    </row>
    <row r="31" spans="1:14" x14ac:dyDescent="0.3">
      <c r="D31" s="19"/>
      <c r="E31" s="19"/>
    </row>
  </sheetData>
  <conditionalFormatting sqref="N25">
    <cfRule type="cellIs" dxfId="3" priority="2" operator="equal">
      <formula>"Yes"</formula>
    </cfRule>
  </conditionalFormatting>
  <conditionalFormatting sqref="N26">
    <cfRule type="cellIs" dxfId="2" priority="1" operator="equal">
      <formula>"Yes"</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6"/>
  <sheetViews>
    <sheetView workbookViewId="0">
      <selection activeCell="B22" sqref="B22"/>
    </sheetView>
  </sheetViews>
  <sheetFormatPr defaultColWidth="8.77734375" defaultRowHeight="14.4" x14ac:dyDescent="0.3"/>
  <cols>
    <col min="1" max="1" width="8.77734375" style="2"/>
    <col min="2" max="2" width="65" style="2" customWidth="1"/>
    <col min="3" max="3" width="15.5546875" style="2" bestFit="1" customWidth="1"/>
    <col min="4" max="4" width="17.77734375" style="2" bestFit="1" customWidth="1"/>
    <col min="5" max="5" width="13.77734375" style="2" customWidth="1"/>
    <col min="6" max="6" width="15.21875" style="2" customWidth="1"/>
    <col min="7" max="7" width="11.109375" style="2" customWidth="1"/>
    <col min="8" max="8" width="12" style="2" bestFit="1" customWidth="1"/>
    <col min="9" max="10" width="8.77734375" style="2"/>
    <col min="11" max="11" width="17.21875" style="2" bestFit="1" customWidth="1"/>
    <col min="12" max="12" width="8.77734375" style="2"/>
    <col min="13" max="13" width="10.5546875" style="2" bestFit="1" customWidth="1"/>
    <col min="14" max="14" width="15.77734375" style="2" bestFit="1" customWidth="1"/>
    <col min="15" max="16384" width="8.77734375" style="2"/>
  </cols>
  <sheetData>
    <row r="1" spans="2:6" x14ac:dyDescent="0.3">
      <c r="C1" s="13"/>
    </row>
    <row r="2" spans="2:6" x14ac:dyDescent="0.3">
      <c r="B2" s="12" t="s">
        <v>9</v>
      </c>
      <c r="C2" s="6" t="s">
        <v>11</v>
      </c>
      <c r="D2" s="6" t="s">
        <v>6</v>
      </c>
      <c r="E2" s="12"/>
      <c r="F2" s="12"/>
    </row>
    <row r="3" spans="2:6" x14ac:dyDescent="0.3">
      <c r="B3" s="2" t="s">
        <v>23</v>
      </c>
      <c r="C3" s="166">
        <v>1.01</v>
      </c>
      <c r="D3" s="13" t="s">
        <v>24</v>
      </c>
      <c r="E3" s="13"/>
      <c r="F3" s="13"/>
    </row>
    <row r="4" spans="2:6" x14ac:dyDescent="0.3">
      <c r="B4" s="2" t="s">
        <v>21</v>
      </c>
      <c r="C4" s="166">
        <v>0.02</v>
      </c>
      <c r="D4" s="13" t="s">
        <v>24</v>
      </c>
      <c r="E4" s="13"/>
      <c r="F4" s="13"/>
    </row>
    <row r="5" spans="2:6" x14ac:dyDescent="0.3">
      <c r="B5" s="13" t="s">
        <v>2085</v>
      </c>
      <c r="C5" s="13">
        <v>70</v>
      </c>
      <c r="D5" s="13" t="s">
        <v>8</v>
      </c>
      <c r="E5" s="13"/>
      <c r="F5" s="13"/>
    </row>
    <row r="6" spans="2:6" x14ac:dyDescent="0.3">
      <c r="B6" s="13" t="s">
        <v>20</v>
      </c>
      <c r="C6" s="13">
        <v>80</v>
      </c>
      <c r="D6" s="13" t="s">
        <v>8</v>
      </c>
      <c r="E6" s="13"/>
      <c r="F6" s="13"/>
    </row>
    <row r="7" spans="2:6" x14ac:dyDescent="0.3">
      <c r="B7" s="13" t="s">
        <v>2081</v>
      </c>
      <c r="C7" s="13">
        <f>VOC!C8</f>
        <v>98</v>
      </c>
      <c r="D7" s="13" t="s">
        <v>8</v>
      </c>
      <c r="E7" s="13"/>
      <c r="F7" s="13"/>
    </row>
    <row r="8" spans="2:6" x14ac:dyDescent="0.3">
      <c r="B8" s="13" t="s">
        <v>13</v>
      </c>
      <c r="C8" s="13">
        <v>53</v>
      </c>
      <c r="D8" s="13" t="s">
        <v>8</v>
      </c>
      <c r="E8" s="13"/>
      <c r="F8" s="13"/>
    </row>
    <row r="9" spans="2:6" x14ac:dyDescent="0.3">
      <c r="B9" s="13" t="s">
        <v>2083</v>
      </c>
      <c r="C9" s="13">
        <v>0</v>
      </c>
      <c r="D9" s="13"/>
      <c r="E9" s="13"/>
      <c r="F9" s="13"/>
    </row>
    <row r="10" spans="2:6" x14ac:dyDescent="0.3">
      <c r="B10" s="13" t="s">
        <v>2084</v>
      </c>
      <c r="C10" s="13">
        <v>1</v>
      </c>
      <c r="D10" s="13"/>
      <c r="E10" s="13"/>
      <c r="F10" s="13"/>
    </row>
    <row r="11" spans="2:6" x14ac:dyDescent="0.3">
      <c r="B11" s="13" t="s">
        <v>27</v>
      </c>
      <c r="C11" s="13">
        <f>VOC!C12</f>
        <v>0.5</v>
      </c>
      <c r="D11" s="13" t="s">
        <v>28</v>
      </c>
      <c r="E11" s="13"/>
      <c r="F11" s="13"/>
    </row>
    <row r="12" spans="2:6" x14ac:dyDescent="0.3">
      <c r="E12" s="13"/>
      <c r="F12" s="13"/>
    </row>
    <row r="13" spans="2:6" x14ac:dyDescent="0.3">
      <c r="B13" s="6" t="s">
        <v>10</v>
      </c>
      <c r="C13" s="6" t="s">
        <v>11</v>
      </c>
      <c r="D13" s="6" t="s">
        <v>6</v>
      </c>
      <c r="E13" s="12"/>
      <c r="F13" s="12"/>
    </row>
    <row r="14" spans="2:6" x14ac:dyDescent="0.3">
      <c r="B14" s="2" t="s">
        <v>30</v>
      </c>
      <c r="C14" s="3">
        <f>$C$3*$C$5/100*(1-$C$8/100)</f>
        <v>0.33229000000000003</v>
      </c>
      <c r="D14" s="2" t="s">
        <v>7</v>
      </c>
      <c r="E14" s="13"/>
      <c r="F14" s="13"/>
    </row>
    <row r="15" spans="2:6" x14ac:dyDescent="0.3">
      <c r="B15" s="2" t="s">
        <v>25</v>
      </c>
      <c r="C15" s="3">
        <f>$C$3*($C$5/100)*(1-$C$6/100)</f>
        <v>0.14139999999999997</v>
      </c>
      <c r="D15" s="2" t="s">
        <v>7</v>
      </c>
      <c r="E15" s="13"/>
      <c r="F15" s="13"/>
    </row>
    <row r="16" spans="2:6" x14ac:dyDescent="0.3">
      <c r="B16" s="13" t="s">
        <v>2089</v>
      </c>
      <c r="C16" s="3">
        <f>SUM(C14*(100-C7)/100,C15*C7/100)</f>
        <v>0.14521779999999998</v>
      </c>
      <c r="D16" s="2" t="s">
        <v>7</v>
      </c>
      <c r="E16" s="17"/>
      <c r="F16" s="13"/>
    </row>
    <row r="17" spans="2:14" x14ac:dyDescent="0.3">
      <c r="B17" s="2" t="s">
        <v>31</v>
      </c>
      <c r="C17" s="3">
        <f>C4*C11</f>
        <v>0.01</v>
      </c>
      <c r="D17" s="2" t="s">
        <v>7</v>
      </c>
      <c r="E17" s="13"/>
      <c r="F17" s="13"/>
    </row>
    <row r="18" spans="2:14" x14ac:dyDescent="0.3">
      <c r="B18" s="2" t="s">
        <v>2087</v>
      </c>
      <c r="C18" s="3">
        <f>C3*(1-C5/100)</f>
        <v>0.30300000000000005</v>
      </c>
      <c r="D18" s="2" t="s">
        <v>7</v>
      </c>
      <c r="E18" s="3"/>
      <c r="F18" s="13"/>
    </row>
    <row r="19" spans="2:14" x14ac:dyDescent="0.3">
      <c r="C19" s="122"/>
    </row>
    <row r="20" spans="2:14" x14ac:dyDescent="0.3">
      <c r="B20" s="2" t="s">
        <v>3</v>
      </c>
      <c r="C20" s="2">
        <v>2000</v>
      </c>
      <c r="D20" s="2" t="s">
        <v>4</v>
      </c>
    </row>
    <row r="22" spans="2:14" x14ac:dyDescent="0.3">
      <c r="D22" s="6" t="s">
        <v>2088</v>
      </c>
      <c r="E22" s="6" t="s">
        <v>33</v>
      </c>
      <c r="F22" s="6" t="s">
        <v>5</v>
      </c>
      <c r="G22" s="6" t="s">
        <v>19</v>
      </c>
      <c r="H22" s="6" t="s">
        <v>12</v>
      </c>
    </row>
    <row r="23" spans="2:14" x14ac:dyDescent="0.3">
      <c r="B23" s="13"/>
      <c r="C23" s="12" t="s">
        <v>0</v>
      </c>
      <c r="D23" s="12" t="s">
        <v>32</v>
      </c>
      <c r="E23" s="12" t="s">
        <v>32</v>
      </c>
      <c r="F23" s="12" t="s">
        <v>32</v>
      </c>
      <c r="G23" s="12" t="s">
        <v>32</v>
      </c>
      <c r="H23" s="12" t="s">
        <v>32</v>
      </c>
      <c r="I23" s="12" t="s">
        <v>26</v>
      </c>
      <c r="J23" s="12" t="s">
        <v>14</v>
      </c>
      <c r="K23" s="12"/>
      <c r="L23" s="6"/>
      <c r="M23" s="6"/>
      <c r="N23" s="8"/>
    </row>
    <row r="24" spans="2:14" x14ac:dyDescent="0.3">
      <c r="B24" s="13" t="s">
        <v>1</v>
      </c>
      <c r="C24" s="162">
        <v>75000</v>
      </c>
      <c r="D24" s="162">
        <f>$C$14*C24*(100-$C$7)/100</f>
        <v>498.43500000000006</v>
      </c>
      <c r="E24" s="169">
        <f>$C$15*C24*$C$7/100</f>
        <v>10392.899999999998</v>
      </c>
      <c r="F24" s="162">
        <f>$C24*$C$18</f>
        <v>22725.000000000004</v>
      </c>
      <c r="G24" s="162">
        <f>$C24*$C$17</f>
        <v>750</v>
      </c>
      <c r="H24" s="162">
        <f>SUM(D24:G24)</f>
        <v>34366.334999999999</v>
      </c>
      <c r="I24" s="165">
        <f>H24/$C$20</f>
        <v>17.1831675</v>
      </c>
      <c r="J24" s="165">
        <f>I24</f>
        <v>17.1831675</v>
      </c>
      <c r="K24" s="13"/>
      <c r="M24" s="7"/>
      <c r="N24" s="7"/>
    </row>
    <row r="25" spans="2:14" x14ac:dyDescent="0.3">
      <c r="B25" s="13" t="s">
        <v>2</v>
      </c>
      <c r="C25" s="162">
        <v>150000</v>
      </c>
      <c r="D25" s="162">
        <f>$C$14*C25*(100-$C$7)/100</f>
        <v>996.87000000000012</v>
      </c>
      <c r="E25" s="169">
        <f>$C$15*C25*$C$7/100</f>
        <v>20785.799999999996</v>
      </c>
      <c r="F25" s="162">
        <f>$C25*$C$18</f>
        <v>45450.000000000007</v>
      </c>
      <c r="G25" s="162">
        <f>$C25*$C$17</f>
        <v>1500</v>
      </c>
      <c r="H25" s="162">
        <f>SUM(D25:G25)</f>
        <v>68732.67</v>
      </c>
      <c r="I25" s="165">
        <f>H25/$C$20</f>
        <v>34.366334999999999</v>
      </c>
      <c r="J25" s="165">
        <f>I25</f>
        <v>34.366334999999999</v>
      </c>
      <c r="K25" s="13"/>
      <c r="M25" s="7"/>
      <c r="N25" s="7"/>
    </row>
    <row r="26" spans="2:14" x14ac:dyDescent="0.3">
      <c r="B26" s="13"/>
      <c r="C26" s="13"/>
      <c r="D26" s="13"/>
      <c r="E26" s="13"/>
      <c r="F26" s="13"/>
      <c r="G26" s="13"/>
      <c r="H26" s="165"/>
      <c r="I26" s="13"/>
      <c r="J26" s="13"/>
      <c r="K26" s="13"/>
    </row>
    <row r="27" spans="2:14" x14ac:dyDescent="0.3">
      <c r="B27" s="13"/>
      <c r="C27" s="12"/>
      <c r="D27" s="170"/>
      <c r="E27" s="170"/>
      <c r="F27" s="170"/>
      <c r="G27" s="170"/>
      <c r="H27" s="13"/>
      <c r="I27" s="13"/>
      <c r="J27" s="13"/>
      <c r="K27" s="165"/>
    </row>
    <row r="28" spans="2:14" x14ac:dyDescent="0.3">
      <c r="B28" s="13"/>
      <c r="C28" s="13"/>
      <c r="D28" s="13"/>
      <c r="E28" s="13"/>
      <c r="F28" s="13"/>
      <c r="G28" s="13"/>
      <c r="H28" s="13"/>
      <c r="I28" s="13"/>
      <c r="J28" s="13"/>
      <c r="K28" s="13"/>
    </row>
    <row r="29" spans="2:14" x14ac:dyDescent="0.3">
      <c r="B29" s="13"/>
      <c r="C29" s="13"/>
      <c r="D29" s="166"/>
      <c r="E29" s="166"/>
      <c r="F29" s="166"/>
      <c r="G29" s="166"/>
      <c r="H29" s="13"/>
      <c r="I29" s="13"/>
      <c r="J29" s="13"/>
      <c r="K29" s="13"/>
    </row>
    <row r="30" spans="2:14" x14ac:dyDescent="0.3">
      <c r="B30" s="13"/>
      <c r="C30" s="13"/>
      <c r="D30" s="171"/>
      <c r="E30" s="171"/>
      <c r="F30" s="171"/>
      <c r="G30" s="171"/>
      <c r="H30" s="13"/>
      <c r="I30" s="13"/>
      <c r="J30" s="13"/>
      <c r="K30" s="13"/>
    </row>
    <row r="31" spans="2:14" x14ac:dyDescent="0.3">
      <c r="B31" s="13"/>
      <c r="C31" s="13"/>
      <c r="D31" s="171"/>
      <c r="E31" s="13"/>
      <c r="F31" s="171"/>
      <c r="G31" s="171"/>
      <c r="H31" s="13"/>
      <c r="I31" s="13"/>
      <c r="J31" s="13"/>
      <c r="K31" s="13"/>
    </row>
    <row r="32" spans="2:14" x14ac:dyDescent="0.3">
      <c r="C32" s="13"/>
      <c r="D32" s="13"/>
      <c r="F32" s="167"/>
    </row>
    <row r="33" spans="3:6" x14ac:dyDescent="0.3">
      <c r="C33" s="13"/>
      <c r="D33" s="172"/>
    </row>
    <row r="34" spans="3:6" x14ac:dyDescent="0.3">
      <c r="C34" s="13"/>
      <c r="D34" s="172"/>
    </row>
    <row r="35" spans="3:6" x14ac:dyDescent="0.3">
      <c r="C35" s="13"/>
      <c r="D35" s="172"/>
      <c r="F35" s="168"/>
    </row>
    <row r="36" spans="3:6" x14ac:dyDescent="0.3">
      <c r="C36" s="13"/>
      <c r="D36" s="172"/>
      <c r="E36" s="168"/>
    </row>
  </sheetData>
  <conditionalFormatting sqref="N24">
    <cfRule type="cellIs" dxfId="1" priority="2" operator="equal">
      <formula>"Yes"</formula>
    </cfRule>
  </conditionalFormatting>
  <conditionalFormatting sqref="N25">
    <cfRule type="cellIs" dxfId="0" priority="1" operator="equal">
      <formula>"Yes"</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54"/>
  <sheetViews>
    <sheetView topLeftCell="B25" workbookViewId="0">
      <selection activeCell="H46" sqref="H46"/>
    </sheetView>
  </sheetViews>
  <sheetFormatPr defaultRowHeight="14.4" x14ac:dyDescent="0.3"/>
  <cols>
    <col min="2" max="2" width="30" customWidth="1"/>
    <col min="3" max="3" width="16.5546875" customWidth="1"/>
    <col min="4" max="4" width="10.6640625" customWidth="1"/>
    <col min="5" max="5" width="10.21875" customWidth="1"/>
    <col min="6" max="6" width="10.5546875" customWidth="1"/>
    <col min="7" max="7" width="12.77734375" customWidth="1"/>
    <col min="8" max="8" width="9.33203125" customWidth="1"/>
    <col min="9" max="11" width="8.77734375" customWidth="1"/>
    <col min="13" max="13" width="8.77734375" style="15"/>
    <col min="14" max="14" width="14.77734375" customWidth="1"/>
    <col min="15" max="15" width="11.88671875" customWidth="1"/>
    <col min="16" max="16" width="16.77734375" customWidth="1"/>
    <col min="17" max="17" width="11.33203125" customWidth="1"/>
  </cols>
  <sheetData>
    <row r="1" spans="2:19" s="15" customFormat="1" x14ac:dyDescent="0.3"/>
    <row r="2" spans="2:19" s="15" customFormat="1" ht="30.6" x14ac:dyDescent="0.3">
      <c r="B2" s="86" t="s">
        <v>1987</v>
      </c>
      <c r="C2" s="146" t="s">
        <v>2052</v>
      </c>
    </row>
    <row r="3" spans="2:19" s="15" customFormat="1" x14ac:dyDescent="0.3">
      <c r="B3" s="84" t="s">
        <v>33</v>
      </c>
      <c r="C3" s="90">
        <f>5488*0.09290304</f>
        <v>509.85188352000006</v>
      </c>
      <c r="H3" s="155"/>
    </row>
    <row r="4" spans="2:19" s="15" customFormat="1" x14ac:dyDescent="0.3">
      <c r="B4" s="84" t="s">
        <v>2006</v>
      </c>
      <c r="C4" s="90">
        <f>22000*0.09290304</f>
        <v>2043.86688</v>
      </c>
      <c r="H4" s="155"/>
    </row>
    <row r="5" spans="2:19" s="15" customFormat="1" x14ac:dyDescent="0.3">
      <c r="B5" s="84" t="s">
        <v>62</v>
      </c>
      <c r="C5" s="88">
        <f>'EcologyLenzTests - MAXIMUM'!J35</f>
        <v>16443.838080000001</v>
      </c>
      <c r="H5" s="155"/>
      <c r="I5" s="155"/>
    </row>
    <row r="6" spans="2:19" x14ac:dyDescent="0.3">
      <c r="B6" s="85" t="s">
        <v>52</v>
      </c>
      <c r="C6" s="89">
        <f>'EcologyLenzTests - MAXIMUM'!R35</f>
        <v>3251.6064000000001</v>
      </c>
    </row>
    <row r="7" spans="2:19" ht="16.2" x14ac:dyDescent="0.3">
      <c r="B7" s="79"/>
      <c r="C7" s="79"/>
      <c r="D7" s="198" t="s">
        <v>2091</v>
      </c>
      <c r="E7" s="199"/>
      <c r="F7" s="199"/>
      <c r="G7" s="200"/>
      <c r="H7" s="198" t="s">
        <v>2007</v>
      </c>
      <c r="I7" s="199"/>
      <c r="J7" s="199"/>
      <c r="K7" s="200"/>
      <c r="L7" s="79"/>
      <c r="M7" s="141"/>
      <c r="N7" s="107" t="s">
        <v>2010</v>
      </c>
      <c r="O7" s="75" t="s">
        <v>2012</v>
      </c>
      <c r="P7" s="110" t="s">
        <v>2014</v>
      </c>
      <c r="Q7" s="115"/>
    </row>
    <row r="8" spans="2:19" ht="16.2" x14ac:dyDescent="0.3">
      <c r="B8" s="80" t="s">
        <v>1980</v>
      </c>
      <c r="C8" s="80" t="s">
        <v>1981</v>
      </c>
      <c r="D8" s="76" t="s">
        <v>33</v>
      </c>
      <c r="E8" s="77" t="s">
        <v>2008</v>
      </c>
      <c r="F8" s="77" t="s">
        <v>62</v>
      </c>
      <c r="G8" s="78" t="s">
        <v>52</v>
      </c>
      <c r="H8" s="76" t="s">
        <v>33</v>
      </c>
      <c r="I8" s="114" t="s">
        <v>2006</v>
      </c>
      <c r="J8" s="77" t="s">
        <v>62</v>
      </c>
      <c r="K8" s="78" t="s">
        <v>52</v>
      </c>
      <c r="L8" s="111" t="s">
        <v>58</v>
      </c>
      <c r="M8" s="112" t="s">
        <v>59</v>
      </c>
      <c r="N8" s="112" t="s">
        <v>2011</v>
      </c>
      <c r="O8" s="113" t="s">
        <v>2013</v>
      </c>
      <c r="P8" s="114" t="s">
        <v>2011</v>
      </c>
      <c r="Q8" s="111" t="s">
        <v>2018</v>
      </c>
    </row>
    <row r="9" spans="2:19" x14ac:dyDescent="0.3">
      <c r="B9" s="81" t="str">
        <f>'Flux Density'!B6</f>
        <v>Propene</v>
      </c>
      <c r="C9" s="39" t="str">
        <f>'Flux Density'!C6</f>
        <v>115-07-1</v>
      </c>
      <c r="D9" s="31">
        <f>MAX('Flux Density'!D6:F6)</f>
        <v>115.3846153846154</v>
      </c>
      <c r="E9" s="92" t="s">
        <v>2009</v>
      </c>
      <c r="F9" s="31">
        <f>MAX('Flux Density'!J6:N6)</f>
        <v>493.09664694280076</v>
      </c>
      <c r="G9" s="32">
        <f>'Flux Density'!I6</f>
        <v>1.3133208255159476</v>
      </c>
      <c r="H9" s="173">
        <f>D9/1000000/453.592*INDEX($C$3:$C$6,MATCH(H$8,$B$3:$B$6,0),1)*60*8760/2000</f>
        <v>3.4084106164466346E-2</v>
      </c>
      <c r="I9" s="174">
        <f>H9*VOC!$D$25/VOC!$E$25</f>
        <v>3.4779700167822773E-3</v>
      </c>
      <c r="J9" s="31">
        <f t="shared" ref="J9:K9" si="0">F9/1000000/453.592*INDEX($C$3:$C$6,MATCH(J$8,$B$3:$B$6,0),1)*60*8760/2000</f>
        <v>4.6978074860383359</v>
      </c>
      <c r="K9" s="175">
        <f t="shared" si="0"/>
        <v>2.4741656623451175E-3</v>
      </c>
      <c r="L9" s="39" t="str">
        <f>IFERROR(IF(MATCH(C9,TAPList!B:B,0)&gt;1,"Yes","No"),"No")</f>
        <v>Yes</v>
      </c>
      <c r="M9" s="81" t="s">
        <v>176</v>
      </c>
      <c r="N9" s="81">
        <f>IF($L9="No","-",INDEX(TAPList!$E:$E,MATCH('TAP Analysis'!$C9,TAPList!$B:$B,0),1))</f>
        <v>220</v>
      </c>
      <c r="O9" s="108" t="str">
        <f>IF($L9="No","-",INDEX(TAPList!$C:$C,MATCH('TAP Analysis'!$C9,TAPList!$B:$B,0),1))</f>
        <v>24-hr</v>
      </c>
      <c r="P9" s="73">
        <f>IF(L9="No","-",IF(O9="year",SUM(H9:K9)*2000,IF(O9="24-hr",SUM(H9:K9)*2000/365,IF(O9=1-hr,SUM(H9:K9)*2000/8760, "ERROR"))))</f>
        <v>25.960787550037967</v>
      </c>
      <c r="Q9" s="116">
        <f>IF(L9="No","-",P9/N9)</f>
        <v>0.11800357977289985</v>
      </c>
      <c r="R9" s="94"/>
    </row>
    <row r="10" spans="2:19" x14ac:dyDescent="0.3">
      <c r="B10" s="81" t="str">
        <f>'Flux Density'!B7</f>
        <v>Dichlorodifluoromethane</v>
      </c>
      <c r="C10" s="39" t="str">
        <f>'Flux Density'!C7</f>
        <v>75-71-8</v>
      </c>
      <c r="D10" s="31">
        <f>MAX('Flux Density'!D7:F7)</f>
        <v>0</v>
      </c>
      <c r="E10" s="92" t="s">
        <v>2009</v>
      </c>
      <c r="F10" s="31">
        <f>MAX('Flux Density'!J7:N7)</f>
        <v>0.23076923076923075</v>
      </c>
      <c r="G10" s="32">
        <f>'Flux Density'!I7</f>
        <v>0.1031894934333959</v>
      </c>
      <c r="H10" s="173">
        <f>D10/1000000/453.592*INDEX($C$3:$C$6,MATCH(H$8,$B$3:$B$6,0),1)*60*8760/2000</f>
        <v>0</v>
      </c>
      <c r="I10" s="174">
        <f>H10*VOC!$D$25/VOC!$E$25</f>
        <v>0</v>
      </c>
      <c r="J10" s="31">
        <f t="shared" ref="J10" si="1">F10/1000000/453.592*INDEX($C$3:$C$6,MATCH(J$8,$B$3:$B$6,0),1)*60*8760/2000</f>
        <v>2.1985739034659406E-3</v>
      </c>
      <c r="K10" s="175">
        <f t="shared" ref="K10" si="2">G10/1000000/453.592*INDEX($C$3:$C$6,MATCH(K$8,$B$3:$B$6,0),1)*60*8760/2000</f>
        <v>1.9439873061283071E-4</v>
      </c>
      <c r="L10" s="39" t="str">
        <f>IFERROR(IF(MATCH(C10,TAPList!B:B,0)&gt;1,"Yes","No"),"No")</f>
        <v>No</v>
      </c>
      <c r="M10" s="81" t="s">
        <v>176</v>
      </c>
      <c r="N10" s="81" t="str">
        <f>IF($L10="No","-",INDEX(TAPList!$E:$E,MATCH('TAP Analysis'!$C10,TAPList!$B:$B,0),1))</f>
        <v>-</v>
      </c>
      <c r="O10" s="108" t="str">
        <f>IF($L10="No","-",INDEX(TAPList!$C:$C,MATCH('TAP Analysis'!$C10,TAPList!$B:$B,0),1))</f>
        <v>-</v>
      </c>
      <c r="P10" s="73" t="str">
        <f>IF(L10="No","-",IF(O10="year",SUM(H10:K10)*2000,IF(O10="24-hr",SUM(H10:K10)*2000/365,IF(O10=1-hr,SUM(H10:K10)*2000/8760, "ERROR"))))</f>
        <v>-</v>
      </c>
      <c r="Q10" s="116" t="str">
        <f t="shared" ref="Q10:Q11" si="3">IF(L10="No","-",P10/N10)</f>
        <v>-</v>
      </c>
      <c r="S10" s="15"/>
    </row>
    <row r="11" spans="2:19" x14ac:dyDescent="0.3">
      <c r="B11" s="81" t="str">
        <f>'Flux Density'!B8</f>
        <v>Chloromethane</v>
      </c>
      <c r="C11" s="39" t="str">
        <f>'Flux Density'!C8</f>
        <v>74-87-3</v>
      </c>
      <c r="D11" s="31">
        <f>MAX('Flux Density'!D8:F8)</f>
        <v>0</v>
      </c>
      <c r="E11" s="92" t="s">
        <v>2009</v>
      </c>
      <c r="F11" s="31">
        <f>MAX('Flux Density'!J8:N8)</f>
        <v>8.5798816568047336</v>
      </c>
      <c r="G11" s="32">
        <f>'Flux Density'!I8</f>
        <v>0</v>
      </c>
      <c r="H11" s="173">
        <f t="shared" ref="H11:H45" si="4">D11/1000000/453.592*INDEX($C$3:$C$6,MATCH(H$8,$B$3:$B$6,0),1)*60*8760/2000</f>
        <v>0</v>
      </c>
      <c r="I11" s="174">
        <f>H11*VOC!$D$25/VOC!$E$25</f>
        <v>0</v>
      </c>
      <c r="J11" s="31">
        <f t="shared" ref="J11:J45" si="5">F11/1000000/453.592*INDEX($C$3:$C$6,MATCH(J$8,$B$3:$B$6,0),1)*60*8760/2000</f>
        <v>8.1741850257067039E-2</v>
      </c>
      <c r="K11" s="175">
        <f t="shared" ref="K11:K45" si="6">G11/1000000/453.592*INDEX($C$3:$C$6,MATCH(K$8,$B$3:$B$6,0),1)*60*8760/2000</f>
        <v>0</v>
      </c>
      <c r="L11" s="39" t="str">
        <f>IFERROR(IF(MATCH(C11,TAPList!B:B,0)&gt;1,"Yes","No"),"No")</f>
        <v>Yes</v>
      </c>
      <c r="M11" s="81" t="s">
        <v>175</v>
      </c>
      <c r="N11" s="81">
        <f>IF($L11="No","-",INDEX(TAPList!$E:$E,MATCH('TAP Analysis'!$C11,TAPList!$B:$B,0),1))</f>
        <v>6.7</v>
      </c>
      <c r="O11" s="108" t="str">
        <f>IF($L11="No","-",INDEX(TAPList!$C:$C,MATCH('TAP Analysis'!$C11,TAPList!$B:$B,0),1))</f>
        <v>24-hr</v>
      </c>
      <c r="P11" s="73">
        <f>IF(L11="No","-",IF(O11="year",SUM(H11:K11)*2000,IF(O11="24-hr",SUM(H11:K11)*2000/365,IF(O11=1-hr,SUM(H11:K11)*2000/8760, "ERROR"))))</f>
        <v>0.44790054935379203</v>
      </c>
      <c r="Q11" s="116">
        <f t="shared" si="3"/>
        <v>6.6850828261760004E-2</v>
      </c>
      <c r="S11" s="15"/>
    </row>
    <row r="12" spans="2:19" x14ac:dyDescent="0.3">
      <c r="B12" s="81" t="str">
        <f>'Flux Density'!B9</f>
        <v>1,3-Butadiene</v>
      </c>
      <c r="C12" s="39" t="str">
        <f>'Flux Density'!C9</f>
        <v>106-99-0</v>
      </c>
      <c r="D12" s="31">
        <f>MAX('Flux Density'!D9:F9)</f>
        <v>0</v>
      </c>
      <c r="E12" s="92" t="s">
        <v>2009</v>
      </c>
      <c r="F12" s="31">
        <f>MAX('Flux Density'!J9:N9)</f>
        <v>0.58461538461538454</v>
      </c>
      <c r="G12" s="32">
        <f>'Flux Density'!I9</f>
        <v>0</v>
      </c>
      <c r="H12" s="173">
        <f t="shared" si="4"/>
        <v>0</v>
      </c>
      <c r="I12" s="174">
        <f>H12*VOC!$D$25/VOC!$E$25</f>
        <v>0</v>
      </c>
      <c r="J12" s="31">
        <f t="shared" si="5"/>
        <v>5.5697205554470506E-3</v>
      </c>
      <c r="K12" s="175">
        <f t="shared" si="6"/>
        <v>0</v>
      </c>
      <c r="L12" s="39" t="str">
        <f>IFERROR(IF(MATCH(C12,TAPList!B:B,0)&gt;1,"Yes","No"),"No")</f>
        <v>Yes</v>
      </c>
      <c r="M12" s="81" t="s">
        <v>175</v>
      </c>
      <c r="N12" s="81">
        <f>IF($L12="No","-",INDEX(TAPList!$E:$E,MATCH('TAP Analysis'!$C12,TAPList!$B:$B,0),1))</f>
        <v>5.4</v>
      </c>
      <c r="O12" s="108" t="str">
        <f>IF($L12="No","-",INDEX(TAPList!$C:$C,MATCH('TAP Analysis'!$C12,TAPList!$B:$B,0),1))</f>
        <v>year</v>
      </c>
      <c r="P12" s="73">
        <f>IF(L12="No","-",IF(O12="year",SUM(H12:K12)*2000,IF(O12="24-hr",SUM(H12:K12)*2000/365,IF(O12=1-hr,SUM(H12:K12)*2000/8760, "ERROR"))))</f>
        <v>11.139441110894101</v>
      </c>
      <c r="Q12" s="116">
        <f>IF(L12="No","-",P12/N12)</f>
        <v>2.0628594649803889</v>
      </c>
      <c r="S12" s="15"/>
    </row>
    <row r="13" spans="2:19" x14ac:dyDescent="0.3">
      <c r="B13" s="81" t="str">
        <f>'Flux Density'!B10</f>
        <v>Ethanol</v>
      </c>
      <c r="C13" s="39" t="str">
        <f>'Flux Density'!C10</f>
        <v>64-17-5</v>
      </c>
      <c r="D13" s="31">
        <f>MAX('Flux Density'!D10:F10)</f>
        <v>0</v>
      </c>
      <c r="E13" s="92" t="s">
        <v>2009</v>
      </c>
      <c r="F13" s="31">
        <f>MAX('Flux Density'!J10:N10)</f>
        <v>237.31587561374795</v>
      </c>
      <c r="G13" s="32">
        <f>'Flux Density'!I10</f>
        <v>0</v>
      </c>
      <c r="H13" s="173">
        <f t="shared" si="4"/>
        <v>0</v>
      </c>
      <c r="I13" s="174">
        <f>H13*VOC!$D$25/VOC!$E$25</f>
        <v>0</v>
      </c>
      <c r="J13" s="31">
        <f t="shared" si="5"/>
        <v>2.2609447943444079</v>
      </c>
      <c r="K13" s="175">
        <f t="shared" si="6"/>
        <v>0</v>
      </c>
      <c r="L13" s="39" t="str">
        <f>IFERROR(IF(MATCH(C13,TAPList!B:B,0)&gt;1,"Yes","No"),"No")</f>
        <v>No</v>
      </c>
      <c r="M13" s="81" t="s">
        <v>176</v>
      </c>
      <c r="N13" s="81" t="str">
        <f>IF($L13="No","-",INDEX(TAPList!$E:$E,MATCH('TAP Analysis'!$C13,TAPList!$B:$B,0),1))</f>
        <v>-</v>
      </c>
      <c r="O13" s="108" t="str">
        <f>IF($L13="No","-",INDEX(TAPList!$C:$C,MATCH('TAP Analysis'!$C13,TAPList!$B:$B,0),1))</f>
        <v>-</v>
      </c>
      <c r="P13" s="73" t="str">
        <f>IF(L13="No","-",IF(O13="year",SUM(H13:K13)*2000,IF(O13="24-hr",SUM(H13:K13)*2000/365,IF(O13=1-hr,SUM(H13:K13)*2000/8760, "ERROR"))))</f>
        <v>-</v>
      </c>
      <c r="Q13" s="116" t="str">
        <f t="shared" ref="Q13:Q17" si="7">IF(L13="No","-",P13/N13)</f>
        <v>-</v>
      </c>
      <c r="S13" s="15"/>
    </row>
    <row r="14" spans="2:19" x14ac:dyDescent="0.3">
      <c r="B14" s="81" t="str">
        <f>'Flux Density'!B11</f>
        <v>Acetonitrile</v>
      </c>
      <c r="C14" s="39" t="str">
        <f>'Flux Density'!C11</f>
        <v>75-05-8</v>
      </c>
      <c r="D14" s="31">
        <f>MAX('Flux Density'!D11:F11)</f>
        <v>10.558069381598795</v>
      </c>
      <c r="E14" s="92" t="s">
        <v>2009</v>
      </c>
      <c r="F14" s="31">
        <f>MAX('Flux Density'!J11:N11)</f>
        <v>11.133603238866398</v>
      </c>
      <c r="G14" s="32">
        <f>'Flux Density'!I11</f>
        <v>0.62851782363977493</v>
      </c>
      <c r="H14" s="173">
        <f t="shared" si="4"/>
        <v>3.1188071000165288E-3</v>
      </c>
      <c r="I14" s="174">
        <f>H14*VOC!$D$25/VOC!$E$25</f>
        <v>3.1824562245066592E-4</v>
      </c>
      <c r="J14" s="31">
        <f t="shared" si="5"/>
        <v>0.106071547974234</v>
      </c>
      <c r="K14" s="175">
        <f t="shared" si="6"/>
        <v>1.1840649955508777E-3</v>
      </c>
      <c r="L14" s="39" t="str">
        <f>IFERROR(IF(MATCH(C14,TAPList!B:B,0)&gt;1,"Yes","No"),"No")</f>
        <v>Yes</v>
      </c>
      <c r="M14" s="81" t="s">
        <v>175</v>
      </c>
      <c r="N14" s="81">
        <f>IF($L14="No","-",INDEX(TAPList!$E:$E,MATCH('TAP Analysis'!$C14,TAPList!$B:$B,0),1))</f>
        <v>4.4000000000000004</v>
      </c>
      <c r="O14" s="108" t="str">
        <f>IF($L14="No","-",INDEX(TAPList!$C:$C,MATCH('TAP Analysis'!$C14,TAPList!$B:$B,0),1))</f>
        <v>24-hr</v>
      </c>
      <c r="P14" s="73">
        <f>IF(L14="No","-",IF(O14="year",SUM(H14:K14)*2000,IF(O14="24-hr",SUM(H14:K14)*2000/365,IF(O14=1-hr,SUM(H14:K14)*2000/8760, "ERROR"))))</f>
        <v>0.60653515447809359</v>
      </c>
      <c r="Q14" s="116">
        <f t="shared" si="7"/>
        <v>0.13784889874502126</v>
      </c>
      <c r="S14" s="15"/>
    </row>
    <row r="15" spans="2:19" x14ac:dyDescent="0.3">
      <c r="B15" s="81" t="str">
        <f>'Flux Density'!B12</f>
        <v>Acetone</v>
      </c>
      <c r="C15" s="39" t="str">
        <f>'Flux Density'!C12</f>
        <v>67-64-1</v>
      </c>
      <c r="D15" s="31">
        <f>MAX('Flux Density'!D12:F12)</f>
        <v>0</v>
      </c>
      <c r="E15" s="92" t="s">
        <v>2009</v>
      </c>
      <c r="F15" s="31">
        <f>MAX('Flux Density'!J12:N12)</f>
        <v>450.08183306055645</v>
      </c>
      <c r="G15" s="32">
        <f>'Flux Density'!I12</f>
        <v>1.5009380863039401</v>
      </c>
      <c r="H15" s="173">
        <f t="shared" si="4"/>
        <v>0</v>
      </c>
      <c r="I15" s="174">
        <f>H15*VOC!$D$25/VOC!$E$25</f>
        <v>0</v>
      </c>
      <c r="J15" s="31">
        <f t="shared" si="5"/>
        <v>4.2879987478945649</v>
      </c>
      <c r="K15" s="175">
        <f t="shared" si="6"/>
        <v>2.8276178998229919E-3</v>
      </c>
      <c r="L15" s="39" t="str">
        <f>IFERROR(IF(MATCH(C15,TAPList!B:B,0)&gt;1,"Yes","No"),"No")</f>
        <v>No</v>
      </c>
      <c r="M15" s="81" t="s">
        <v>176</v>
      </c>
      <c r="N15" s="81" t="str">
        <f>IF($L15="No","-",INDEX(TAPList!$E:$E,MATCH('TAP Analysis'!$C15,TAPList!$B:$B,0),1))</f>
        <v>-</v>
      </c>
      <c r="O15" s="108" t="str">
        <f>IF($L15="No","-",INDEX(TAPList!$C:$C,MATCH('TAP Analysis'!$C15,TAPList!$B:$B,0),1))</f>
        <v>-</v>
      </c>
      <c r="P15" s="73" t="str">
        <f>IF(L15="No","-",IF(O15="year",SUM(H15:K15)*2000,IF(O15="24-hr",SUM(H15:K15)*2000/365,IF(O15=1-hr,SUM(H15:K15)*2000/8760, "ERROR"))))</f>
        <v>-</v>
      </c>
      <c r="Q15" s="116" t="str">
        <f t="shared" si="7"/>
        <v>-</v>
      </c>
      <c r="S15" s="15"/>
    </row>
    <row r="16" spans="2:19" x14ac:dyDescent="0.3">
      <c r="B16" s="81" t="str">
        <f>'Flux Density'!B13</f>
        <v>Trichlorofluoromethane</v>
      </c>
      <c r="C16" s="39" t="str">
        <f>'Flux Density'!C13</f>
        <v>75-69-4</v>
      </c>
      <c r="D16" s="31">
        <f>MAX('Flux Density'!D13:F13)</f>
        <v>0</v>
      </c>
      <c r="E16" s="92" t="s">
        <v>2009</v>
      </c>
      <c r="F16" s="31">
        <f>MAX('Flux Density'!J13:N13)</f>
        <v>0.12000000000000001</v>
      </c>
      <c r="G16" s="32">
        <f>'Flux Density'!I13</f>
        <v>0.18761726078799251</v>
      </c>
      <c r="H16" s="173">
        <f t="shared" si="4"/>
        <v>0</v>
      </c>
      <c r="I16" s="174">
        <f>H16*VOC!$D$25/VOC!$E$25</f>
        <v>0</v>
      </c>
      <c r="J16" s="31">
        <f t="shared" si="5"/>
        <v>1.1432584298022895E-3</v>
      </c>
      <c r="K16" s="175">
        <f t="shared" si="6"/>
        <v>3.5345223747787398E-4</v>
      </c>
      <c r="L16" s="39" t="str">
        <f>IFERROR(IF(MATCH(C16,TAPList!B:B,0)&gt;1,"Yes","No"),"No")</f>
        <v>No</v>
      </c>
      <c r="M16" s="81" t="s">
        <v>176</v>
      </c>
      <c r="N16" s="81" t="str">
        <f>IF($L16="No","-",INDEX(TAPList!$E:$E,MATCH('TAP Analysis'!$C16,TAPList!$B:$B,0),1))</f>
        <v>-</v>
      </c>
      <c r="O16" s="108" t="str">
        <f>IF($L16="No","-",INDEX(TAPList!$C:$C,MATCH('TAP Analysis'!$C16,TAPList!$B:$B,0),1))</f>
        <v>-</v>
      </c>
      <c r="P16" s="73" t="str">
        <f>IF(L16="No","-",IF(O16="year",SUM(H16:K16)*2000,IF(O16="24-hr",SUM(H16:K16)*2000/365,IF(O16=1-hr,SUM(H16:K16)*2000/8760, "ERROR"))))</f>
        <v>-</v>
      </c>
      <c r="Q16" s="116" t="str">
        <f t="shared" si="7"/>
        <v>-</v>
      </c>
      <c r="S16" s="15"/>
    </row>
    <row r="17" spans="2:19" x14ac:dyDescent="0.3">
      <c r="B17" s="81" t="str">
        <f>'Flux Density'!B14</f>
        <v>Methylene Chloride</v>
      </c>
      <c r="C17" s="39" t="str">
        <f>'Flux Density'!C14</f>
        <v>75-09-2</v>
      </c>
      <c r="D17" s="31">
        <f>MAX('Flux Density'!D14:F14)</f>
        <v>0</v>
      </c>
      <c r="E17" s="92" t="s">
        <v>2009</v>
      </c>
      <c r="F17" s="31">
        <f>MAX('Flux Density'!J14:N14)</f>
        <v>0</v>
      </c>
      <c r="G17" s="32">
        <f>'Flux Density'!I14</f>
        <v>0</v>
      </c>
      <c r="H17" s="173">
        <f t="shared" si="4"/>
        <v>0</v>
      </c>
      <c r="I17" s="174">
        <f>H17*VOC!$D$25/VOC!$E$25</f>
        <v>0</v>
      </c>
      <c r="J17" s="31">
        <f t="shared" si="5"/>
        <v>0</v>
      </c>
      <c r="K17" s="175">
        <f t="shared" si="6"/>
        <v>0</v>
      </c>
      <c r="L17" s="39" t="str">
        <f>IFERROR(IF(MATCH(C17,TAPList!B:B,0)&gt;1,"Yes","No"),"No")</f>
        <v>Yes</v>
      </c>
      <c r="M17" s="81" t="s">
        <v>175</v>
      </c>
      <c r="N17" s="81">
        <f>IF($L17="No","-",INDEX(TAPList!$E:$E,MATCH('TAP Analysis'!$C17,TAPList!$B:$B,0),1))</f>
        <v>9800</v>
      </c>
      <c r="O17" s="108" t="str">
        <f>IF($L17="No","-",INDEX(TAPList!$C:$C,MATCH('TAP Analysis'!$C17,TAPList!$B:$B,0),1))</f>
        <v>year</v>
      </c>
      <c r="P17" s="73">
        <f>IF(L17="No","-",IF(O17="year",SUM(H17:K17)*2000,IF(O17="24-hr",SUM(H17:K17)*2000/365,IF(O17=1-hr,SUM(H17:K17)*2000/8760, "ERROR"))))</f>
        <v>0</v>
      </c>
      <c r="Q17" s="116">
        <f t="shared" si="7"/>
        <v>0</v>
      </c>
      <c r="S17" s="15"/>
    </row>
    <row r="18" spans="2:19" x14ac:dyDescent="0.3">
      <c r="B18" s="81" t="str">
        <f>'Flux Density'!B15</f>
        <v>Vinyl Acetate</v>
      </c>
      <c r="C18" s="39" t="str">
        <f>'Flux Density'!C15</f>
        <v>108-05-4</v>
      </c>
      <c r="D18" s="31">
        <f>MAX('Flux Density'!D15:F15)</f>
        <v>0</v>
      </c>
      <c r="E18" s="92" t="s">
        <v>2009</v>
      </c>
      <c r="F18" s="31">
        <f>MAX('Flux Density'!J15:N15)</f>
        <v>196.39934533551553</v>
      </c>
      <c r="G18" s="32">
        <f>'Flux Density'!I15</f>
        <v>0</v>
      </c>
      <c r="H18" s="173">
        <f t="shared" si="4"/>
        <v>0</v>
      </c>
      <c r="I18" s="174">
        <f>H18*VOC!$D$25/VOC!$E$25</f>
        <v>0</v>
      </c>
      <c r="J18" s="31">
        <f t="shared" si="5"/>
        <v>1.8711267263539924</v>
      </c>
      <c r="K18" s="175">
        <f t="shared" si="6"/>
        <v>0</v>
      </c>
      <c r="L18" s="39" t="str">
        <f>IFERROR(IF(MATCH(C18,TAPList!B:B,0)&gt;1,"Yes","No"),"No")</f>
        <v>Yes</v>
      </c>
      <c r="M18" s="81" t="s">
        <v>175</v>
      </c>
      <c r="N18" s="81">
        <f>IF($L18="No","-",INDEX(TAPList!$E:$E,MATCH('TAP Analysis'!$C18,TAPList!$B:$B,0),1))</f>
        <v>15</v>
      </c>
      <c r="O18" s="108" t="str">
        <f>IF($L18="No","-",INDEX(TAPList!$C:$C,MATCH('TAP Analysis'!$C18,TAPList!$B:$B,0),1))</f>
        <v>24-hr</v>
      </c>
      <c r="P18" s="73">
        <f>IF(L18="No","-",IF(O18="year",SUM(H18:K18)*2000,IF(O18="24-hr",SUM(H18:K18)*2000/365,IF(O18=1-hr,SUM(H18:K18)*2000/8760, "ERROR"))))</f>
        <v>10.252749185501328</v>
      </c>
      <c r="Q18" s="116">
        <f t="shared" ref="Q18:Q47" si="8">IF(L18="No","-",P18/N18)</f>
        <v>0.68351661236675521</v>
      </c>
      <c r="S18" s="15"/>
    </row>
    <row r="19" spans="2:19" x14ac:dyDescent="0.3">
      <c r="B19" s="81" t="str">
        <f>'Flux Density'!B16</f>
        <v>2-Butanone (MEK)</v>
      </c>
      <c r="C19" s="39" t="str">
        <f>'Flux Density'!C16</f>
        <v>78-93-3</v>
      </c>
      <c r="D19" s="31">
        <f>MAX('Flux Density'!D16:F16)</f>
        <v>0</v>
      </c>
      <c r="E19" s="92" t="s">
        <v>2009</v>
      </c>
      <c r="F19" s="31">
        <f>MAX('Flux Density'!J16:N16)</f>
        <v>265.95744680851061</v>
      </c>
      <c r="G19" s="32">
        <f>'Flux Density'!I16</f>
        <v>0</v>
      </c>
      <c r="H19" s="173">
        <f t="shared" si="4"/>
        <v>0</v>
      </c>
      <c r="I19" s="174">
        <f>H19*VOC!$D$25/VOC!$E$25</f>
        <v>0</v>
      </c>
      <c r="J19" s="31">
        <f t="shared" si="5"/>
        <v>2.5338174419376975</v>
      </c>
      <c r="K19" s="175">
        <f t="shared" si="6"/>
        <v>0</v>
      </c>
      <c r="L19" s="39" t="str">
        <f>IFERROR(IF(MATCH(C19,TAPList!B:B,0)&gt;1,"Yes","No"),"No")</f>
        <v>Yes</v>
      </c>
      <c r="M19" s="81" t="s">
        <v>176</v>
      </c>
      <c r="N19" s="81">
        <f>IF($L19="No","-",INDEX(TAPList!$E:$E,MATCH('TAP Analysis'!$C19,TAPList!$B:$B,0),1))</f>
        <v>370</v>
      </c>
      <c r="O19" s="108" t="str">
        <f>IF($L19="No","-",INDEX(TAPList!$C:$C,MATCH('TAP Analysis'!$C19,TAPList!$B:$B,0),1))</f>
        <v>24-hr</v>
      </c>
      <c r="P19" s="73">
        <f>IF(L19="No","-",IF(O19="year",SUM(H19:K19)*2000,IF(O19="24-hr",SUM(H19:K19)*2000/365,IF(O19=1-hr,SUM(H19:K19)*2000/8760, "ERROR"))))</f>
        <v>13.883931188699712</v>
      </c>
      <c r="Q19" s="116">
        <f t="shared" si="8"/>
        <v>3.7524138347837063E-2</v>
      </c>
      <c r="S19" s="15"/>
    </row>
    <row r="20" spans="2:19" x14ac:dyDescent="0.3">
      <c r="B20" s="81" t="str">
        <f>'Flux Density'!B17</f>
        <v>Ethyl Acetate</v>
      </c>
      <c r="C20" s="39" t="str">
        <f>'Flux Density'!C17</f>
        <v>141-78-6</v>
      </c>
      <c r="D20" s="31">
        <f>MAX('Flux Density'!D17:F17)</f>
        <v>0</v>
      </c>
      <c r="E20" s="92" t="s">
        <v>2009</v>
      </c>
      <c r="F20" s="31">
        <f>MAX('Flux Density'!J17:N17)</f>
        <v>0</v>
      </c>
      <c r="G20" s="32">
        <f>'Flux Density'!I17</f>
        <v>0</v>
      </c>
      <c r="H20" s="173">
        <f t="shared" si="4"/>
        <v>0</v>
      </c>
      <c r="I20" s="174">
        <f>H20*VOC!$D$25/VOC!$E$25</f>
        <v>0</v>
      </c>
      <c r="J20" s="31">
        <f t="shared" si="5"/>
        <v>0</v>
      </c>
      <c r="K20" s="175">
        <f t="shared" si="6"/>
        <v>0</v>
      </c>
      <c r="L20" s="39" t="str">
        <f>IFERROR(IF(MATCH(C20,TAPList!B:B,0)&gt;1,"Yes","No"),"No")</f>
        <v>No</v>
      </c>
      <c r="M20" s="81" t="s">
        <v>176</v>
      </c>
      <c r="N20" s="81" t="str">
        <f>IF($L20="No","-",INDEX(TAPList!$E:$E,MATCH('TAP Analysis'!$C20,TAPList!$B:$B,0),1))</f>
        <v>-</v>
      </c>
      <c r="O20" s="108" t="str">
        <f>IF($L20="No","-",INDEX(TAPList!$C:$C,MATCH('TAP Analysis'!$C20,TAPList!$B:$B,0),1))</f>
        <v>-</v>
      </c>
      <c r="P20" s="73" t="str">
        <f>IF(L20="No","-",IF(O20="year",SUM(H20:K20)*2000,IF(O20="24-hr",SUM(H20:K20)*2000/365,IF(O20=1-hr,SUM(H20:K20)*2000/8760, "ERROR"))))</f>
        <v>-</v>
      </c>
      <c r="Q20" s="116" t="str">
        <f t="shared" si="8"/>
        <v>-</v>
      </c>
      <c r="S20" s="15"/>
    </row>
    <row r="21" spans="2:19" x14ac:dyDescent="0.3">
      <c r="B21" s="81" t="str">
        <f>'Flux Density'!B18</f>
        <v>n-Hexane</v>
      </c>
      <c r="C21" s="39" t="str">
        <f>'Flux Density'!C18</f>
        <v>110-54-3</v>
      </c>
      <c r="D21" s="31">
        <f>MAX('Flux Density'!D18:F18)</f>
        <v>0</v>
      </c>
      <c r="E21" s="92" t="s">
        <v>2009</v>
      </c>
      <c r="F21" s="31">
        <f>MAX('Flux Density'!J18:N18)</f>
        <v>5.0295857988165684</v>
      </c>
      <c r="G21" s="32">
        <f>'Flux Density'!I18</f>
        <v>0.12195121951219515</v>
      </c>
      <c r="H21" s="173">
        <f t="shared" si="4"/>
        <v>0</v>
      </c>
      <c r="I21" s="174">
        <f>H21*VOC!$D$25/VOC!$E$25</f>
        <v>0</v>
      </c>
      <c r="J21" s="31">
        <f t="shared" si="5"/>
        <v>4.7917636357591019E-2</v>
      </c>
      <c r="K21" s="175">
        <f t="shared" si="6"/>
        <v>2.2974395436061809E-4</v>
      </c>
      <c r="L21" s="39" t="str">
        <f>IFERROR(IF(MATCH(C21,TAPList!B:B,0)&gt;1,"Yes","No"),"No")</f>
        <v>Yes</v>
      </c>
      <c r="M21" s="81" t="s">
        <v>175</v>
      </c>
      <c r="N21" s="81">
        <f>IF($L21="No","-",INDEX(TAPList!$E:$E,MATCH('TAP Analysis'!$C21,TAPList!$B:$B,0),1))</f>
        <v>52</v>
      </c>
      <c r="O21" s="108" t="str">
        <f>IF($L21="No","-",INDEX(TAPList!$C:$C,MATCH('TAP Analysis'!$C21,TAPList!$B:$B,0),1))</f>
        <v>24-hr</v>
      </c>
      <c r="P21" s="73">
        <f>IF(L21="No","-",IF(O21="year",SUM(H21:K21)*2000,IF(O21="24-hr",SUM(H21:K21)*2000/365,IF(O21=1-hr,SUM(H21:K21)*2000/8760, "ERROR"))))</f>
        <v>0.26382126198329664</v>
      </c>
      <c r="Q21" s="116">
        <f t="shared" si="8"/>
        <v>5.0734858073710892E-3</v>
      </c>
      <c r="S21" s="15"/>
    </row>
    <row r="22" spans="2:19" x14ac:dyDescent="0.3">
      <c r="B22" s="81" t="str">
        <f>'Flux Density'!B19</f>
        <v>Benzene</v>
      </c>
      <c r="C22" s="39" t="str">
        <f>'Flux Density'!C19</f>
        <v>71-43-2</v>
      </c>
      <c r="D22" s="31">
        <f>MAX('Flux Density'!D19:F19)</f>
        <v>0</v>
      </c>
      <c r="E22" s="92" t="s">
        <v>2009</v>
      </c>
      <c r="F22" s="31">
        <f>MAX('Flux Density'!J19:N19)</f>
        <v>4.0433925049309671</v>
      </c>
      <c r="G22" s="32">
        <f>'Flux Density'!I19</f>
        <v>0.1407129455909944</v>
      </c>
      <c r="H22" s="173">
        <f t="shared" si="4"/>
        <v>0</v>
      </c>
      <c r="I22" s="174">
        <f>H22*VOC!$D$25/VOC!$E$25</f>
        <v>0</v>
      </c>
      <c r="J22" s="31">
        <f t="shared" si="5"/>
        <v>3.852202138551436E-2</v>
      </c>
      <c r="K22" s="175">
        <f t="shared" si="6"/>
        <v>2.6508917810840556E-4</v>
      </c>
      <c r="L22" s="39" t="str">
        <f>IFERROR(IF(MATCH(C22,TAPList!B:B,0)&gt;1,"Yes","No"),"No")</f>
        <v>Yes</v>
      </c>
      <c r="M22" s="81" t="s">
        <v>175</v>
      </c>
      <c r="N22" s="81">
        <f>IF($L22="No","-",INDEX(TAPList!$E:$E,MATCH('TAP Analysis'!$C22,TAPList!$B:$B,0),1))</f>
        <v>21</v>
      </c>
      <c r="O22" s="108" t="str">
        <f>IF($L22="No","-",INDEX(TAPList!$C:$C,MATCH('TAP Analysis'!$C22,TAPList!$B:$B,0),1))</f>
        <v>year</v>
      </c>
      <c r="P22" s="73">
        <f>IF(L22="No","-",IF(O22="year",SUM(H22:K22)*2000,IF(O22="24-hr",SUM(H22:K22)*2000/365,IF(O22=1-hr,SUM(H22:K22)*2000/8760, "ERROR"))))</f>
        <v>77.574221127245536</v>
      </c>
      <c r="Q22" s="116">
        <f t="shared" si="8"/>
        <v>3.694010529868835</v>
      </c>
      <c r="S22" s="15"/>
    </row>
    <row r="23" spans="2:19" x14ac:dyDescent="0.3">
      <c r="B23" s="81" t="str">
        <f>'Flux Density'!B20</f>
        <v>n-Heptane</v>
      </c>
      <c r="C23" s="39" t="str">
        <f>'Flux Density'!C20</f>
        <v>142-82-5</v>
      </c>
      <c r="D23" s="31">
        <f>MAX('Flux Density'!D20:F20)</f>
        <v>0</v>
      </c>
      <c r="E23" s="92" t="s">
        <v>2009</v>
      </c>
      <c r="F23" s="31">
        <f>MAX('Flux Density'!J20:N20)</f>
        <v>8.1854043392504945</v>
      </c>
      <c r="G23" s="32">
        <f>'Flux Density'!I20</f>
        <v>0</v>
      </c>
      <c r="H23" s="173">
        <f t="shared" si="4"/>
        <v>0</v>
      </c>
      <c r="I23" s="174">
        <f>H23*VOC!$D$25/VOC!$E$25</f>
        <v>0</v>
      </c>
      <c r="J23" s="31">
        <f t="shared" si="5"/>
        <v>7.7983604268236389E-2</v>
      </c>
      <c r="K23" s="175">
        <f t="shared" si="6"/>
        <v>0</v>
      </c>
      <c r="L23" s="39" t="str">
        <f>IFERROR(IF(MATCH(C23,TAPList!B:B,0)&gt;1,"Yes","No"),"No")</f>
        <v>No</v>
      </c>
      <c r="M23" s="81" t="s">
        <v>176</v>
      </c>
      <c r="N23" s="81" t="str">
        <f>IF($L23="No","-",INDEX(TAPList!$E:$E,MATCH('TAP Analysis'!$C23,TAPList!$B:$B,0),1))</f>
        <v>-</v>
      </c>
      <c r="O23" s="108" t="str">
        <f>IF($L23="No","-",INDEX(TAPList!$C:$C,MATCH('TAP Analysis'!$C23,TAPList!$B:$B,0),1))</f>
        <v>-</v>
      </c>
      <c r="P23" s="73" t="str">
        <f>IF(L23="No","-",IF(O23="year",SUM(H23:K23)*2000,IF(O23="24-hr",SUM(H23:K23)*2000/365,IF(O23=1-hr,SUM(H23:K23)*2000/8760, "ERROR"))))</f>
        <v>-</v>
      </c>
      <c r="Q23" s="116" t="str">
        <f t="shared" si="8"/>
        <v>-</v>
      </c>
      <c r="S23" s="15"/>
    </row>
    <row r="24" spans="2:19" x14ac:dyDescent="0.3">
      <c r="B24" s="81" t="str">
        <f>'Flux Density'!B21</f>
        <v>4-Methyl-2-pentanone</v>
      </c>
      <c r="C24" s="39" t="str">
        <f>'Flux Density'!C21</f>
        <v>108-10-1</v>
      </c>
      <c r="D24" s="31">
        <f>MAX('Flux Density'!D21:F21)</f>
        <v>0</v>
      </c>
      <c r="E24" s="92" t="s">
        <v>2009</v>
      </c>
      <c r="F24" s="31">
        <f>MAX('Flux Density'!J21:N21)</f>
        <v>5.9716599190283395</v>
      </c>
      <c r="G24" s="32">
        <f>'Flux Density'!I21</f>
        <v>0</v>
      </c>
      <c r="H24" s="173">
        <f t="shared" si="4"/>
        <v>0</v>
      </c>
      <c r="I24" s="174">
        <f>H24*VOC!$D$25/VOC!$E$25</f>
        <v>0</v>
      </c>
      <c r="J24" s="31">
        <f t="shared" si="5"/>
        <v>5.6892921186180057E-2</v>
      </c>
      <c r="K24" s="175">
        <f t="shared" si="6"/>
        <v>0</v>
      </c>
      <c r="L24" s="39" t="str">
        <f>IFERROR(IF(MATCH(C24,TAPList!B:B,0)&gt;1,"Yes","No"),"No")</f>
        <v>Yes</v>
      </c>
      <c r="M24" s="81" t="s">
        <v>175</v>
      </c>
      <c r="N24" s="81">
        <f>IF($L24="No","-",INDEX(TAPList!$E:$E,MATCH('TAP Analysis'!$C24,TAPList!$B:$B,0),1))</f>
        <v>220</v>
      </c>
      <c r="O24" s="108" t="str">
        <f>IF($L24="No","-",INDEX(TAPList!$C:$C,MATCH('TAP Analysis'!$C24,TAPList!$B:$B,0),1))</f>
        <v>24-hr</v>
      </c>
      <c r="P24" s="73">
        <f>IF(L24="No","-",IF(O24="year",SUM(H24:K24)*2000,IF(O24="24-hr",SUM(H24:K24)*2000/365,IF(O24=1-hr,SUM(H24:K24)*2000/8760, "ERROR"))))</f>
        <v>0.31174203389687699</v>
      </c>
      <c r="Q24" s="116">
        <f t="shared" si="8"/>
        <v>1.4170092449858045E-3</v>
      </c>
      <c r="S24" s="15"/>
    </row>
    <row r="25" spans="2:19" x14ac:dyDescent="0.3">
      <c r="B25" s="81" t="str">
        <f>'Flux Density'!B22</f>
        <v>Toluene</v>
      </c>
      <c r="C25" s="39" t="str">
        <f>'Flux Density'!C22</f>
        <v>108-88-3</v>
      </c>
      <c r="D25" s="31">
        <f>MAX('Flux Density'!D22:F22)</f>
        <v>25.641025641025642</v>
      </c>
      <c r="E25" s="92" t="s">
        <v>2009</v>
      </c>
      <c r="F25" s="31">
        <f>MAX('Flux Density'!J22:N22)</f>
        <v>7.3964497041420127</v>
      </c>
      <c r="G25" s="32">
        <f>'Flux Density'!I22</f>
        <v>0</v>
      </c>
      <c r="H25" s="173">
        <f t="shared" si="4"/>
        <v>7.5742458143258553E-3</v>
      </c>
      <c r="I25" s="174">
        <f>H25*VOC!$D$25/VOC!$E$25</f>
        <v>7.7288222595161713E-4</v>
      </c>
      <c r="J25" s="31">
        <f t="shared" si="5"/>
        <v>7.0467112290575049E-2</v>
      </c>
      <c r="K25" s="175">
        <f t="shared" si="6"/>
        <v>0</v>
      </c>
      <c r="L25" s="39" t="str">
        <f>IFERROR(IF(MATCH(C25,TAPList!B:B,0)&gt;1,"Yes","No"),"No")</f>
        <v>Yes</v>
      </c>
      <c r="M25" s="81" t="s">
        <v>175</v>
      </c>
      <c r="N25" s="81">
        <f>IF($L25="No","-",INDEX(TAPList!$E:$E,MATCH('TAP Analysis'!$C25,TAPList!$B:$B,0),1))</f>
        <v>370</v>
      </c>
      <c r="O25" s="108" t="str">
        <f>IF($L25="No","-",INDEX(TAPList!$C:$C,MATCH('TAP Analysis'!$C25,TAPList!$B:$B,0),1))</f>
        <v>24-hr</v>
      </c>
      <c r="P25" s="73">
        <f>IF(L25="No","-",IF(O25="year",SUM(H25:K25)*2000,IF(O25="24-hr",SUM(H25:K25)*2000/365,IF(O25=1-hr,SUM(H25:K25)*2000/8760, "ERROR"))))</f>
        <v>0.43185885112795896</v>
      </c>
      <c r="Q25" s="116">
        <f t="shared" si="8"/>
        <v>1.1671860841296188E-3</v>
      </c>
      <c r="S25" s="15"/>
    </row>
    <row r="26" spans="2:19" x14ac:dyDescent="0.3">
      <c r="B26" s="81" t="str">
        <f>'Flux Density'!B23</f>
        <v>n-Octane</v>
      </c>
      <c r="C26" s="39" t="str">
        <f>'Flux Density'!C23</f>
        <v>111-63-9</v>
      </c>
      <c r="D26" s="31">
        <f>MAX('Flux Density'!D23:F23)</f>
        <v>0</v>
      </c>
      <c r="E26" s="92" t="s">
        <v>2009</v>
      </c>
      <c r="F26" s="31">
        <f>MAX('Flux Density'!J23:N23)</f>
        <v>7.5936883629191332</v>
      </c>
      <c r="G26" s="32">
        <f>'Flux Density'!I23</f>
        <v>0</v>
      </c>
      <c r="H26" s="173">
        <f t="shared" si="4"/>
        <v>0</v>
      </c>
      <c r="I26" s="174">
        <f>H26*VOC!$D$25/VOC!$E$25</f>
        <v>0</v>
      </c>
      <c r="J26" s="31">
        <f t="shared" si="5"/>
        <v>7.2346235284990387E-2</v>
      </c>
      <c r="K26" s="175">
        <f t="shared" si="6"/>
        <v>0</v>
      </c>
      <c r="L26" s="39" t="str">
        <f>IFERROR(IF(MATCH(C26,TAPList!B:B,0)&gt;1,"Yes","No"),"No")</f>
        <v>No</v>
      </c>
      <c r="M26" s="81" t="s">
        <v>176</v>
      </c>
      <c r="N26" s="81" t="str">
        <f>IF($L26="No","-",INDEX(TAPList!$E:$E,MATCH('TAP Analysis'!$C26,TAPList!$B:$B,0),1))</f>
        <v>-</v>
      </c>
      <c r="O26" s="108" t="str">
        <f>IF($L26="No","-",INDEX(TAPList!$C:$C,MATCH('TAP Analysis'!$C26,TAPList!$B:$B,0),1))</f>
        <v>-</v>
      </c>
      <c r="P26" s="73" t="str">
        <f>IF(L26="No","-",IF(O26="year",SUM(H26:K26)*2000,IF(O26="24-hr",SUM(H26:K26)*2000/365,IF(O26=1-hr,SUM(H26:K26)*2000/8760, "ERROR"))))</f>
        <v>-</v>
      </c>
      <c r="Q26" s="116" t="str">
        <f t="shared" si="8"/>
        <v>-</v>
      </c>
      <c r="S26" s="15"/>
    </row>
    <row r="27" spans="2:19" x14ac:dyDescent="0.3">
      <c r="B27" s="81" t="str">
        <f>'Flux Density'!B24</f>
        <v>Ethylbenzene</v>
      </c>
      <c r="C27" s="39" t="str">
        <f>'Flux Density'!C24</f>
        <v>100-41-4</v>
      </c>
      <c r="D27" s="31">
        <f>MAX('Flux Density'!D24:F24)</f>
        <v>0</v>
      </c>
      <c r="E27" s="92" t="s">
        <v>2009</v>
      </c>
      <c r="F27" s="31">
        <f>MAX('Flux Density'!J24:N24)</f>
        <v>0.1</v>
      </c>
      <c r="G27" s="32">
        <f>'Flux Density'!I24</f>
        <v>0</v>
      </c>
      <c r="H27" s="173">
        <f t="shared" si="4"/>
        <v>0</v>
      </c>
      <c r="I27" s="174">
        <f>H27*VOC!$D$25/VOC!$E$25</f>
        <v>0</v>
      </c>
      <c r="J27" s="31">
        <f t="shared" si="5"/>
        <v>9.5271535816857469E-4</v>
      </c>
      <c r="K27" s="175">
        <f t="shared" si="6"/>
        <v>0</v>
      </c>
      <c r="L27" s="39" t="str">
        <f>IFERROR(IF(MATCH(C27,TAPList!B:B,0)&gt;1,"Yes","No"),"No")</f>
        <v>Yes</v>
      </c>
      <c r="M27" s="81" t="s">
        <v>175</v>
      </c>
      <c r="N27" s="81">
        <f>IF($L27="No","-",INDEX(TAPList!$E:$E,MATCH('TAP Analysis'!$C27,TAPList!$B:$B,0),1))</f>
        <v>65</v>
      </c>
      <c r="O27" s="108" t="str">
        <f>IF($L27="No","-",INDEX(TAPList!$C:$C,MATCH('TAP Analysis'!$C27,TAPList!$B:$B,0),1))</f>
        <v>year</v>
      </c>
      <c r="P27" s="73">
        <f>IF(L27="No","-",IF(O27="year",SUM(H27:K27)*2000,IF(O27="24-hr",SUM(H27:K27)*2000/365,IF(O27=1-hr,SUM(H27:K27)*2000/8760, "ERROR"))))</f>
        <v>1.9054307163371493</v>
      </c>
      <c r="Q27" s="116">
        <f t="shared" si="8"/>
        <v>2.931431871287922E-2</v>
      </c>
      <c r="S27" s="15"/>
    </row>
    <row r="28" spans="2:19" x14ac:dyDescent="0.3">
      <c r="B28" s="81" t="str">
        <f>'Flux Density'!B25</f>
        <v>m,p-Xylenes</v>
      </c>
      <c r="C28" s="39" t="str">
        <f>'Flux Density'!C25</f>
        <v>179601-23-1</v>
      </c>
      <c r="D28" s="31">
        <f>MAX('Flux Density'!D25:F25)</f>
        <v>0</v>
      </c>
      <c r="E28" s="92" t="s">
        <v>2009</v>
      </c>
      <c r="F28" s="31">
        <f>MAX('Flux Density'!J25:N25)</f>
        <v>0.32307692307692309</v>
      </c>
      <c r="G28" s="32">
        <f>'Flux Density'!I25</f>
        <v>0</v>
      </c>
      <c r="H28" s="173">
        <f t="shared" si="4"/>
        <v>0</v>
      </c>
      <c r="I28" s="174">
        <f>H28*VOC!$D$25/VOC!$E$25</f>
        <v>0</v>
      </c>
      <c r="J28" s="31">
        <f t="shared" si="5"/>
        <v>3.0780034648523178E-3</v>
      </c>
      <c r="K28" s="175">
        <f t="shared" si="6"/>
        <v>0</v>
      </c>
      <c r="L28" s="39" t="str">
        <f>IFERROR(IF(MATCH(C28,TAPList!B:B,0)&gt;1,"Yes","No"),"No")</f>
        <v>No</v>
      </c>
      <c r="M28" s="81" t="s">
        <v>175</v>
      </c>
      <c r="N28" s="81" t="str">
        <f>IF($L28="No","-",INDEX(TAPList!$E:$E,MATCH('TAP Analysis'!$C28,TAPList!$B:$B,0),1))</f>
        <v>-</v>
      </c>
      <c r="O28" s="108" t="str">
        <f>IF($L28="No","-",INDEX(TAPList!$C:$C,MATCH('TAP Analysis'!$C28,TAPList!$B:$B,0),1))</f>
        <v>-</v>
      </c>
      <c r="P28" s="73" t="str">
        <f>IF(L28="No","-",IF(O28="year",SUM(H28:K28)*2000,IF(O28="24-hr",SUM(H28:K28)*2000/365,IF(O28=1-hr,SUM(H28:K28)*2000/8760, "ERROR"))))</f>
        <v>-</v>
      </c>
      <c r="Q28" s="116" t="str">
        <f t="shared" si="8"/>
        <v>-</v>
      </c>
      <c r="S28" s="15"/>
    </row>
    <row r="29" spans="2:19" x14ac:dyDescent="0.3">
      <c r="B29" s="81" t="str">
        <f>'Flux Density'!B26</f>
        <v>Styrene</v>
      </c>
      <c r="C29" s="39" t="str">
        <f>'Flux Density'!C26</f>
        <v>100-42-5</v>
      </c>
      <c r="D29" s="31">
        <f>MAX('Flux Density'!D26:F26)</f>
        <v>0</v>
      </c>
      <c r="E29" s="92" t="s">
        <v>2009</v>
      </c>
      <c r="F29" s="31">
        <f>MAX('Flux Density'!J26:N26)</f>
        <v>8.1854043392504945</v>
      </c>
      <c r="G29" s="32">
        <f>'Flux Density'!I26</f>
        <v>0</v>
      </c>
      <c r="H29" s="173">
        <f t="shared" si="4"/>
        <v>0</v>
      </c>
      <c r="I29" s="174">
        <f>H29*VOC!$D$25/VOC!$E$25</f>
        <v>0</v>
      </c>
      <c r="J29" s="31">
        <f t="shared" si="5"/>
        <v>7.7983604268236389E-2</v>
      </c>
      <c r="K29" s="175">
        <f t="shared" si="6"/>
        <v>0</v>
      </c>
      <c r="L29" s="39" t="str">
        <f>IFERROR(IF(MATCH(C29,TAPList!B:B,0)&gt;1,"Yes","No"),"No")</f>
        <v>Yes</v>
      </c>
      <c r="M29" s="81" t="s">
        <v>175</v>
      </c>
      <c r="N29" s="81">
        <f>IF($L29="No","-",INDEX(TAPList!$E:$E,MATCH('TAP Analysis'!$C29,TAPList!$B:$B,0),1))</f>
        <v>65</v>
      </c>
      <c r="O29" s="108" t="str">
        <f>IF($L29="No","-",INDEX(TAPList!$C:$C,MATCH('TAP Analysis'!$C29,TAPList!$B:$B,0),1))</f>
        <v>24-hr</v>
      </c>
      <c r="P29" s="73">
        <f>IF(L29="No","-",IF(O29="year",SUM(H29:K29)*2000,IF(O29="24-hr",SUM(H29:K29)*2000/365,IF(O29=1-hr,SUM(H29:K29)*2000/8760, "ERROR"))))</f>
        <v>0.42730742064787064</v>
      </c>
      <c r="Q29" s="116">
        <f t="shared" si="8"/>
        <v>6.5739603176595482E-3</v>
      </c>
      <c r="S29" s="15"/>
    </row>
    <row r="30" spans="2:19" x14ac:dyDescent="0.3">
      <c r="B30" s="81" t="str">
        <f>'Flux Density'!B27</f>
        <v>n-Nonane</v>
      </c>
      <c r="C30" s="39" t="str">
        <f>'Flux Density'!C27</f>
        <v>111-84-2</v>
      </c>
      <c r="D30" s="31">
        <f>MAX('Flux Density'!D27:F27)</f>
        <v>0</v>
      </c>
      <c r="E30" s="92" t="s">
        <v>2009</v>
      </c>
      <c r="F30" s="31">
        <f>MAX('Flux Density'!J27:N27)</f>
        <v>25.368248772504089</v>
      </c>
      <c r="G30" s="32">
        <f>'Flux Density'!I27</f>
        <v>0</v>
      </c>
      <c r="H30" s="173">
        <f t="shared" si="4"/>
        <v>0</v>
      </c>
      <c r="I30" s="174">
        <f>H30*VOC!$D$25/VOC!$E$25</f>
        <v>0</v>
      </c>
      <c r="J30" s="31">
        <f t="shared" si="5"/>
        <v>0.24168720215405731</v>
      </c>
      <c r="K30" s="175">
        <f t="shared" si="6"/>
        <v>0</v>
      </c>
      <c r="L30" s="39" t="str">
        <f>IFERROR(IF(MATCH(C30,TAPList!B:B,0)&gt;1,"Yes","No"),"No")</f>
        <v>No</v>
      </c>
      <c r="M30" s="81" t="s">
        <v>176</v>
      </c>
      <c r="N30" s="81" t="str">
        <f>IF($L30="No","-",INDEX(TAPList!$E:$E,MATCH('TAP Analysis'!$C30,TAPList!$B:$B,0),1))</f>
        <v>-</v>
      </c>
      <c r="O30" s="108" t="str">
        <f>IF($L30="No","-",INDEX(TAPList!$C:$C,MATCH('TAP Analysis'!$C30,TAPList!$B:$B,0),1))</f>
        <v>-</v>
      </c>
      <c r="P30" s="73" t="str">
        <f>IF(L30="No","-",IF(O30="year",SUM(H30:K30)*2000,IF(O30="24-hr",SUM(H30:K30)*2000/365,IF(O30=1-hr,SUM(H30:K30)*2000/8760, "ERROR"))))</f>
        <v>-</v>
      </c>
      <c r="Q30" s="116" t="str">
        <f t="shared" si="8"/>
        <v>-</v>
      </c>
      <c r="S30" s="15"/>
    </row>
    <row r="31" spans="2:19" x14ac:dyDescent="0.3">
      <c r="B31" s="81" t="str">
        <f>'Flux Density'!B28</f>
        <v>alpha-Pinene</v>
      </c>
      <c r="C31" s="39" t="str">
        <f>'Flux Density'!C28</f>
        <v>80-56-8</v>
      </c>
      <c r="D31" s="31">
        <f>MAX('Flux Density'!D28:F28)</f>
        <v>2350.4273504273501</v>
      </c>
      <c r="E31" s="92" t="s">
        <v>2009</v>
      </c>
      <c r="F31" s="31">
        <f>MAX('Flux Density'!J28:N28)</f>
        <v>2700.4909983633388</v>
      </c>
      <c r="G31" s="32">
        <f>'Flux Density'!I28</f>
        <v>0.15947467166979365</v>
      </c>
      <c r="H31" s="173">
        <f t="shared" si="4"/>
        <v>0.69430586631320335</v>
      </c>
      <c r="I31" s="174">
        <f>H31*VOC!$D$25/VOC!$E$25</f>
        <v>7.0847537378898234E-2</v>
      </c>
      <c r="J31" s="31">
        <f t="shared" si="5"/>
        <v>25.727992487367398</v>
      </c>
      <c r="K31" s="175">
        <f t="shared" si="6"/>
        <v>3.0043440185619294E-4</v>
      </c>
      <c r="L31" s="39" t="str">
        <f>IFERROR(IF(MATCH(C31,TAPList!B:B,0)&gt;1,"Yes","No"),"No")</f>
        <v>No</v>
      </c>
      <c r="M31" s="81" t="s">
        <v>176</v>
      </c>
      <c r="N31" s="81" t="str">
        <f>IF($L31="No","-",INDEX(TAPList!$E:$E,MATCH('TAP Analysis'!$C31,TAPList!$B:$B,0),1))</f>
        <v>-</v>
      </c>
      <c r="O31" s="108" t="str">
        <f>IF($L31="No","-",INDEX(TAPList!$C:$C,MATCH('TAP Analysis'!$C31,TAPList!$B:$B,0),1))</f>
        <v>-</v>
      </c>
      <c r="P31" s="73" t="str">
        <f>IF(L31="No","-",IF(O31="year",SUM(H31:K31)*2000,IF(O31="24-hr",SUM(H31:K31)*2000/365,IF(O31=1-hr,SUM(H31:K31)*2000/8760, "ERROR"))))</f>
        <v>-</v>
      </c>
      <c r="Q31" s="116" t="str">
        <f t="shared" si="8"/>
        <v>-</v>
      </c>
      <c r="S31" s="15"/>
    </row>
    <row r="32" spans="2:19" x14ac:dyDescent="0.3">
      <c r="B32" s="81" t="str">
        <f>'Flux Density'!B29</f>
        <v>d-Limonene</v>
      </c>
      <c r="C32" s="39" t="str">
        <f>'Flux Density'!C29</f>
        <v>5989-27-5</v>
      </c>
      <c r="D32" s="31">
        <f>MAX('Flux Density'!D29:F29)</f>
        <v>1431.6239316239316</v>
      </c>
      <c r="E32" s="92" t="s">
        <v>2009</v>
      </c>
      <c r="F32" s="31">
        <f>MAX('Flux Density'!J29:N29)</f>
        <v>2045.8265139116199</v>
      </c>
      <c r="G32" s="32">
        <f>'Flux Density'!I29</f>
        <v>8.4427767354596645E-2</v>
      </c>
      <c r="H32" s="173">
        <f t="shared" si="4"/>
        <v>0.4228953912998602</v>
      </c>
      <c r="I32" s="174">
        <f>H32*VOC!$D$25/VOC!$E$25</f>
        <v>4.3152590948965286E-2</v>
      </c>
      <c r="J32" s="31">
        <f t="shared" si="5"/>
        <v>19.490903399520754</v>
      </c>
      <c r="K32" s="175">
        <f t="shared" si="6"/>
        <v>1.590535068650433E-4</v>
      </c>
      <c r="L32" s="39" t="str">
        <f>IFERROR(IF(MATCH(C32,TAPList!B:B,0)&gt;1,"Yes","No"),"No")</f>
        <v>No</v>
      </c>
      <c r="M32" s="81" t="s">
        <v>176</v>
      </c>
      <c r="N32" s="81" t="str">
        <f>IF($L32="No","-",INDEX(TAPList!$E:$E,MATCH('TAP Analysis'!$C32,TAPList!$B:$B,0),1))</f>
        <v>-</v>
      </c>
      <c r="O32" s="108" t="str">
        <f>IF($L32="No","-",INDEX(TAPList!$C:$C,MATCH('TAP Analysis'!$C32,TAPList!$B:$B,0),1))</f>
        <v>-</v>
      </c>
      <c r="P32" s="73" t="str">
        <f>IF(L32="No","-",IF(O32="year",SUM(H32:K32)*2000,IF(O32="24-hr",SUM(H32:K32)*2000/365,IF(O32=1-hr,SUM(H32:K32)*2000/8760, "ERROR"))))</f>
        <v>-</v>
      </c>
      <c r="Q32" s="116" t="str">
        <f t="shared" si="8"/>
        <v>-</v>
      </c>
      <c r="S32" s="15"/>
    </row>
    <row r="33" spans="2:19" x14ac:dyDescent="0.3">
      <c r="B33" s="81" t="str">
        <f>'Flux Density'!B30</f>
        <v>Carbonyle Sulfide</v>
      </c>
      <c r="C33" s="39" t="str">
        <f>'Flux Density'!C30</f>
        <v>463-58-1</v>
      </c>
      <c r="D33" s="31">
        <f>MAX('Flux Density'!D30:F30)</f>
        <v>0</v>
      </c>
      <c r="E33" s="92" t="s">
        <v>2009</v>
      </c>
      <c r="F33" s="31">
        <f>MAX('Flux Density'!J30:N30)</f>
        <v>8.5924713584288046</v>
      </c>
      <c r="G33" s="32">
        <f>'Flux Density'!I30</f>
        <v>0</v>
      </c>
      <c r="H33" s="173">
        <f t="shared" si="4"/>
        <v>0</v>
      </c>
      <c r="I33" s="174">
        <f>H33*VOC!$D$25/VOC!$E$25</f>
        <v>0</v>
      </c>
      <c r="J33" s="31">
        <f t="shared" si="5"/>
        <v>8.1861794277987177E-2</v>
      </c>
      <c r="K33" s="175">
        <f t="shared" si="6"/>
        <v>0</v>
      </c>
      <c r="L33" s="39" t="str">
        <f>IFERROR(IF(MATCH(C33,TAPList!B:B,0)&gt;1,"Yes","No"),"No")</f>
        <v>Yes</v>
      </c>
      <c r="M33" s="81" t="s">
        <v>175</v>
      </c>
      <c r="N33" s="81">
        <f>IF($L33="No","-",INDEX(TAPList!$E:$E,MATCH('TAP Analysis'!$C33,TAPList!$B:$B,0),1))</f>
        <v>0.74</v>
      </c>
      <c r="O33" s="108" t="str">
        <f>IF($L33="No","-",INDEX(TAPList!$C:$C,MATCH('TAP Analysis'!$C33,TAPList!$B:$B,0),1))</f>
        <v>24-hr</v>
      </c>
      <c r="P33" s="73">
        <f>IF(L33="No","-",IF(O33="year",SUM(H33:K33)*2000,IF(O33="24-hr",SUM(H33:K33)*2000/365,IF(O33=1-hr,SUM(H33:K33)*2000/8760, "ERROR"))))</f>
        <v>0.44855777686568316</v>
      </c>
      <c r="Q33" s="116">
        <f t="shared" si="8"/>
        <v>0.60615915792659891</v>
      </c>
      <c r="S33" s="15"/>
    </row>
    <row r="34" spans="2:19" x14ac:dyDescent="0.3">
      <c r="B34" s="81" t="str">
        <f>'Flux Density'!B31</f>
        <v>Methyl Mercaptan</v>
      </c>
      <c r="C34" s="39" t="str">
        <f>'Flux Density'!C31</f>
        <v>74-93-1</v>
      </c>
      <c r="D34" s="31">
        <f>MAX('Flux Density'!D31:F31)</f>
        <v>0</v>
      </c>
      <c r="E34" s="92" t="s">
        <v>2009</v>
      </c>
      <c r="F34" s="31">
        <f>MAX('Flux Density'!J31:N31)</f>
        <v>20.867430441898527</v>
      </c>
      <c r="G34" s="32">
        <f>'Flux Density'!I31</f>
        <v>0</v>
      </c>
      <c r="H34" s="173">
        <f t="shared" si="4"/>
        <v>0</v>
      </c>
      <c r="I34" s="174">
        <f>H34*VOC!$D$25/VOC!$E$25</f>
        <v>0</v>
      </c>
      <c r="J34" s="31">
        <f t="shared" si="5"/>
        <v>0.1988072146751117</v>
      </c>
      <c r="K34" s="175">
        <f t="shared" si="6"/>
        <v>0</v>
      </c>
      <c r="L34" s="39" t="str">
        <f>IFERROR(IF(MATCH(C34,TAPList!B:B,0)&gt;1,"Yes","No"),"No")</f>
        <v>No</v>
      </c>
      <c r="M34" s="81" t="s">
        <v>176</v>
      </c>
      <c r="N34" s="81" t="str">
        <f>IF($L34="No","-",INDEX(TAPList!$E:$E,MATCH('TAP Analysis'!$C34,TAPList!$B:$B,0),1))</f>
        <v>-</v>
      </c>
      <c r="O34" s="108" t="str">
        <f>IF($L34="No","-",INDEX(TAPList!$C:$C,MATCH('TAP Analysis'!$C34,TAPList!$B:$B,0),1))</f>
        <v>-</v>
      </c>
      <c r="P34" s="73" t="str">
        <f>IF(L34="No","-",IF(O34="year",SUM(H34:K34)*2000,IF(O34="24-hr",SUM(H34:K34)*2000/365,IF(O34=1-hr,SUM(H34:K34)*2000/8760, "ERROR"))))</f>
        <v>-</v>
      </c>
      <c r="Q34" s="116" t="str">
        <f t="shared" si="8"/>
        <v>-</v>
      </c>
      <c r="S34" s="15"/>
    </row>
    <row r="35" spans="2:19" x14ac:dyDescent="0.3">
      <c r="B35" s="81" t="str">
        <f>'Flux Density'!B32</f>
        <v>Dimethyl Sulfide</v>
      </c>
      <c r="C35" s="39" t="str">
        <f>'Flux Density'!C32</f>
        <v>75-18-3</v>
      </c>
      <c r="D35" s="31">
        <f>MAX('Flux Density'!D32:F32)</f>
        <v>0</v>
      </c>
      <c r="E35" s="92" t="s">
        <v>2009</v>
      </c>
      <c r="F35" s="31">
        <f>MAX('Flux Density'!J32:N32)</f>
        <v>294.59901800327333</v>
      </c>
      <c r="G35" s="32">
        <f>'Flux Density'!I32</f>
        <v>0</v>
      </c>
      <c r="H35" s="173">
        <f t="shared" si="4"/>
        <v>0</v>
      </c>
      <c r="I35" s="174">
        <f>H35*VOC!$D$25/VOC!$E$25</f>
        <v>0</v>
      </c>
      <c r="J35" s="31">
        <f t="shared" si="5"/>
        <v>2.806690089530989</v>
      </c>
      <c r="K35" s="175">
        <f t="shared" si="6"/>
        <v>0</v>
      </c>
      <c r="L35" s="39" t="str">
        <f>IFERROR(IF(MATCH(C35,TAPList!B:B,0)&gt;1,"Yes","No"),"No")</f>
        <v>No</v>
      </c>
      <c r="M35" s="81" t="s">
        <v>176</v>
      </c>
      <c r="N35" s="81" t="str">
        <f>IF($L35="No","-",INDEX(TAPList!$E:$E,MATCH('TAP Analysis'!$C35,TAPList!$B:$B,0),1))</f>
        <v>-</v>
      </c>
      <c r="O35" s="108" t="str">
        <f>IF($L35="No","-",INDEX(TAPList!$C:$C,MATCH('TAP Analysis'!$C35,TAPList!$B:$B,0),1))</f>
        <v>-</v>
      </c>
      <c r="P35" s="73" t="str">
        <f>IF(L35="No","-",IF(O35="year",SUM(H35:K35)*2000,IF(O35="24-hr",SUM(H35:K35)*2000/365,IF(O35=1-hr,SUM(H35:K35)*2000/8760, "ERROR"))))</f>
        <v>-</v>
      </c>
      <c r="Q35" s="116" t="str">
        <f t="shared" si="8"/>
        <v>-</v>
      </c>
      <c r="S35" s="15"/>
    </row>
    <row r="36" spans="2:19" x14ac:dyDescent="0.3">
      <c r="B36" s="81" t="str">
        <f>'Flux Density'!B33</f>
        <v>Carbon Disulfide</v>
      </c>
      <c r="C36" s="39" t="str">
        <f>'Flux Density'!C33</f>
        <v>75-15-0</v>
      </c>
      <c r="D36" s="31">
        <f>MAX('Flux Density'!D33:F33)</f>
        <v>0</v>
      </c>
      <c r="E36" s="92" t="s">
        <v>2009</v>
      </c>
      <c r="F36" s="31">
        <f>MAX('Flux Density'!J33:N33)</f>
        <v>4.0433925049309671</v>
      </c>
      <c r="G36" s="32">
        <f>'Flux Density'!I33</f>
        <v>0</v>
      </c>
      <c r="H36" s="173">
        <f t="shared" si="4"/>
        <v>0</v>
      </c>
      <c r="I36" s="174">
        <f>H36*VOC!$D$25/VOC!$E$25</f>
        <v>0</v>
      </c>
      <c r="J36" s="31">
        <f t="shared" si="5"/>
        <v>3.852202138551436E-2</v>
      </c>
      <c r="K36" s="175">
        <f t="shared" si="6"/>
        <v>0</v>
      </c>
      <c r="L36" s="39" t="str">
        <f>IFERROR(IF(MATCH(C36,TAPList!B:B,0)&gt;1,"Yes","No"),"No")</f>
        <v>Yes</v>
      </c>
      <c r="M36" s="81" t="s">
        <v>175</v>
      </c>
      <c r="N36" s="81">
        <f>IF($L36="No","-",INDEX(TAPList!$E:$E,MATCH('TAP Analysis'!$C36,TAPList!$B:$B,0),1))</f>
        <v>59</v>
      </c>
      <c r="O36" s="108" t="str">
        <f>IF($L36="No","-",INDEX(TAPList!$C:$C,MATCH('TAP Analysis'!$C36,TAPList!$B:$B,0),1))</f>
        <v>24-hr</v>
      </c>
      <c r="P36" s="73">
        <f>IF(L36="No","-",IF(O36="year",SUM(H36:K36)*2000,IF(O36="24-hr",SUM(H36:K36)*2000/365,IF(O36=1-hr,SUM(H36:K36)*2000/8760, "ERROR"))))</f>
        <v>0.2110795692356951</v>
      </c>
      <c r="Q36" s="116">
        <f t="shared" si="8"/>
        <v>3.5776198175541543E-3</v>
      </c>
      <c r="S36" s="15"/>
    </row>
    <row r="37" spans="2:19" x14ac:dyDescent="0.3">
      <c r="B37" s="81" t="str">
        <f>'Flux Density'!B34</f>
        <v>Formaldehyde</v>
      </c>
      <c r="C37" s="39" t="str">
        <f>'Flux Density'!C34</f>
        <v>50-00-0</v>
      </c>
      <c r="D37" s="31">
        <f>MAX('Flux Density'!D34:F34)</f>
        <v>0</v>
      </c>
      <c r="E37" s="92" t="s">
        <v>2009</v>
      </c>
      <c r="F37" s="31">
        <f>MAX('Flux Density'!J34:N34)</f>
        <v>27.004909983633389</v>
      </c>
      <c r="G37" s="32">
        <f>'Flux Density'!I34</f>
        <v>0</v>
      </c>
      <c r="H37" s="173">
        <f t="shared" si="4"/>
        <v>0</v>
      </c>
      <c r="I37" s="174">
        <f>H37*VOC!$D$25/VOC!$E$25</f>
        <v>0</v>
      </c>
      <c r="J37" s="31">
        <f t="shared" si="5"/>
        <v>0.25727992487367396</v>
      </c>
      <c r="K37" s="175">
        <f t="shared" si="6"/>
        <v>0</v>
      </c>
      <c r="L37" s="39" t="str">
        <f>IFERROR(IF(MATCH(C37,TAPList!B:B,0)&gt;1,"Yes","No"),"No")</f>
        <v>Yes</v>
      </c>
      <c r="M37" s="81" t="s">
        <v>175</v>
      </c>
      <c r="N37" s="81">
        <f>IF($L37="No","-",INDEX(TAPList!$E:$E,MATCH('TAP Analysis'!$C37,TAPList!$B:$B,0),1))</f>
        <v>27</v>
      </c>
      <c r="O37" s="108" t="str">
        <f>IF($L37="No","-",INDEX(TAPList!$C:$C,MATCH('TAP Analysis'!$C37,TAPList!$B:$B,0),1))</f>
        <v>year</v>
      </c>
      <c r="P37" s="73">
        <f>IF(L37="No","-",IF(O37="year",SUM(H37:K37)*2000,IF(O37="24-hr",SUM(H37:K37)*2000/365,IF(O37=1-hr,SUM(H37:K37)*2000/8760, "ERROR"))))</f>
        <v>514.55984974734793</v>
      </c>
      <c r="Q37" s="116">
        <f t="shared" si="8"/>
        <v>19.057772212864737</v>
      </c>
      <c r="S37" s="15"/>
    </row>
    <row r="38" spans="2:19" x14ac:dyDescent="0.3">
      <c r="B38" s="81" t="str">
        <f>'Flux Density'!B36</f>
        <v>Propionaldehyde</v>
      </c>
      <c r="C38" s="39" t="str">
        <f>'Flux Density'!C36</f>
        <v>123-38-6</v>
      </c>
      <c r="D38" s="31">
        <f>MAX('Flux Density'!D36:F36)</f>
        <v>0</v>
      </c>
      <c r="E38" s="92" t="s">
        <v>2009</v>
      </c>
      <c r="F38" s="31">
        <f>MAX('Flux Density'!J36:N36)</f>
        <v>94.10801963993454</v>
      </c>
      <c r="G38" s="32">
        <f>'Flux Density'!I36</f>
        <v>0</v>
      </c>
      <c r="H38" s="173">
        <f t="shared" si="4"/>
        <v>0</v>
      </c>
      <c r="I38" s="174">
        <f>H38*VOC!$D$25/VOC!$E$25</f>
        <v>0</v>
      </c>
      <c r="J38" s="31">
        <f t="shared" si="5"/>
        <v>0.89658155637795467</v>
      </c>
      <c r="K38" s="175">
        <f t="shared" si="6"/>
        <v>0</v>
      </c>
      <c r="L38" s="39" t="str">
        <f>IFERROR(IF(MATCH(C38,TAPList!B:B,0)&gt;1,"Yes","No"),"No")</f>
        <v>Yes</v>
      </c>
      <c r="M38" s="81" t="s">
        <v>175</v>
      </c>
      <c r="N38" s="81">
        <f>IF($L38="No","-",INDEX(TAPList!$E:$E,MATCH('TAP Analysis'!$C38,TAPList!$B:$B,0),1))</f>
        <v>0.59</v>
      </c>
      <c r="O38" s="108" t="str">
        <f>IF($L38="No","-",INDEX(TAPList!$C:$C,MATCH('TAP Analysis'!$C38,TAPList!$B:$B,0),1))</f>
        <v>24-hr</v>
      </c>
      <c r="P38" s="73">
        <f>IF(L38="No","-",IF(O38="year",SUM(H38:K38)*2000,IF(O38="24-hr",SUM(H38:K38)*2000/365,IF(O38=1-hr,SUM(H38:K38)*2000/8760, "ERROR"))))</f>
        <v>4.9127756513860534</v>
      </c>
      <c r="Q38" s="116">
        <f t="shared" si="8"/>
        <v>8.3267383921797524</v>
      </c>
      <c r="S38" s="15"/>
    </row>
    <row r="39" spans="2:19" x14ac:dyDescent="0.3">
      <c r="B39" s="81" t="str">
        <f>'Flux Density'!B37</f>
        <v>Butyraldehyde</v>
      </c>
      <c r="C39" s="39" t="str">
        <f>'Flux Density'!C37</f>
        <v>123-72-8</v>
      </c>
      <c r="D39" s="31">
        <f>MAX('Flux Density'!D37:F37)</f>
        <v>0</v>
      </c>
      <c r="E39" s="92" t="s">
        <v>2009</v>
      </c>
      <c r="F39" s="31">
        <f>MAX('Flux Density'!J37:N37)</f>
        <v>90.016366612111298</v>
      </c>
      <c r="G39" s="32">
        <f>'Flux Density'!I37</f>
        <v>0</v>
      </c>
      <c r="H39" s="173">
        <f t="shared" si="4"/>
        <v>0</v>
      </c>
      <c r="I39" s="174">
        <f>H39*VOC!$D$25/VOC!$E$25</f>
        <v>0</v>
      </c>
      <c r="J39" s="31">
        <f t="shared" si="5"/>
        <v>0.85759974957891338</v>
      </c>
      <c r="K39" s="175">
        <f t="shared" si="6"/>
        <v>0</v>
      </c>
      <c r="L39" s="39" t="str">
        <f>IFERROR(IF(MATCH(C39,TAPList!B:B,0)&gt;1,"Yes","No"),"No")</f>
        <v>No</v>
      </c>
      <c r="M39" s="81" t="s">
        <v>176</v>
      </c>
      <c r="N39" s="81" t="str">
        <f>IF($L39="No","-",INDEX(TAPList!$E:$E,MATCH('TAP Analysis'!$C39,TAPList!$B:$B,0),1))</f>
        <v>-</v>
      </c>
      <c r="O39" s="108" t="str">
        <f>IF($L39="No","-",INDEX(TAPList!$C:$C,MATCH('TAP Analysis'!$C39,TAPList!$B:$B,0),1))</f>
        <v>-</v>
      </c>
      <c r="P39" s="73" t="str">
        <f>IF(L39="No","-",IF(O39="year",SUM(H39:K39)*2000,IF(O39="24-hr",SUM(H39:K39)*2000/365,IF(O39=1-hr,SUM(H39:K39)*2000/8760, "ERROR"))))</f>
        <v>-</v>
      </c>
      <c r="Q39" s="116" t="str">
        <f t="shared" si="8"/>
        <v>-</v>
      </c>
      <c r="S39" s="15"/>
    </row>
    <row r="40" spans="2:19" x14ac:dyDescent="0.3">
      <c r="B40" s="81" t="str">
        <f>'Flux Density'!B38</f>
        <v>Benzaldehyde</v>
      </c>
      <c r="C40" s="39" t="str">
        <f>'Flux Density'!C38</f>
        <v>100-52-7</v>
      </c>
      <c r="D40" s="31">
        <f>MAX('Flux Density'!D38:F38)</f>
        <v>0</v>
      </c>
      <c r="E40" s="92" t="s">
        <v>2009</v>
      </c>
      <c r="F40" s="31">
        <f>MAX('Flux Density'!J38:N38)</f>
        <v>102.29132569558101</v>
      </c>
      <c r="G40" s="32">
        <f>'Flux Density'!I38</f>
        <v>0</v>
      </c>
      <c r="H40" s="173">
        <f t="shared" si="4"/>
        <v>0</v>
      </c>
      <c r="I40" s="174">
        <f>H40*VOC!$D$25/VOC!$E$25</f>
        <v>0</v>
      </c>
      <c r="J40" s="31">
        <f t="shared" si="5"/>
        <v>0.97454516997603768</v>
      </c>
      <c r="K40" s="175">
        <f t="shared" si="6"/>
        <v>0</v>
      </c>
      <c r="L40" s="39" t="str">
        <f>IFERROR(IF(MATCH(C40,TAPList!B:B,0)&gt;1,"Yes","No"),"No")</f>
        <v>No</v>
      </c>
      <c r="M40" s="81" t="s">
        <v>176</v>
      </c>
      <c r="N40" s="81" t="str">
        <f>IF($L40="No","-",INDEX(TAPList!$E:$E,MATCH('TAP Analysis'!$C40,TAPList!$B:$B,0),1))</f>
        <v>-</v>
      </c>
      <c r="O40" s="108" t="str">
        <f>IF($L40="No","-",INDEX(TAPList!$C:$C,MATCH('TAP Analysis'!$C40,TAPList!$B:$B,0),1))</f>
        <v>-</v>
      </c>
      <c r="P40" s="73" t="str">
        <f>IF(L40="No","-",IF(O40="year",SUM(H40:K40)*2000,IF(O40="24-hr",SUM(H40:K40)*2000/365,IF(O40=1-hr,SUM(H40:K40)*2000/8760, "ERROR"))))</f>
        <v>-</v>
      </c>
      <c r="Q40" s="116" t="str">
        <f t="shared" si="8"/>
        <v>-</v>
      </c>
      <c r="S40" s="15"/>
    </row>
    <row r="41" spans="2:19" x14ac:dyDescent="0.3">
      <c r="B41" s="81" t="str">
        <f>'Flux Density'!B39</f>
        <v>Isovaleraldehyde</v>
      </c>
      <c r="C41" s="39" t="str">
        <f>'Flux Density'!C39</f>
        <v>590-86-3</v>
      </c>
      <c r="D41" s="31">
        <f>MAX('Flux Density'!D39:F39)</f>
        <v>0</v>
      </c>
      <c r="E41" s="92" t="s">
        <v>2009</v>
      </c>
      <c r="F41" s="31">
        <f>MAX('Flux Density'!J39:N39)</f>
        <v>106.38297872340425</v>
      </c>
      <c r="G41" s="32">
        <f>'Flux Density'!I39</f>
        <v>0</v>
      </c>
      <c r="H41" s="173">
        <f t="shared" si="4"/>
        <v>0</v>
      </c>
      <c r="I41" s="174">
        <f>H41*VOC!$D$25/VOC!$E$25</f>
        <v>0</v>
      </c>
      <c r="J41" s="31">
        <f t="shared" si="5"/>
        <v>1.0135269767750792</v>
      </c>
      <c r="K41" s="175">
        <f t="shared" si="6"/>
        <v>0</v>
      </c>
      <c r="L41" s="39" t="str">
        <f>IFERROR(IF(MATCH(C41,TAPList!B:B,0)&gt;1,"Yes","No"),"No")</f>
        <v>No</v>
      </c>
      <c r="M41" s="81" t="s">
        <v>176</v>
      </c>
      <c r="N41" s="81" t="str">
        <f>IF($L41="No","-",INDEX(TAPList!$E:$E,MATCH('TAP Analysis'!$C41,TAPList!$B:$B,0),1))</f>
        <v>-</v>
      </c>
      <c r="O41" s="108" t="str">
        <f>IF($L41="No","-",INDEX(TAPList!$C:$C,MATCH('TAP Analysis'!$C41,TAPList!$B:$B,0),1))</f>
        <v>-</v>
      </c>
      <c r="P41" s="73" t="str">
        <f>IF(L41="No","-",IF(O41="year",SUM(H41:K41)*2000,IF(O41="24-hr",SUM(H41:K41)*2000/365,IF(O41=1-hr,SUM(H41:K41)*2000/8760, "ERROR"))))</f>
        <v>-</v>
      </c>
      <c r="Q41" s="116" t="str">
        <f t="shared" si="8"/>
        <v>-</v>
      </c>
      <c r="S41" s="15"/>
    </row>
    <row r="42" spans="2:19" x14ac:dyDescent="0.3">
      <c r="B42" s="81" t="str">
        <f>'Flux Density'!B40</f>
        <v>Valeraldehyde</v>
      </c>
      <c r="C42" s="39" t="str">
        <f>'Flux Density'!C40</f>
        <v>110-62-3</v>
      </c>
      <c r="D42" s="31">
        <f>MAX('Flux Density'!D40:F40)</f>
        <v>0</v>
      </c>
      <c r="E42" s="92" t="s">
        <v>2009</v>
      </c>
      <c r="F42" s="31">
        <f>MAX('Flux Density'!J40:N40)</f>
        <v>2.7004909983633389</v>
      </c>
      <c r="G42" s="32">
        <f>'Flux Density'!I40</f>
        <v>0</v>
      </c>
      <c r="H42" s="173">
        <f t="shared" si="4"/>
        <v>0</v>
      </c>
      <c r="I42" s="174">
        <f>H42*VOC!$D$25/VOC!$E$25</f>
        <v>0</v>
      </c>
      <c r="J42" s="31">
        <f t="shared" si="5"/>
        <v>2.5727992487367398E-2</v>
      </c>
      <c r="K42" s="175">
        <f t="shared" si="6"/>
        <v>0</v>
      </c>
      <c r="L42" s="39" t="str">
        <f>IFERROR(IF(MATCH(C42,TAPList!B:B,0)&gt;1,"Yes","No"),"No")</f>
        <v>No</v>
      </c>
      <c r="M42" s="81" t="s">
        <v>176</v>
      </c>
      <c r="N42" s="81" t="str">
        <f>IF($L42="No","-",INDEX(TAPList!$E:$E,MATCH('TAP Analysis'!$C42,TAPList!$B:$B,0),1))</f>
        <v>-</v>
      </c>
      <c r="O42" s="108" t="str">
        <f>IF($L42="No","-",INDEX(TAPList!$C:$C,MATCH('TAP Analysis'!$C42,TAPList!$B:$B,0),1))</f>
        <v>-</v>
      </c>
      <c r="P42" s="73" t="str">
        <f>IF(L42="No","-",IF(O42="year",SUM(H42:K42)*2000,IF(O42="24-hr",SUM(H42:K42)*2000/365,IF(O42=1-hr,SUM(H42:K42)*2000/8760, "ERROR"))))</f>
        <v>-</v>
      </c>
      <c r="Q42" s="116" t="str">
        <f t="shared" si="8"/>
        <v>-</v>
      </c>
      <c r="S42" s="15"/>
    </row>
    <row r="43" spans="2:19" x14ac:dyDescent="0.3">
      <c r="B43" s="81" t="str">
        <f>'Flux Density'!B41</f>
        <v>o-Tolualdehyde</v>
      </c>
      <c r="C43" s="39" t="str">
        <f>'Flux Density'!C41</f>
        <v>529-20-4</v>
      </c>
      <c r="D43" s="31">
        <f>MAX('Flux Density'!D41:F41)</f>
        <v>0</v>
      </c>
      <c r="E43" s="92" t="s">
        <v>2009</v>
      </c>
      <c r="F43" s="31">
        <f>MAX('Flux Density'!J41:N41)</f>
        <v>5.3191489361702127</v>
      </c>
      <c r="G43" s="32">
        <f>'Flux Density'!I41</f>
        <v>0</v>
      </c>
      <c r="H43" s="173">
        <f t="shared" si="4"/>
        <v>0</v>
      </c>
      <c r="I43" s="174">
        <f>H43*VOC!$D$25/VOC!$E$25</f>
        <v>0</v>
      </c>
      <c r="J43" s="31">
        <f t="shared" si="5"/>
        <v>5.0676348838753965E-2</v>
      </c>
      <c r="K43" s="175">
        <f t="shared" si="6"/>
        <v>0</v>
      </c>
      <c r="L43" s="39" t="str">
        <f>IFERROR(IF(MATCH(C43,TAPList!B:B,0)&gt;1,"Yes","No"),"No")</f>
        <v>No</v>
      </c>
      <c r="M43" s="81" t="s">
        <v>176</v>
      </c>
      <c r="N43" s="81" t="str">
        <f>IF($L43="No","-",INDEX(TAPList!$E:$E,MATCH('TAP Analysis'!$C43,TAPList!$B:$B,0),1))</f>
        <v>-</v>
      </c>
      <c r="O43" s="108" t="str">
        <f>IF($L43="No","-",INDEX(TAPList!$C:$C,MATCH('TAP Analysis'!$C43,TAPList!$B:$B,0),1))</f>
        <v>-</v>
      </c>
      <c r="P43" s="73" t="str">
        <f>IF(L43="No","-",IF(O43="year",SUM(H43:K43)*2000,IF(O43="24-hr",SUM(H43:K43)*2000/365,IF(O43=1-hr,SUM(H43:K43)*2000/8760, "ERROR"))))</f>
        <v>-</v>
      </c>
      <c r="Q43" s="116" t="str">
        <f t="shared" si="8"/>
        <v>-</v>
      </c>
      <c r="S43" s="15"/>
    </row>
    <row r="44" spans="2:19" x14ac:dyDescent="0.3">
      <c r="B44" s="81" t="str">
        <f>'Flux Density'!B42</f>
        <v>n-Hexaldehyde</v>
      </c>
      <c r="C44" s="39" t="str">
        <f>'Flux Density'!C42</f>
        <v>66-25-1</v>
      </c>
      <c r="D44" s="31">
        <f>MAX('Flux Density'!D42:F42)</f>
        <v>0</v>
      </c>
      <c r="E44" s="92" t="s">
        <v>2009</v>
      </c>
      <c r="F44" s="31">
        <f>MAX('Flux Density'!J42:N42)</f>
        <v>9.4108019639934533</v>
      </c>
      <c r="G44" s="32">
        <f>'Flux Density'!I42</f>
        <v>0</v>
      </c>
      <c r="H44" s="173">
        <f t="shared" si="4"/>
        <v>0</v>
      </c>
      <c r="I44" s="174">
        <f>H44*VOC!$D$25/VOC!$E$25</f>
        <v>0</v>
      </c>
      <c r="J44" s="31">
        <f t="shared" si="5"/>
        <v>8.9658155637795459E-2</v>
      </c>
      <c r="K44" s="175">
        <f t="shared" si="6"/>
        <v>0</v>
      </c>
      <c r="L44" s="39" t="str">
        <f>IFERROR(IF(MATCH(C44,TAPList!B:B,0)&gt;1,"Yes","No"),"No")</f>
        <v>No</v>
      </c>
      <c r="M44" s="81" t="s">
        <v>176</v>
      </c>
      <c r="N44" s="81" t="str">
        <f>IF($L44="No","-",INDEX(TAPList!$E:$E,MATCH('TAP Analysis'!$C44,TAPList!$B:$B,0),1))</f>
        <v>-</v>
      </c>
      <c r="O44" s="108" t="str">
        <f>IF($L44="No","-",INDEX(TAPList!$C:$C,MATCH('TAP Analysis'!$C44,TAPList!$B:$B,0),1))</f>
        <v>-</v>
      </c>
      <c r="P44" s="73" t="str">
        <f>IF(L44="No","-",IF(O44="year",SUM(H44:K44)*2000,IF(O44="24-hr",SUM(H44:K44)*2000/365,IF(O44=1-hr,SUM(H44:K44)*2000/8760, "ERROR"))))</f>
        <v>-</v>
      </c>
      <c r="Q44" s="116" t="str">
        <f t="shared" si="8"/>
        <v>-</v>
      </c>
      <c r="S44" s="15"/>
    </row>
    <row r="45" spans="2:19" x14ac:dyDescent="0.3">
      <c r="B45" s="81" t="str">
        <f>'Flux Density'!B43</f>
        <v>2,5-Dimethylbenzaldehyde</v>
      </c>
      <c r="C45" s="39" t="str">
        <f>'Flux Density'!C43</f>
        <v>5779-94-2</v>
      </c>
      <c r="D45" s="31">
        <f>MAX('Flux Density'!D43:F43)</f>
        <v>0</v>
      </c>
      <c r="E45" s="92" t="s">
        <v>2009</v>
      </c>
      <c r="F45" s="31">
        <f>MAX('Flux Density'!J43:N43)</f>
        <v>0.38461538461538464</v>
      </c>
      <c r="G45" s="32">
        <f>'Flux Density'!I43</f>
        <v>0</v>
      </c>
      <c r="H45" s="173">
        <f t="shared" si="4"/>
        <v>0</v>
      </c>
      <c r="I45" s="174">
        <f>H45*VOC!$D$25/VOC!$E$25</f>
        <v>0</v>
      </c>
      <c r="J45" s="31">
        <f t="shared" si="5"/>
        <v>3.6642898391099016E-3</v>
      </c>
      <c r="K45" s="175">
        <f t="shared" si="6"/>
        <v>0</v>
      </c>
      <c r="L45" s="39" t="str">
        <f>IFERROR(IF(MATCH(C45,TAPList!B:B,0)&gt;1,"Yes","No"),"No")</f>
        <v>No</v>
      </c>
      <c r="M45" s="81" t="s">
        <v>176</v>
      </c>
      <c r="N45" s="82" t="str">
        <f>IF($L45="No","-",INDEX(TAPList!$E:$E,MATCH('TAP Analysis'!$C45,TAPList!$B:$B,0),1))</f>
        <v>-</v>
      </c>
      <c r="O45" s="109" t="str">
        <f>IF($L45="No","-",INDEX(TAPList!$C:$C,MATCH('TAP Analysis'!$C45,TAPList!$B:$B,0),1))</f>
        <v>-</v>
      </c>
      <c r="P45" s="73" t="str">
        <f>IF(L45="No","-",IF(O45="year",SUM(H45:K45)*2000,IF(O45="24-hr",SUM(H45:K45)*2000/365,IF(O45=1-hr,SUM(H45:K45)*2000/8760, "ERROR"))))</f>
        <v>-</v>
      </c>
      <c r="Q45" s="117" t="str">
        <f t="shared" si="8"/>
        <v>-</v>
      </c>
      <c r="S45" s="15"/>
    </row>
    <row r="46" spans="2:19" s="15" customFormat="1" ht="16.2" x14ac:dyDescent="0.3">
      <c r="B46" s="96" t="s">
        <v>2015</v>
      </c>
      <c r="C46" s="38" t="s">
        <v>161</v>
      </c>
      <c r="D46" s="97" t="s">
        <v>2009</v>
      </c>
      <c r="E46" s="98" t="s">
        <v>2009</v>
      </c>
      <c r="F46" s="97" t="s">
        <v>2009</v>
      </c>
      <c r="G46" s="99" t="s">
        <v>2009</v>
      </c>
      <c r="H46" s="100">
        <f>(SUM(VOC!$E$26-VOC!$E$25,VOC!$G$26-VOC!$G$25)/2000*0.1279)</f>
        <v>1.4694271125000014</v>
      </c>
      <c r="I46" s="29">
        <f>(VOC!$D$26-VOC!$D$25)/2000*0.1279</f>
        <v>0.12302381250000002</v>
      </c>
      <c r="J46" s="29">
        <f>(VOC!$F$26-VOC!$F$25)/2000*0.1279</f>
        <v>2.7338624999999994</v>
      </c>
      <c r="K46" s="99" t="s">
        <v>2009</v>
      </c>
      <c r="L46" s="38" t="str">
        <f>IFERROR(IF(MATCH(C46,TAPList!B:B,0)&gt;1,"Yes","No"),"No")</f>
        <v>Yes</v>
      </c>
      <c r="M46" s="38" t="s">
        <v>175</v>
      </c>
      <c r="N46" s="101">
        <f>IF($L46="No","-",INDEX(TAPList!$E:$E,MATCH('TAP Analysis'!$C46,TAPList!$B:$B,0),1))</f>
        <v>1500</v>
      </c>
      <c r="O46" s="101" t="str">
        <f>IF($L46="No","-",INDEX(TAPList!$C:$C,MATCH('TAP Analysis'!$C46,TAPList!$B:$B,0),1))</f>
        <v>24-hr</v>
      </c>
      <c r="P46" s="153">
        <f>IF(L46="No","-",IF(O46="year",SUM(H46:K46)*2000,IF(O46="24-hr",SUM(H46:K46)*2000/365,IF(O46=1-hr,SUM(H46:K46)*2000/8760, "ERROR"))))</f>
        <v>23.705826986301371</v>
      </c>
      <c r="Q46" s="102">
        <f t="shared" si="8"/>
        <v>1.5803884657534246E-2</v>
      </c>
    </row>
    <row r="47" spans="2:19" ht="16.2" x14ac:dyDescent="0.3">
      <c r="B47" s="103" t="s">
        <v>2016</v>
      </c>
      <c r="C47" s="40" t="s">
        <v>142</v>
      </c>
      <c r="D47" s="104" t="s">
        <v>2009</v>
      </c>
      <c r="E47" s="93" t="s">
        <v>2009</v>
      </c>
      <c r="F47" s="104" t="s">
        <v>2009</v>
      </c>
      <c r="G47" s="105" t="s">
        <v>2009</v>
      </c>
      <c r="H47" s="91">
        <f>H46/0.1279*0.0014</f>
        <v>1.6084425000000013E-2</v>
      </c>
      <c r="I47" s="95">
        <f t="shared" ref="I47:J47" si="9">I46/0.1279*0.0014</f>
        <v>1.3466249999999999E-3</v>
      </c>
      <c r="J47" s="95">
        <f t="shared" si="9"/>
        <v>2.992499999999999E-2</v>
      </c>
      <c r="K47" s="105" t="s">
        <v>2009</v>
      </c>
      <c r="L47" s="40" t="str">
        <f>IFERROR(IF(MATCH(C47,TAPList!B:B,0)&gt;1,"Yes","No"),"No")</f>
        <v>Yes</v>
      </c>
      <c r="M47" s="40" t="s">
        <v>175</v>
      </c>
      <c r="N47" s="83">
        <f>IF($L47="No","-",INDEX(TAPList!$E:$E,MATCH('TAP Analysis'!$C47,TAPList!$B:$B,0),1))</f>
        <v>60</v>
      </c>
      <c r="O47" s="83" t="str">
        <f>IF($L47="No","-",INDEX(TAPList!$C:$C,MATCH('TAP Analysis'!$C47,TAPList!$B:$B,0),1))</f>
        <v>year</v>
      </c>
      <c r="P47" s="154">
        <f>IF(L47="No","-",IF(O47="year",SUM(H47:K47)*2000,IF(O47="24-hr",SUM(H47:K47)*2000/365,IF(O47=1-hr,SUM(H47:K47)*2000/8760, "ERROR"))))</f>
        <v>94.712100000000007</v>
      </c>
      <c r="Q47" s="106">
        <f t="shared" si="8"/>
        <v>1.578535</v>
      </c>
      <c r="S47" s="15"/>
    </row>
    <row r="48" spans="2:19" s="15" customFormat="1" x14ac:dyDescent="0.3">
      <c r="B48" s="148" t="s">
        <v>169</v>
      </c>
      <c r="C48" s="147" t="s">
        <v>168</v>
      </c>
      <c r="D48" s="149" t="s">
        <v>2009</v>
      </c>
      <c r="E48" s="150" t="s">
        <v>2009</v>
      </c>
      <c r="F48" s="151" t="s">
        <v>2009</v>
      </c>
      <c r="G48" s="152" t="s">
        <v>2009</v>
      </c>
      <c r="H48" s="156">
        <f>SUM('NH3'!E25-'NH3'!E24,'NH3'!G25-'NH3'!G24)/2000</f>
        <v>5.5714499999999987</v>
      </c>
      <c r="I48" s="35">
        <f>('NH3'!D25-'NH3'!D24)/2000</f>
        <v>0.24921750000000004</v>
      </c>
      <c r="J48" s="35">
        <f>('NH3'!F25-'NH3'!F24)/2000</f>
        <v>11.362500000000002</v>
      </c>
      <c r="K48" s="152" t="s">
        <v>2009</v>
      </c>
      <c r="L48" s="40" t="str">
        <f>IFERROR(IF(MATCH(C48,TAPList!B:B,0)&gt;1,"Yes","No"),"No")</f>
        <v>Yes</v>
      </c>
      <c r="M48" s="40" t="s">
        <v>176</v>
      </c>
      <c r="N48" s="83">
        <f>IF($L48="No","-",INDEX(TAPList!$E:$E,MATCH('TAP Analysis'!$C48,TAPList!$B:$B,0),1))</f>
        <v>37</v>
      </c>
      <c r="O48" s="83" t="str">
        <f>IF($L48="No","-",INDEX(TAPList!$C:$C,MATCH('TAP Analysis'!$C48,TAPList!$B:$B,0),1))</f>
        <v>24-hr</v>
      </c>
      <c r="P48" s="154">
        <f>IF(L48="No","-",IF(O48="year",SUM(H48:K48)*2000,IF(O48="24-hr",SUM(H48:K48)*2000/365,IF(O48=1-hr,SUM(H48:K48)*2000/8760, "ERROR"))))</f>
        <v>94.154342465753444</v>
      </c>
      <c r="Q48" s="106">
        <f t="shared" ref="Q48" si="10">IF(L48="No","-",P48/N48)</f>
        <v>2.5447119585338767</v>
      </c>
    </row>
    <row r="49" spans="2:11" s="41" customFormat="1" ht="25.95" customHeight="1" x14ac:dyDescent="0.3">
      <c r="B49" s="201" t="s">
        <v>2092</v>
      </c>
      <c r="C49" s="201"/>
      <c r="D49" s="201"/>
      <c r="E49" s="201"/>
      <c r="F49" s="201"/>
      <c r="G49" s="201"/>
      <c r="H49" s="201"/>
      <c r="I49" s="201"/>
      <c r="J49" s="201"/>
      <c r="K49" s="201"/>
    </row>
    <row r="50" spans="2:11" ht="26.55" customHeight="1" x14ac:dyDescent="0.3">
      <c r="B50" s="202" t="s">
        <v>2017</v>
      </c>
      <c r="C50" s="202"/>
      <c r="D50" s="202"/>
      <c r="E50" s="202"/>
      <c r="F50" s="202"/>
      <c r="G50" s="202"/>
      <c r="H50" s="202"/>
      <c r="I50" s="202"/>
      <c r="J50" s="202"/>
      <c r="K50" s="202"/>
    </row>
    <row r="51" spans="2:11" x14ac:dyDescent="0.3">
      <c r="B51" s="23"/>
      <c r="C51" s="23"/>
    </row>
    <row r="52" spans="2:11" x14ac:dyDescent="0.3">
      <c r="B52" s="23"/>
      <c r="C52" s="23"/>
      <c r="K52" s="26"/>
    </row>
    <row r="53" spans="2:11" x14ac:dyDescent="0.3">
      <c r="B53" s="23"/>
      <c r="C53" s="23"/>
    </row>
    <row r="54" spans="2:11" x14ac:dyDescent="0.3">
      <c r="B54" s="23"/>
      <c r="C54" s="23"/>
    </row>
  </sheetData>
  <autoFilter ref="B8:R50" xr:uid="{00000000-0009-0000-0000-000004000000}"/>
  <mergeCells count="4">
    <mergeCell ref="D7:G7"/>
    <mergeCell ref="H7:K7"/>
    <mergeCell ref="B49:K49"/>
    <mergeCell ref="B50:K50"/>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I12"/>
  <sheetViews>
    <sheetView workbookViewId="0">
      <selection activeCell="B10" sqref="B10"/>
    </sheetView>
  </sheetViews>
  <sheetFormatPr defaultRowHeight="14.4" x14ac:dyDescent="0.3"/>
  <cols>
    <col min="2" max="2" width="22" customWidth="1"/>
    <col min="3" max="3" width="14.21875" customWidth="1"/>
    <col min="4" max="4" width="14.109375" customWidth="1"/>
    <col min="5" max="5" width="14.109375" style="15" customWidth="1"/>
    <col min="6" max="6" width="13.5546875" customWidth="1"/>
    <col min="7" max="7" width="16.21875" customWidth="1"/>
    <col min="8" max="8" width="12.33203125" customWidth="1"/>
    <col min="9" max="9" width="13.21875" customWidth="1"/>
  </cols>
  <sheetData>
    <row r="4" spans="2:9" x14ac:dyDescent="0.3">
      <c r="B4" s="79"/>
      <c r="C4" s="79"/>
      <c r="D4" s="107" t="s">
        <v>2096</v>
      </c>
      <c r="E4" s="110" t="s">
        <v>2097</v>
      </c>
      <c r="F4" s="160" t="s">
        <v>2012</v>
      </c>
      <c r="G4" s="110" t="s">
        <v>2094</v>
      </c>
      <c r="H4" s="203" t="s">
        <v>2098</v>
      </c>
      <c r="I4" s="203" t="s">
        <v>2099</v>
      </c>
    </row>
    <row r="5" spans="2:9" ht="16.2" x14ac:dyDescent="0.3">
      <c r="B5" s="80" t="s">
        <v>1980</v>
      </c>
      <c r="C5" s="80" t="s">
        <v>1981</v>
      </c>
      <c r="D5" s="112" t="s">
        <v>2095</v>
      </c>
      <c r="E5" s="114" t="s">
        <v>2095</v>
      </c>
      <c r="F5" s="113" t="s">
        <v>2013</v>
      </c>
      <c r="G5" s="112" t="s">
        <v>2095</v>
      </c>
      <c r="H5" s="204"/>
      <c r="I5" s="204"/>
    </row>
    <row r="6" spans="2:9" x14ac:dyDescent="0.3">
      <c r="B6" s="81" t="s">
        <v>74</v>
      </c>
      <c r="C6" s="39" t="s">
        <v>73</v>
      </c>
      <c r="D6" s="81">
        <v>5.8799999999999998E-3</v>
      </c>
      <c r="E6" s="174">
        <v>3.3000000000000002E-2</v>
      </c>
      <c r="F6" s="108" t="s">
        <v>1465</v>
      </c>
      <c r="G6" s="195">
        <v>3.3999999999999998E-3</v>
      </c>
      <c r="H6" s="116">
        <f t="shared" ref="H6:H10" si="0">$G6/D6</f>
        <v>0.57823129251700678</v>
      </c>
      <c r="I6" s="116">
        <f t="shared" ref="I6:I10" si="1">$G6/E6</f>
        <v>0.10303030303030301</v>
      </c>
    </row>
    <row r="7" spans="2:9" x14ac:dyDescent="0.3">
      <c r="B7" s="81" t="s">
        <v>88</v>
      </c>
      <c r="C7" s="39" t="s">
        <v>87</v>
      </c>
      <c r="D7" s="81">
        <v>3.4500000000000003E-2</v>
      </c>
      <c r="E7" s="174">
        <v>0.13</v>
      </c>
      <c r="F7" s="108" t="s">
        <v>1465</v>
      </c>
      <c r="G7" s="31">
        <v>2.3709999999999998E-2</v>
      </c>
      <c r="H7" s="116">
        <f t="shared" si="0"/>
        <v>0.68724637681159406</v>
      </c>
      <c r="I7" s="116">
        <f t="shared" si="1"/>
        <v>0.18238461538461537</v>
      </c>
    </row>
    <row r="8" spans="2:9" x14ac:dyDescent="0.3">
      <c r="B8" s="81" t="s">
        <v>141</v>
      </c>
      <c r="C8" s="39" t="s">
        <v>140</v>
      </c>
      <c r="D8" s="81">
        <v>0.16700000000000001</v>
      </c>
      <c r="E8" s="174">
        <v>0.17</v>
      </c>
      <c r="F8" s="108" t="s">
        <v>1465</v>
      </c>
      <c r="G8" s="31">
        <v>0.15709999999999999</v>
      </c>
      <c r="H8" s="116">
        <f t="shared" si="0"/>
        <v>0.94071856287425137</v>
      </c>
      <c r="I8" s="116">
        <f t="shared" si="1"/>
        <v>0.92411764705882338</v>
      </c>
    </row>
    <row r="9" spans="2:9" x14ac:dyDescent="0.3">
      <c r="B9" s="81" t="s">
        <v>145</v>
      </c>
      <c r="C9" s="39" t="s">
        <v>144</v>
      </c>
      <c r="D9" s="193" t="s">
        <v>2100</v>
      </c>
      <c r="E9" s="174">
        <v>8</v>
      </c>
      <c r="F9" s="108" t="s">
        <v>1466</v>
      </c>
      <c r="G9" s="31">
        <v>4.0021800000000001</v>
      </c>
      <c r="H9" s="194" t="s">
        <v>2100</v>
      </c>
      <c r="I9" s="116">
        <f t="shared" si="1"/>
        <v>0.50027250000000001</v>
      </c>
    </row>
    <row r="10" spans="2:9" x14ac:dyDescent="0.3">
      <c r="B10" s="81" t="s">
        <v>143</v>
      </c>
      <c r="C10" s="39" t="s">
        <v>142</v>
      </c>
      <c r="D10" s="81">
        <v>0.37</v>
      </c>
      <c r="E10" s="174">
        <v>0.37</v>
      </c>
      <c r="F10" s="108" t="s">
        <v>1465</v>
      </c>
      <c r="G10" s="31">
        <v>3.7010000000000001E-2</v>
      </c>
      <c r="H10" s="116">
        <f t="shared" si="0"/>
        <v>0.10002702702702704</v>
      </c>
      <c r="I10" s="116">
        <f t="shared" si="1"/>
        <v>0.10002702702702704</v>
      </c>
    </row>
    <row r="11" spans="2:9" x14ac:dyDescent="0.3">
      <c r="B11" s="82" t="s">
        <v>169</v>
      </c>
      <c r="C11" s="40" t="s">
        <v>168</v>
      </c>
      <c r="D11" s="82">
        <v>70.8</v>
      </c>
      <c r="E11" s="191">
        <v>500</v>
      </c>
      <c r="F11" s="109" t="s">
        <v>1466</v>
      </c>
      <c r="G11" s="33">
        <v>51.651949999999999</v>
      </c>
      <c r="H11" s="117">
        <f>$G11/D11</f>
        <v>0.7295473163841808</v>
      </c>
      <c r="I11" s="117">
        <f>$G11/E11</f>
        <v>0.1033039</v>
      </c>
    </row>
    <row r="12" spans="2:9" x14ac:dyDescent="0.3">
      <c r="C12" s="180"/>
    </row>
  </sheetData>
  <mergeCells count="2">
    <mergeCell ref="H4:H5"/>
    <mergeCell ref="I4:I5"/>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6"/>
  <sheetViews>
    <sheetView workbookViewId="0">
      <selection activeCell="A9" sqref="A9:XFD9"/>
    </sheetView>
  </sheetViews>
  <sheetFormatPr defaultRowHeight="14.4" x14ac:dyDescent="0.3"/>
  <cols>
    <col min="2" max="2" width="25.33203125" customWidth="1"/>
    <col min="3" max="3" width="16.21875" customWidth="1"/>
    <col min="4" max="4" width="12" customWidth="1"/>
    <col min="5" max="5" width="14.21875" customWidth="1"/>
    <col min="6" max="6" width="15.44140625" customWidth="1"/>
    <col min="7" max="7" width="13.33203125" customWidth="1"/>
    <col min="10" max="10" width="11.21875" customWidth="1"/>
    <col min="11" max="11" width="12.109375" customWidth="1"/>
    <col min="12" max="12" width="10.21875" customWidth="1"/>
    <col min="13" max="14" width="10.44140625" customWidth="1"/>
  </cols>
  <sheetData>
    <row r="1" spans="1:14" x14ac:dyDescent="0.3">
      <c r="A1" s="70"/>
      <c r="B1" s="70"/>
      <c r="C1" s="70"/>
      <c r="D1" s="70"/>
      <c r="E1" s="70"/>
      <c r="F1" s="71"/>
      <c r="G1" s="70"/>
      <c r="H1" s="70"/>
      <c r="I1" s="70"/>
    </row>
    <row r="2" spans="1:14" s="15" customFormat="1" x14ac:dyDescent="0.3">
      <c r="A2" s="70"/>
      <c r="B2" s="144" t="s">
        <v>1983</v>
      </c>
      <c r="C2" s="131">
        <v>0.13</v>
      </c>
      <c r="D2" s="70"/>
      <c r="E2" s="70"/>
      <c r="F2" s="71"/>
      <c r="G2" s="70"/>
      <c r="H2" s="70"/>
      <c r="I2" s="70"/>
    </row>
    <row r="3" spans="1:14" s="15" customFormat="1" x14ac:dyDescent="0.3">
      <c r="A3" s="70"/>
      <c r="B3" s="145" t="s">
        <v>1982</v>
      </c>
      <c r="C3" s="136">
        <f>5/1000</f>
        <v>5.0000000000000001E-3</v>
      </c>
      <c r="D3" s="70"/>
      <c r="E3" s="70"/>
      <c r="F3" s="71"/>
      <c r="G3" s="70"/>
      <c r="H3" s="70"/>
      <c r="I3" s="70"/>
    </row>
    <row r="4" spans="1:14" ht="16.2" x14ac:dyDescent="0.3">
      <c r="B4" s="141"/>
      <c r="C4" s="79"/>
      <c r="D4" s="199" t="s">
        <v>2090</v>
      </c>
      <c r="E4" s="199"/>
      <c r="F4" s="199"/>
      <c r="G4" s="199"/>
      <c r="H4" s="199"/>
      <c r="I4" s="199"/>
      <c r="J4" s="199"/>
      <c r="K4" s="199"/>
      <c r="L4" s="199"/>
      <c r="M4" s="199"/>
      <c r="N4" s="200"/>
    </row>
    <row r="5" spans="1:14" s="21" customFormat="1" ht="30.45" customHeight="1" x14ac:dyDescent="0.3">
      <c r="B5" s="76" t="s">
        <v>1980</v>
      </c>
      <c r="C5" s="80" t="s">
        <v>1981</v>
      </c>
      <c r="D5" s="77" t="s">
        <v>47</v>
      </c>
      <c r="E5" s="142" t="s">
        <v>48</v>
      </c>
      <c r="F5" s="142" t="s">
        <v>49</v>
      </c>
      <c r="G5" s="77" t="s">
        <v>50</v>
      </c>
      <c r="H5" s="77" t="s">
        <v>51</v>
      </c>
      <c r="I5" s="77" t="s">
        <v>52</v>
      </c>
      <c r="J5" s="142" t="s">
        <v>1989</v>
      </c>
      <c r="K5" s="142" t="s">
        <v>1990</v>
      </c>
      <c r="L5" s="142" t="s">
        <v>1991</v>
      </c>
      <c r="M5" s="142" t="s">
        <v>1992</v>
      </c>
      <c r="N5" s="143" t="s">
        <v>1993</v>
      </c>
    </row>
    <row r="6" spans="1:14" x14ac:dyDescent="0.3">
      <c r="B6" s="139" t="str">
        <f>'EcologyLenzTests - MAXIMUM'!B5</f>
        <v>Propene</v>
      </c>
      <c r="C6" s="39" t="str">
        <f>INDEX('EcologyLenzTests - MAXIMUM'!A:A,MATCH('Flux Density'!B6,'EcologyLenzTests - MAXIMUM'!B:B,0),1)</f>
        <v>115-07-1</v>
      </c>
      <c r="D6" s="31">
        <f>INDEX('EcologyLenzTests - MAXIMUM'!C:C,MATCH('Flux Density'!$C6,'EcologyLenzTests - MAXIMUM'!$A:$A,0),1)*$C$3*(10/INDEX('% He'!$E$3:$E$14,MATCH('Flux Density'!D$5,'% He'!$C$3:$C$14,0),1))/$C$2</f>
        <v>115.3846153846154</v>
      </c>
      <c r="E6" s="31">
        <f>INDEX('EcologyLenzTests - MAXIMUM'!D:D,MATCH('Flux Density'!$C6,'EcologyLenzTests - MAXIMUM'!$A:$A,0),1)*$C$3*(10/INDEX('% He'!$E$3:$E$14,MATCH('Flux Density'!E$5,'% He'!$C$3:$C$14,0),1))/$C$2</f>
        <v>45.826513911620296</v>
      </c>
      <c r="F6" s="31">
        <f>INDEX('EcologyLenzTests - MAXIMUM'!E:E,MATCH('Flux Density'!$C6,'EcologyLenzTests - MAXIMUM'!$A:$A,0),1)*$C$3*(10/INDEX('% He'!$E$3:$E$14,MATCH('Flux Density'!F$5,'% He'!$C$3:$C$14,0),1))/$C$2</f>
        <v>39.969834087481146</v>
      </c>
      <c r="G6" s="31">
        <f>INDEX('EcologyLenzTests - MAXIMUM'!F:F,MATCH('Flux Density'!$C6,'EcologyLenzTests - MAXIMUM'!$A:$A,0),1)*$C$3*(10/INDEX('% He'!$E$3:$E$14,MATCH('Flux Density'!G$5,'% He'!$C$3:$C$14,0),1))/$C$2</f>
        <v>459.05707196029778</v>
      </c>
      <c r="H6" s="31">
        <f>INDEX('EcologyLenzTests - MAXIMUM'!G:G,MATCH('Flux Density'!$C6,'EcologyLenzTests - MAXIMUM'!$A:$A,0),1)*$C$3*(10/INDEX('% He'!$E$3:$E$14,MATCH('Flux Density'!H$5,'% He'!$C$3:$C$14,0),1))/$C$2</f>
        <v>0.55183946488294322</v>
      </c>
      <c r="I6" s="31">
        <f>INDEX('EcologyLenzTests - MAXIMUM'!H:H,MATCH('Flux Density'!$C6,'EcologyLenzTests - MAXIMUM'!$A:$A,0),1)*$C$3*(10/INDEX('% He'!$E$3:$E$14,MATCH('Flux Density'!I$5,'% He'!$C$3:$C$14,0),1))/$C$2</f>
        <v>1.3133208255159476</v>
      </c>
      <c r="J6" s="31">
        <f>INDEX('EcologyLenzTests - MAXIMUM'!I:I,MATCH('Flux Density'!$C6,'EcologyLenzTests - MAXIMUM'!$A:$A,0),1)*$C$3*(10/INDEX('% He'!$E$3:$E$14,MATCH('Flux Density'!J$5,'% He'!$C$3:$C$14,0),1))/$C$2</f>
        <v>8.9330024813895772</v>
      </c>
      <c r="K6" s="31">
        <f>INDEX('EcologyLenzTests - MAXIMUM'!J:J,MATCH('Flux Density'!$C6,'EcologyLenzTests - MAXIMUM'!$A:$A,0),1)*$C$3*(10/INDEX('% He'!$E$3:$E$14,MATCH('Flux Density'!K$5,'% He'!$C$3:$C$14,0),1))/$C$2</f>
        <v>7.5384615384615383</v>
      </c>
      <c r="L6" s="31">
        <f>INDEX('EcologyLenzTests - MAXIMUM'!K:K,MATCH('Flux Density'!$C6,'EcologyLenzTests - MAXIMUM'!$A:$A,0),1)*$C$3*(10/INDEX('% He'!$E$3:$E$14,MATCH('Flux Density'!L$5,'% He'!$C$3:$C$14,0),1))/$C$2</f>
        <v>493.09664694280076</v>
      </c>
      <c r="M6" s="31">
        <f>INDEX('EcologyLenzTests - MAXIMUM'!L:L,MATCH('Flux Density'!$C6,'EcologyLenzTests - MAXIMUM'!$A:$A,0),1)*$C$3*(10/INDEX('% He'!$E$3:$E$14,MATCH('Flux Density'!M$5,'% He'!$C$3:$C$14,0),1))/$C$2</f>
        <v>172.06477732793525</v>
      </c>
      <c r="N6" s="32">
        <f>INDEX('EcologyLenzTests - MAXIMUM'!M:M,MATCH('Flux Density'!$C6,'EcologyLenzTests - MAXIMUM'!$A:$A,0),1)*$C$3*(10/INDEX('% He'!$E$3:$E$14,MATCH('Flux Density'!N$5,'% He'!$C$3:$C$14,0),1))/$C$2</f>
        <v>65.466448445171849</v>
      </c>
    </row>
    <row r="7" spans="1:14" x14ac:dyDescent="0.3">
      <c r="B7" s="139" t="str">
        <f>'EcologyLenzTests - MAXIMUM'!B6</f>
        <v>Dichlorodifluoromethane</v>
      </c>
      <c r="C7" s="39" t="str">
        <f>INDEX('EcologyLenzTests - MAXIMUM'!A:A,MATCH('Flux Density'!B7,'EcologyLenzTests - MAXIMUM'!B:B,0),1)</f>
        <v>75-71-8</v>
      </c>
      <c r="D7" s="31">
        <f>INDEX('EcologyLenzTests - MAXIMUM'!C:C,MATCH('Flux Density'!$C7,'EcologyLenzTests - MAXIMUM'!$A:$A,0),1)*$C$3*(10/INDEX('% He'!$E$3:$E$14,MATCH('Flux Density'!D$5,'% He'!$C$3:$C$14,0),1))/$C$2</f>
        <v>0</v>
      </c>
      <c r="E7" s="31">
        <f>INDEX('EcologyLenzTests - MAXIMUM'!D:D,MATCH('Flux Density'!$C7,'EcologyLenzTests - MAXIMUM'!$A:$A,0),1)*$C$3*(10/INDEX('% He'!$E$3:$E$14,MATCH('Flux Density'!E$5,'% He'!$C$3:$C$14,0),1))/$C$2</f>
        <v>0</v>
      </c>
      <c r="F7" s="31">
        <f>INDEX('EcologyLenzTests - MAXIMUM'!E:E,MATCH('Flux Density'!$C7,'EcologyLenzTests - MAXIMUM'!$A:$A,0),1)*$C$3*(10/INDEX('% He'!$E$3:$E$14,MATCH('Flux Density'!F$5,'% He'!$C$3:$C$14,0),1))/$C$2</f>
        <v>0</v>
      </c>
      <c r="G7" s="31">
        <f>INDEX('EcologyLenzTests - MAXIMUM'!F:F,MATCH('Flux Density'!$C7,'EcologyLenzTests - MAXIMUM'!$A:$A,0),1)*$C$3*(10/INDEX('% He'!$E$3:$E$14,MATCH('Flux Density'!G$5,'% He'!$C$3:$C$14,0),1))/$C$2</f>
        <v>0</v>
      </c>
      <c r="H7" s="31">
        <f>INDEX('EcologyLenzTests - MAXIMUM'!G:G,MATCH('Flux Density'!$C7,'EcologyLenzTests - MAXIMUM'!$A:$A,0),1)*$C$3*(10/INDEX('% He'!$E$3:$E$14,MATCH('Flux Density'!H$5,'% He'!$C$3:$C$14,0),1))/$C$2</f>
        <v>0.26755852842809369</v>
      </c>
      <c r="I7" s="31">
        <f>INDEX('EcologyLenzTests - MAXIMUM'!H:H,MATCH('Flux Density'!$C7,'EcologyLenzTests - MAXIMUM'!$A:$A,0),1)*$C$3*(10/INDEX('% He'!$E$3:$E$14,MATCH('Flux Density'!I$5,'% He'!$C$3:$C$14,0),1))/$C$2</f>
        <v>0.1031894934333959</v>
      </c>
      <c r="J7" s="31">
        <f>INDEX('EcologyLenzTests - MAXIMUM'!I:I,MATCH('Flux Density'!$C7,'EcologyLenzTests - MAXIMUM'!$A:$A,0),1)*$C$3*(10/INDEX('% He'!$E$3:$E$14,MATCH('Flux Density'!J$5,'% He'!$C$3:$C$14,0),1))/$C$2</f>
        <v>0</v>
      </c>
      <c r="K7" s="31">
        <f>INDEX('EcologyLenzTests - MAXIMUM'!J:J,MATCH('Flux Density'!$C7,'EcologyLenzTests - MAXIMUM'!$A:$A,0),1)*$C$3*(10/INDEX('% He'!$E$3:$E$14,MATCH('Flux Density'!K$5,'% He'!$C$3:$C$14,0),1))/$C$2</f>
        <v>0.23076923076923075</v>
      </c>
      <c r="L7" s="31">
        <f>INDEX('EcologyLenzTests - MAXIMUM'!K:K,MATCH('Flux Density'!$C7,'EcologyLenzTests - MAXIMUM'!$A:$A,0),1)*$C$3*(10/INDEX('% He'!$E$3:$E$14,MATCH('Flux Density'!L$5,'% He'!$C$3:$C$14,0),1))/$C$2</f>
        <v>0</v>
      </c>
      <c r="M7" s="31">
        <f>INDEX('EcologyLenzTests - MAXIMUM'!L:L,MATCH('Flux Density'!$C7,'EcologyLenzTests - MAXIMUM'!$A:$A,0),1)*$C$3*(10/INDEX('% He'!$E$3:$E$14,MATCH('Flux Density'!M$5,'% He'!$C$3:$C$14,0),1))/$C$2</f>
        <v>0</v>
      </c>
      <c r="N7" s="32">
        <f>INDEX('EcologyLenzTests - MAXIMUM'!M:M,MATCH('Flux Density'!$C7,'EcologyLenzTests - MAXIMUM'!$A:$A,0),1)*$C$3*(10/INDEX('% He'!$E$3:$E$14,MATCH('Flux Density'!N$5,'% He'!$C$3:$C$14,0),1))/$C$2</f>
        <v>0</v>
      </c>
    </row>
    <row r="8" spans="1:14" x14ac:dyDescent="0.3">
      <c r="B8" s="139" t="str">
        <f>'EcologyLenzTests - MAXIMUM'!B7</f>
        <v>Chloromethane</v>
      </c>
      <c r="C8" s="39" t="str">
        <f>INDEX('EcologyLenzTests - MAXIMUM'!A:A,MATCH('Flux Density'!B8,'EcologyLenzTests - MAXIMUM'!B:B,0),1)</f>
        <v>74-87-3</v>
      </c>
      <c r="D8" s="31">
        <f>INDEX('EcologyLenzTests - MAXIMUM'!C:C,MATCH('Flux Density'!$C8,'EcologyLenzTests - MAXIMUM'!$A:$A,0),1)*$C$3*(10/INDEX('% He'!$E$3:$E$14,MATCH('Flux Density'!D$5,'% He'!$C$3:$C$14,0),1))/$C$2</f>
        <v>0</v>
      </c>
      <c r="E8" s="31">
        <f>INDEX('EcologyLenzTests - MAXIMUM'!D:D,MATCH('Flux Density'!$C8,'EcologyLenzTests - MAXIMUM'!$A:$A,0),1)*$C$3*(10/INDEX('% He'!$E$3:$E$14,MATCH('Flux Density'!E$5,'% He'!$C$3:$C$14,0),1))/$C$2</f>
        <v>0</v>
      </c>
      <c r="F8" s="31">
        <f>INDEX('EcologyLenzTests - MAXIMUM'!E:E,MATCH('Flux Density'!$C8,'EcologyLenzTests - MAXIMUM'!$A:$A,0),1)*$C$3*(10/INDEX('% He'!$E$3:$E$14,MATCH('Flux Density'!F$5,'% He'!$C$3:$C$14,0),1))/$C$2</f>
        <v>0</v>
      </c>
      <c r="G8" s="31">
        <f>INDEX('EcologyLenzTests - MAXIMUM'!F:F,MATCH('Flux Density'!$C8,'EcologyLenzTests - MAXIMUM'!$A:$A,0),1)*$C$3*(10/INDEX('% He'!$E$3:$E$14,MATCH('Flux Density'!G$5,'% He'!$C$3:$C$14,0),1))/$C$2</f>
        <v>0</v>
      </c>
      <c r="H8" s="31">
        <f>INDEX('EcologyLenzTests - MAXIMUM'!G:G,MATCH('Flux Density'!$C8,'EcologyLenzTests - MAXIMUM'!$A:$A,0),1)*$C$3*(10/INDEX('% He'!$E$3:$E$14,MATCH('Flux Density'!H$5,'% He'!$C$3:$C$14,0),1))/$C$2</f>
        <v>0.18394648829431443</v>
      </c>
      <c r="I8" s="31">
        <f>INDEX('EcologyLenzTests - MAXIMUM'!H:H,MATCH('Flux Density'!$C8,'EcologyLenzTests - MAXIMUM'!$A:$A,0),1)*$C$3*(10/INDEX('% He'!$E$3:$E$14,MATCH('Flux Density'!I$5,'% He'!$C$3:$C$14,0),1))/$C$2</f>
        <v>0</v>
      </c>
      <c r="J8" s="31">
        <f>INDEX('EcologyLenzTests - MAXIMUM'!I:I,MATCH('Flux Density'!$C8,'EcologyLenzTests - MAXIMUM'!$A:$A,0),1)*$C$3*(10/INDEX('% He'!$E$3:$E$14,MATCH('Flux Density'!J$5,'% He'!$C$3:$C$14,0),1))/$C$2</f>
        <v>1.2406947890818858</v>
      </c>
      <c r="K8" s="31">
        <f>INDEX('EcologyLenzTests - MAXIMUM'!J:J,MATCH('Flux Density'!$C8,'EcologyLenzTests - MAXIMUM'!$A:$A,0),1)*$C$3*(10/INDEX('% He'!$E$3:$E$14,MATCH('Flux Density'!K$5,'% He'!$C$3:$C$14,0),1))/$C$2</f>
        <v>0</v>
      </c>
      <c r="L8" s="31">
        <f>INDEX('EcologyLenzTests - MAXIMUM'!K:K,MATCH('Flux Density'!$C8,'EcologyLenzTests - MAXIMUM'!$A:$A,0),1)*$C$3*(10/INDEX('% He'!$E$3:$E$14,MATCH('Flux Density'!L$5,'% He'!$C$3:$C$14,0),1))/$C$2</f>
        <v>8.5798816568047336</v>
      </c>
      <c r="M8" s="31">
        <f>INDEX('EcologyLenzTests - MAXIMUM'!L:L,MATCH('Flux Density'!$C8,'EcologyLenzTests - MAXIMUM'!$A:$A,0),1)*$C$3*(10/INDEX('% He'!$E$3:$E$14,MATCH('Flux Density'!M$5,'% He'!$C$3:$C$14,0),1))/$C$2</f>
        <v>5.3643724696356276</v>
      </c>
      <c r="N8" s="32">
        <f>INDEX('EcologyLenzTests - MAXIMUM'!M:M,MATCH('Flux Density'!$C8,'EcologyLenzTests - MAXIMUM'!$A:$A,0),1)*$C$3*(10/INDEX('% He'!$E$3:$E$14,MATCH('Flux Density'!N$5,'% He'!$C$3:$C$14,0),1))/$C$2</f>
        <v>0</v>
      </c>
    </row>
    <row r="9" spans="1:14" x14ac:dyDescent="0.3">
      <c r="B9" s="139" t="str">
        <f>'EcologyLenzTests - MAXIMUM'!B8</f>
        <v>1,3-Butadiene</v>
      </c>
      <c r="C9" s="39" t="str">
        <f>INDEX('EcologyLenzTests - MAXIMUM'!A:A,MATCH('Flux Density'!B9,'EcologyLenzTests - MAXIMUM'!B:B,0),1)</f>
        <v>106-99-0</v>
      </c>
      <c r="D9" s="31">
        <f>INDEX('EcologyLenzTests - MAXIMUM'!C:C,MATCH('Flux Density'!$C9,'EcologyLenzTests - MAXIMUM'!$A:$A,0),1)*$C$3*(10/INDEX('% He'!$E$3:$E$14,MATCH('Flux Density'!D$5,'% He'!$C$3:$C$14,0),1))/$C$2</f>
        <v>0</v>
      </c>
      <c r="E9" s="31">
        <f>INDEX('EcologyLenzTests - MAXIMUM'!D:D,MATCH('Flux Density'!$C9,'EcologyLenzTests - MAXIMUM'!$A:$A,0),1)*$C$3*(10/INDEX('% He'!$E$3:$E$14,MATCH('Flux Density'!E$5,'% He'!$C$3:$C$14,0),1))/$C$2</f>
        <v>0</v>
      </c>
      <c r="F9" s="31">
        <f>INDEX('EcologyLenzTests - MAXIMUM'!E:E,MATCH('Flux Density'!$C9,'EcologyLenzTests - MAXIMUM'!$A:$A,0),1)*$C$3*(10/INDEX('% He'!$E$3:$E$14,MATCH('Flux Density'!F$5,'% He'!$C$3:$C$14,0),1))/$C$2</f>
        <v>0</v>
      </c>
      <c r="G9" s="31">
        <f>INDEX('EcologyLenzTests - MAXIMUM'!F:F,MATCH('Flux Density'!$C9,'EcologyLenzTests - MAXIMUM'!$A:$A,0),1)*$C$3*(10/INDEX('% He'!$E$3:$E$14,MATCH('Flux Density'!G$5,'% He'!$C$3:$C$14,0),1))/$C$2</f>
        <v>0</v>
      </c>
      <c r="H9" s="31">
        <f>INDEX('EcologyLenzTests - MAXIMUM'!G:G,MATCH('Flux Density'!$C9,'EcologyLenzTests - MAXIMUM'!$A:$A,0),1)*$C$3*(10/INDEX('% He'!$E$3:$E$14,MATCH('Flux Density'!H$5,'% He'!$C$3:$C$14,0),1))/$C$2</f>
        <v>0</v>
      </c>
      <c r="I9" s="31">
        <f>INDEX('EcologyLenzTests - MAXIMUM'!H:H,MATCH('Flux Density'!$C9,'EcologyLenzTests - MAXIMUM'!$A:$A,0),1)*$C$3*(10/INDEX('% He'!$E$3:$E$14,MATCH('Flux Density'!I$5,'% He'!$C$3:$C$14,0),1))/$C$2</f>
        <v>0</v>
      </c>
      <c r="J9" s="31">
        <f>INDEX('EcologyLenzTests - MAXIMUM'!I:I,MATCH('Flux Density'!$C9,'EcologyLenzTests - MAXIMUM'!$A:$A,0),1)*$C$3*(10/INDEX('% He'!$E$3:$E$14,MATCH('Flux Density'!J$5,'% He'!$C$3:$C$14,0),1))/$C$2</f>
        <v>0</v>
      </c>
      <c r="K9" s="31">
        <f>INDEX('EcologyLenzTests - MAXIMUM'!J:J,MATCH('Flux Density'!$C9,'EcologyLenzTests - MAXIMUM'!$A:$A,0),1)*$C$3*(10/INDEX('% He'!$E$3:$E$14,MATCH('Flux Density'!K$5,'% He'!$C$3:$C$14,0),1))/$C$2</f>
        <v>0.58461538461538454</v>
      </c>
      <c r="L9" s="31">
        <f>INDEX('EcologyLenzTests - MAXIMUM'!K:K,MATCH('Flux Density'!$C9,'EcologyLenzTests - MAXIMUM'!$A:$A,0),1)*$C$3*(10/INDEX('% He'!$E$3:$E$14,MATCH('Flux Density'!L$5,'% He'!$C$3:$C$14,0),1))/$C$2</f>
        <v>0</v>
      </c>
      <c r="M9" s="31">
        <f>INDEX('EcologyLenzTests - MAXIMUM'!L:L,MATCH('Flux Density'!$C9,'EcologyLenzTests - MAXIMUM'!$A:$A,0),1)*$C$3*(10/INDEX('% He'!$E$3:$E$14,MATCH('Flux Density'!M$5,'% He'!$C$3:$C$14,0),1))/$C$2</f>
        <v>0</v>
      </c>
      <c r="N9" s="32">
        <f>INDEX('EcologyLenzTests - MAXIMUM'!M:M,MATCH('Flux Density'!$C9,'EcologyLenzTests - MAXIMUM'!$A:$A,0),1)*$C$3*(10/INDEX('% He'!$E$3:$E$14,MATCH('Flux Density'!N$5,'% He'!$C$3:$C$14,0),1))/$C$2</f>
        <v>0</v>
      </c>
    </row>
    <row r="10" spans="1:14" x14ac:dyDescent="0.3">
      <c r="B10" s="139" t="str">
        <f>'EcologyLenzTests - MAXIMUM'!B9</f>
        <v>Ethanol</v>
      </c>
      <c r="C10" s="39" t="str">
        <f>INDEX('EcologyLenzTests - MAXIMUM'!A:A,MATCH('Flux Density'!B10,'EcologyLenzTests - MAXIMUM'!B:B,0),1)</f>
        <v>64-17-5</v>
      </c>
      <c r="D10" s="31">
        <f>INDEX('EcologyLenzTests - MAXIMUM'!C:C,MATCH('Flux Density'!$C10,'EcologyLenzTests - MAXIMUM'!$A:$A,0),1)*$C$3*(10/INDEX('% He'!$E$3:$E$14,MATCH('Flux Density'!D$5,'% He'!$C$3:$C$14,0),1))/$C$2</f>
        <v>0</v>
      </c>
      <c r="E10" s="31">
        <f>INDEX('EcologyLenzTests - MAXIMUM'!D:D,MATCH('Flux Density'!$C10,'EcologyLenzTests - MAXIMUM'!$A:$A,0),1)*$C$3*(10/INDEX('% He'!$E$3:$E$14,MATCH('Flux Density'!E$5,'% He'!$C$3:$C$14,0),1))/$C$2</f>
        <v>0</v>
      </c>
      <c r="F10" s="31">
        <f>INDEX('EcologyLenzTests - MAXIMUM'!E:E,MATCH('Flux Density'!$C10,'EcologyLenzTests - MAXIMUM'!$A:$A,0),1)*$C$3*(10/INDEX('% He'!$E$3:$E$14,MATCH('Flux Density'!F$5,'% He'!$C$3:$C$14,0),1))/$C$2</f>
        <v>0</v>
      </c>
      <c r="G10" s="31">
        <f>INDEX('EcologyLenzTests - MAXIMUM'!F:F,MATCH('Flux Density'!$C10,'EcologyLenzTests - MAXIMUM'!$A:$A,0),1)*$C$3*(10/INDEX('% He'!$E$3:$E$14,MATCH('Flux Density'!G$5,'% He'!$C$3:$C$14,0),1))/$C$2</f>
        <v>0</v>
      </c>
      <c r="H10" s="31">
        <f>INDEX('EcologyLenzTests - MAXIMUM'!G:G,MATCH('Flux Density'!$C10,'EcologyLenzTests - MAXIMUM'!$A:$A,0),1)*$C$3*(10/INDEX('% He'!$E$3:$E$14,MATCH('Flux Density'!H$5,'% He'!$C$3:$C$14,0),1))/$C$2</f>
        <v>0</v>
      </c>
      <c r="I10" s="31">
        <f>INDEX('EcologyLenzTests - MAXIMUM'!H:H,MATCH('Flux Density'!$C10,'EcologyLenzTests - MAXIMUM'!$A:$A,0),1)*$C$3*(10/INDEX('% He'!$E$3:$E$14,MATCH('Flux Density'!I$5,'% He'!$C$3:$C$14,0),1))/$C$2</f>
        <v>0</v>
      </c>
      <c r="J10" s="31">
        <f>INDEX('EcologyLenzTests - MAXIMUM'!I:I,MATCH('Flux Density'!$C10,'EcologyLenzTests - MAXIMUM'!$A:$A,0),1)*$C$3*(10/INDEX('% He'!$E$3:$E$14,MATCH('Flux Density'!J$5,'% He'!$C$3:$C$14,0),1))/$C$2</f>
        <v>4.4665012406947886</v>
      </c>
      <c r="K10" s="31">
        <f>INDEX('EcologyLenzTests - MAXIMUM'!J:J,MATCH('Flux Density'!$C10,'EcologyLenzTests - MAXIMUM'!$A:$A,0),1)*$C$3*(10/INDEX('% He'!$E$3:$E$14,MATCH('Flux Density'!K$5,'% He'!$C$3:$C$14,0),1))/$C$2</f>
        <v>0</v>
      </c>
      <c r="L10" s="31">
        <f>INDEX('EcologyLenzTests - MAXIMUM'!K:K,MATCH('Flux Density'!$C10,'EcologyLenzTests - MAXIMUM'!$A:$A,0),1)*$C$3*(10/INDEX('% He'!$E$3:$E$14,MATCH('Flux Density'!L$5,'% He'!$C$3:$C$14,0),1))/$C$2</f>
        <v>0</v>
      </c>
      <c r="M10" s="31">
        <f>INDEX('EcologyLenzTests - MAXIMUM'!L:L,MATCH('Flux Density'!$C10,'EcologyLenzTests - MAXIMUM'!$A:$A,0),1)*$C$3*(10/INDEX('% He'!$E$3:$E$14,MATCH('Flux Density'!M$5,'% He'!$C$3:$C$14,0),1))/$C$2</f>
        <v>0</v>
      </c>
      <c r="N10" s="32">
        <f>INDEX('EcologyLenzTests - MAXIMUM'!M:M,MATCH('Flux Density'!$C10,'EcologyLenzTests - MAXIMUM'!$A:$A,0),1)*$C$3*(10/INDEX('% He'!$E$3:$E$14,MATCH('Flux Density'!N$5,'% He'!$C$3:$C$14,0),1))/$C$2</f>
        <v>237.31587561374795</v>
      </c>
    </row>
    <row r="11" spans="1:14" x14ac:dyDescent="0.3">
      <c r="B11" s="139" t="str">
        <f>'EcologyLenzTests - MAXIMUM'!B10</f>
        <v>Acetonitrile</v>
      </c>
      <c r="C11" s="39" t="str">
        <f>INDEX('EcologyLenzTests - MAXIMUM'!A:A,MATCH('Flux Density'!B11,'EcologyLenzTests - MAXIMUM'!B:B,0),1)</f>
        <v>75-05-8</v>
      </c>
      <c r="D11" s="31">
        <f>INDEX('EcologyLenzTests - MAXIMUM'!C:C,MATCH('Flux Density'!$C11,'EcologyLenzTests - MAXIMUM'!$A:$A,0),1)*$C$3*(10/INDEX('% He'!$E$3:$E$14,MATCH('Flux Density'!D$5,'% He'!$C$3:$C$14,0),1))/$C$2</f>
        <v>0</v>
      </c>
      <c r="E11" s="31">
        <f>INDEX('EcologyLenzTests - MAXIMUM'!D:D,MATCH('Flux Density'!$C11,'EcologyLenzTests - MAXIMUM'!$A:$A,0),1)*$C$3*(10/INDEX('% He'!$E$3:$E$14,MATCH('Flux Density'!E$5,'% He'!$C$3:$C$14,0),1))/$C$2</f>
        <v>0</v>
      </c>
      <c r="F11" s="31">
        <f>INDEX('EcologyLenzTests - MAXIMUM'!E:E,MATCH('Flux Density'!$C11,'EcologyLenzTests - MAXIMUM'!$A:$A,0),1)*$C$3*(10/INDEX('% He'!$E$3:$E$14,MATCH('Flux Density'!F$5,'% He'!$C$3:$C$14,0),1))/$C$2</f>
        <v>10.558069381598795</v>
      </c>
      <c r="G11" s="31">
        <f>INDEX('EcologyLenzTests - MAXIMUM'!F:F,MATCH('Flux Density'!$C11,'EcologyLenzTests - MAXIMUM'!$A:$A,0),1)*$C$3*(10/INDEX('% He'!$E$3:$E$14,MATCH('Flux Density'!G$5,'% He'!$C$3:$C$14,0),1))/$C$2</f>
        <v>0</v>
      </c>
      <c r="H11" s="31">
        <f>INDEX('EcologyLenzTests - MAXIMUM'!G:G,MATCH('Flux Density'!$C11,'EcologyLenzTests - MAXIMUM'!$A:$A,0),1)*$C$3*(10/INDEX('% He'!$E$3:$E$14,MATCH('Flux Density'!H$5,'% He'!$C$3:$C$14,0),1))/$C$2</f>
        <v>4.0133779264214056</v>
      </c>
      <c r="I11" s="31">
        <f>INDEX('EcologyLenzTests - MAXIMUM'!H:H,MATCH('Flux Density'!$C11,'EcologyLenzTests - MAXIMUM'!$A:$A,0),1)*$C$3*(10/INDEX('% He'!$E$3:$E$14,MATCH('Flux Density'!I$5,'% He'!$C$3:$C$14,0),1))/$C$2</f>
        <v>0.62851782363977493</v>
      </c>
      <c r="J11" s="31">
        <f>INDEX('EcologyLenzTests - MAXIMUM'!I:I,MATCH('Flux Density'!$C11,'EcologyLenzTests - MAXIMUM'!$A:$A,0),1)*$C$3*(10/INDEX('% He'!$E$3:$E$14,MATCH('Flux Density'!J$5,'% He'!$C$3:$C$14,0),1))/$C$2</f>
        <v>1.3647642679900742</v>
      </c>
      <c r="K11" s="31">
        <f>INDEX('EcologyLenzTests - MAXIMUM'!J:J,MATCH('Flux Density'!$C11,'EcologyLenzTests - MAXIMUM'!$A:$A,0),1)*$C$3*(10/INDEX('% He'!$E$3:$E$14,MATCH('Flux Density'!K$5,'% He'!$C$3:$C$14,0),1))/$C$2</f>
        <v>3.5384615384615383</v>
      </c>
      <c r="L11" s="31">
        <f>INDEX('EcologyLenzTests - MAXIMUM'!K:K,MATCH('Flux Density'!$C11,'EcologyLenzTests - MAXIMUM'!$A:$A,0),1)*$C$3*(10/INDEX('% He'!$E$3:$E$14,MATCH('Flux Density'!L$5,'% He'!$C$3:$C$14,0),1))/$C$2</f>
        <v>4.5364891518737682</v>
      </c>
      <c r="M11" s="31">
        <f>INDEX('EcologyLenzTests - MAXIMUM'!L:L,MATCH('Flux Density'!$C11,'EcologyLenzTests - MAXIMUM'!$A:$A,0),1)*$C$3*(10/INDEX('% He'!$E$3:$E$14,MATCH('Flux Density'!M$5,'% He'!$C$3:$C$14,0),1))/$C$2</f>
        <v>11.133603238866398</v>
      </c>
      <c r="N11" s="32">
        <f>INDEX('EcologyLenzTests - MAXIMUM'!M:M,MATCH('Flux Density'!$C11,'EcologyLenzTests - MAXIMUM'!$A:$A,0),1)*$C$3*(10/INDEX('% He'!$E$3:$E$14,MATCH('Flux Density'!N$5,'% He'!$C$3:$C$14,0),1))/$C$2</f>
        <v>0</v>
      </c>
    </row>
    <row r="12" spans="1:14" x14ac:dyDescent="0.3">
      <c r="B12" s="139" t="str">
        <f>'EcologyLenzTests - MAXIMUM'!B11</f>
        <v>Acetone</v>
      </c>
      <c r="C12" s="39" t="str">
        <f>INDEX('EcologyLenzTests - MAXIMUM'!A:A,MATCH('Flux Density'!B12,'EcologyLenzTests - MAXIMUM'!B:B,0),1)</f>
        <v>67-64-1</v>
      </c>
      <c r="D12" s="31">
        <f>INDEX('EcologyLenzTests - MAXIMUM'!C:C,MATCH('Flux Density'!$C12,'EcologyLenzTests - MAXIMUM'!$A:$A,0),1)*$C$3*(10/INDEX('% He'!$E$3:$E$14,MATCH('Flux Density'!D$5,'% He'!$C$3:$C$14,0),1))/$C$2</f>
        <v>0</v>
      </c>
      <c r="E12" s="31">
        <f>INDEX('EcologyLenzTests - MAXIMUM'!D:D,MATCH('Flux Density'!$C12,'EcologyLenzTests - MAXIMUM'!$A:$A,0),1)*$C$3*(10/INDEX('% He'!$E$3:$E$14,MATCH('Flux Density'!E$5,'% He'!$C$3:$C$14,0),1))/$C$2</f>
        <v>0</v>
      </c>
      <c r="F12" s="31">
        <f>INDEX('EcologyLenzTests - MAXIMUM'!E:E,MATCH('Flux Density'!$C12,'EcologyLenzTests - MAXIMUM'!$A:$A,0),1)*$C$3*(10/INDEX('% He'!$E$3:$E$14,MATCH('Flux Density'!F$5,'% He'!$C$3:$C$14,0),1))/$C$2</f>
        <v>0</v>
      </c>
      <c r="G12" s="31">
        <f>INDEX('EcologyLenzTests - MAXIMUM'!F:F,MATCH('Flux Density'!$C12,'EcologyLenzTests - MAXIMUM'!$A:$A,0),1)*$C$3*(10/INDEX('% He'!$E$3:$E$14,MATCH('Flux Density'!G$5,'% He'!$C$3:$C$14,0),1))/$C$2</f>
        <v>0</v>
      </c>
      <c r="H12" s="31">
        <f>INDEX('EcologyLenzTests - MAXIMUM'!G:G,MATCH('Flux Density'!$C12,'EcologyLenzTests - MAXIMUM'!$A:$A,0),1)*$C$3*(10/INDEX('% He'!$E$3:$E$14,MATCH('Flux Density'!H$5,'% He'!$C$3:$C$14,0),1))/$C$2</f>
        <v>2.1739130434782612</v>
      </c>
      <c r="I12" s="31">
        <f>INDEX('EcologyLenzTests - MAXIMUM'!H:H,MATCH('Flux Density'!$C12,'EcologyLenzTests - MAXIMUM'!$A:$A,0),1)*$C$3*(10/INDEX('% He'!$E$3:$E$14,MATCH('Flux Density'!I$5,'% He'!$C$3:$C$14,0),1))/$C$2</f>
        <v>1.5009380863039401</v>
      </c>
      <c r="J12" s="31">
        <f>INDEX('EcologyLenzTests - MAXIMUM'!I:I,MATCH('Flux Density'!$C12,'EcologyLenzTests - MAXIMUM'!$A:$A,0),1)*$C$3*(10/INDEX('% He'!$E$3:$E$14,MATCH('Flux Density'!J$5,'% He'!$C$3:$C$14,0),1))/$C$2</f>
        <v>4.7146401985111659</v>
      </c>
      <c r="K12" s="31">
        <f>INDEX('EcologyLenzTests - MAXIMUM'!J:J,MATCH('Flux Density'!$C12,'EcologyLenzTests - MAXIMUM'!$A:$A,0),1)*$C$3*(10/INDEX('% He'!$E$3:$E$14,MATCH('Flux Density'!K$5,'% He'!$C$3:$C$14,0),1))/$C$2</f>
        <v>1.4</v>
      </c>
      <c r="L12" s="31">
        <f>INDEX('EcologyLenzTests - MAXIMUM'!K:K,MATCH('Flux Density'!$C12,'EcologyLenzTests - MAXIMUM'!$A:$A,0),1)*$C$3*(10/INDEX('% He'!$E$3:$E$14,MATCH('Flux Density'!L$5,'% He'!$C$3:$C$14,0),1))/$C$2</f>
        <v>0</v>
      </c>
      <c r="M12" s="31">
        <f>INDEX('EcologyLenzTests - MAXIMUM'!L:L,MATCH('Flux Density'!$C12,'EcologyLenzTests - MAXIMUM'!$A:$A,0),1)*$C$3*(10/INDEX('% He'!$E$3:$E$14,MATCH('Flux Density'!M$5,'% He'!$C$3:$C$14,0),1))/$C$2</f>
        <v>101.21457489878543</v>
      </c>
      <c r="N12" s="32">
        <f>INDEX('EcologyLenzTests - MAXIMUM'!M:M,MATCH('Flux Density'!$C12,'EcologyLenzTests - MAXIMUM'!$A:$A,0),1)*$C$3*(10/INDEX('% He'!$E$3:$E$14,MATCH('Flux Density'!N$5,'% He'!$C$3:$C$14,0),1))/$C$2</f>
        <v>450.08183306055645</v>
      </c>
    </row>
    <row r="13" spans="1:14" x14ac:dyDescent="0.3">
      <c r="B13" s="139" t="str">
        <f>'EcologyLenzTests - MAXIMUM'!B12</f>
        <v>Trichlorofluoromethane</v>
      </c>
      <c r="C13" s="39" t="str">
        <f>INDEX('EcologyLenzTests - MAXIMUM'!A:A,MATCH('Flux Density'!B13,'EcologyLenzTests - MAXIMUM'!B:B,0),1)</f>
        <v>75-69-4</v>
      </c>
      <c r="D13" s="31">
        <f>INDEX('EcologyLenzTests - MAXIMUM'!C:C,MATCH('Flux Density'!$C13,'EcologyLenzTests - MAXIMUM'!$A:$A,0),1)*$C$3*(10/INDEX('% He'!$E$3:$E$14,MATCH('Flux Density'!D$5,'% He'!$C$3:$C$14,0),1))/$C$2</f>
        <v>0</v>
      </c>
      <c r="E13" s="31">
        <f>INDEX('EcologyLenzTests - MAXIMUM'!D:D,MATCH('Flux Density'!$C13,'EcologyLenzTests - MAXIMUM'!$A:$A,0),1)*$C$3*(10/INDEX('% He'!$E$3:$E$14,MATCH('Flux Density'!E$5,'% He'!$C$3:$C$14,0),1))/$C$2</f>
        <v>0</v>
      </c>
      <c r="F13" s="31">
        <f>INDEX('EcologyLenzTests - MAXIMUM'!E:E,MATCH('Flux Density'!$C13,'EcologyLenzTests - MAXIMUM'!$A:$A,0),1)*$C$3*(10/INDEX('% He'!$E$3:$E$14,MATCH('Flux Density'!F$5,'% He'!$C$3:$C$14,0),1))/$C$2</f>
        <v>0</v>
      </c>
      <c r="G13" s="31">
        <f>INDEX('EcologyLenzTests - MAXIMUM'!F:F,MATCH('Flux Density'!$C13,'EcologyLenzTests - MAXIMUM'!$A:$A,0),1)*$C$3*(10/INDEX('% He'!$E$3:$E$14,MATCH('Flux Density'!G$5,'% He'!$C$3:$C$14,0),1))/$C$2</f>
        <v>0</v>
      </c>
      <c r="H13" s="31">
        <f>INDEX('EcologyLenzTests - MAXIMUM'!G:G,MATCH('Flux Density'!$C13,'EcologyLenzTests - MAXIMUM'!$A:$A,0),1)*$C$3*(10/INDEX('% He'!$E$3:$E$14,MATCH('Flux Density'!H$5,'% He'!$C$3:$C$14,0),1))/$C$2</f>
        <v>0</v>
      </c>
      <c r="I13" s="31">
        <f>INDEX('EcologyLenzTests - MAXIMUM'!H:H,MATCH('Flux Density'!$C13,'EcologyLenzTests - MAXIMUM'!$A:$A,0),1)*$C$3*(10/INDEX('% He'!$E$3:$E$14,MATCH('Flux Density'!I$5,'% He'!$C$3:$C$14,0),1))/$C$2</f>
        <v>0.18761726078799251</v>
      </c>
      <c r="J13" s="31">
        <f>INDEX('EcologyLenzTests - MAXIMUM'!I:I,MATCH('Flux Density'!$C13,'EcologyLenzTests - MAXIMUM'!$A:$A,0),1)*$C$3*(10/INDEX('% He'!$E$3:$E$14,MATCH('Flux Density'!J$5,'% He'!$C$3:$C$14,0),1))/$C$2</f>
        <v>0</v>
      </c>
      <c r="K13" s="31">
        <f>INDEX('EcologyLenzTests - MAXIMUM'!J:J,MATCH('Flux Density'!$C13,'EcologyLenzTests - MAXIMUM'!$A:$A,0),1)*$C$3*(10/INDEX('% He'!$E$3:$E$14,MATCH('Flux Density'!K$5,'% He'!$C$3:$C$14,0),1))/$C$2</f>
        <v>0.12000000000000001</v>
      </c>
      <c r="L13" s="31">
        <f>INDEX('EcologyLenzTests - MAXIMUM'!K:K,MATCH('Flux Density'!$C13,'EcologyLenzTests - MAXIMUM'!$A:$A,0),1)*$C$3*(10/INDEX('% He'!$E$3:$E$14,MATCH('Flux Density'!L$5,'% He'!$C$3:$C$14,0),1))/$C$2</f>
        <v>0</v>
      </c>
      <c r="M13" s="31">
        <f>INDEX('EcologyLenzTests - MAXIMUM'!L:L,MATCH('Flux Density'!$C13,'EcologyLenzTests - MAXIMUM'!$A:$A,0),1)*$C$3*(10/INDEX('% He'!$E$3:$E$14,MATCH('Flux Density'!M$5,'% He'!$C$3:$C$14,0),1))/$C$2</f>
        <v>0</v>
      </c>
      <c r="N13" s="32">
        <f>INDEX('EcologyLenzTests - MAXIMUM'!M:M,MATCH('Flux Density'!$C13,'EcologyLenzTests - MAXIMUM'!$A:$A,0),1)*$C$3*(10/INDEX('% He'!$E$3:$E$14,MATCH('Flux Density'!N$5,'% He'!$C$3:$C$14,0),1))/$C$2</f>
        <v>0</v>
      </c>
    </row>
    <row r="14" spans="1:14" x14ac:dyDescent="0.3">
      <c r="B14" s="139" t="str">
        <f>'EcologyLenzTests - MAXIMUM'!B13</f>
        <v>Methylene Chloride</v>
      </c>
      <c r="C14" s="39" t="str">
        <f>INDEX('EcologyLenzTests - MAXIMUM'!A:A,MATCH('Flux Density'!B14,'EcologyLenzTests - MAXIMUM'!B:B,0),1)</f>
        <v>75-09-2</v>
      </c>
      <c r="D14" s="31">
        <f>INDEX('EcologyLenzTests - MAXIMUM'!C:C,MATCH('Flux Density'!$C14,'EcologyLenzTests - MAXIMUM'!$A:$A,0),1)*$C$3*(10/INDEX('% He'!$E$3:$E$14,MATCH('Flux Density'!D$5,'% He'!$C$3:$C$14,0),1))/$C$2</f>
        <v>0</v>
      </c>
      <c r="E14" s="31">
        <f>INDEX('EcologyLenzTests - MAXIMUM'!D:D,MATCH('Flux Density'!$C14,'EcologyLenzTests - MAXIMUM'!$A:$A,0),1)*$C$3*(10/INDEX('% He'!$E$3:$E$14,MATCH('Flux Density'!E$5,'% He'!$C$3:$C$14,0),1))/$C$2</f>
        <v>0</v>
      </c>
      <c r="F14" s="31">
        <f>INDEX('EcologyLenzTests - MAXIMUM'!E:E,MATCH('Flux Density'!$C14,'EcologyLenzTests - MAXIMUM'!$A:$A,0),1)*$C$3*(10/INDEX('% He'!$E$3:$E$14,MATCH('Flux Density'!F$5,'% He'!$C$3:$C$14,0),1))/$C$2</f>
        <v>0</v>
      </c>
      <c r="G14" s="31">
        <f>INDEX('EcologyLenzTests - MAXIMUM'!F:F,MATCH('Flux Density'!$C14,'EcologyLenzTests - MAXIMUM'!$A:$A,0),1)*$C$3*(10/INDEX('% He'!$E$3:$E$14,MATCH('Flux Density'!G$5,'% He'!$C$3:$C$14,0),1))/$C$2</f>
        <v>0</v>
      </c>
      <c r="H14" s="31">
        <f>INDEX('EcologyLenzTests - MAXIMUM'!G:G,MATCH('Flux Density'!$C14,'EcologyLenzTests - MAXIMUM'!$A:$A,0),1)*$C$3*(10/INDEX('% He'!$E$3:$E$14,MATCH('Flux Density'!H$5,'% He'!$C$3:$C$14,0),1))/$C$2</f>
        <v>0.18394648829431443</v>
      </c>
      <c r="I14" s="31">
        <f>INDEX('EcologyLenzTests - MAXIMUM'!H:H,MATCH('Flux Density'!$C14,'EcologyLenzTests - MAXIMUM'!$A:$A,0),1)*$C$3*(10/INDEX('% He'!$E$3:$E$14,MATCH('Flux Density'!I$5,'% He'!$C$3:$C$14,0),1))/$C$2</f>
        <v>0</v>
      </c>
      <c r="J14" s="31">
        <f>INDEX('EcologyLenzTests - MAXIMUM'!I:I,MATCH('Flux Density'!$C14,'EcologyLenzTests - MAXIMUM'!$A:$A,0),1)*$C$3*(10/INDEX('% He'!$E$3:$E$14,MATCH('Flux Density'!J$5,'% He'!$C$3:$C$14,0),1))/$C$2</f>
        <v>0</v>
      </c>
      <c r="K14" s="31">
        <f>INDEX('EcologyLenzTests - MAXIMUM'!J:J,MATCH('Flux Density'!$C14,'EcologyLenzTests - MAXIMUM'!$A:$A,0),1)*$C$3*(10/INDEX('% He'!$E$3:$E$14,MATCH('Flux Density'!K$5,'% He'!$C$3:$C$14,0),1))/$C$2</f>
        <v>0</v>
      </c>
      <c r="L14" s="31">
        <f>INDEX('EcologyLenzTests - MAXIMUM'!K:K,MATCH('Flux Density'!$C14,'EcologyLenzTests - MAXIMUM'!$A:$A,0),1)*$C$3*(10/INDEX('% He'!$E$3:$E$14,MATCH('Flux Density'!L$5,'% He'!$C$3:$C$14,0),1))/$C$2</f>
        <v>0</v>
      </c>
      <c r="M14" s="31">
        <f>INDEX('EcologyLenzTests - MAXIMUM'!L:L,MATCH('Flux Density'!$C14,'EcologyLenzTests - MAXIMUM'!$A:$A,0),1)*$C$3*(10/INDEX('% He'!$E$3:$E$14,MATCH('Flux Density'!M$5,'% He'!$C$3:$C$14,0),1))/$C$2</f>
        <v>0</v>
      </c>
      <c r="N14" s="32">
        <f>INDEX('EcologyLenzTests - MAXIMUM'!M:M,MATCH('Flux Density'!$C14,'EcologyLenzTests - MAXIMUM'!$A:$A,0),1)*$C$3*(10/INDEX('% He'!$E$3:$E$14,MATCH('Flux Density'!N$5,'% He'!$C$3:$C$14,0),1))/$C$2</f>
        <v>0</v>
      </c>
    </row>
    <row r="15" spans="1:14" x14ac:dyDescent="0.3">
      <c r="B15" s="139" t="str">
        <f>'EcologyLenzTests - MAXIMUM'!B14</f>
        <v>Vinyl Acetate</v>
      </c>
      <c r="C15" s="39" t="str">
        <f>INDEX('EcologyLenzTests - MAXIMUM'!A:A,MATCH('Flux Density'!B15,'EcologyLenzTests - MAXIMUM'!B:B,0),1)</f>
        <v>108-05-4</v>
      </c>
      <c r="D15" s="31">
        <f>INDEX('EcologyLenzTests - MAXIMUM'!C:C,MATCH('Flux Density'!$C15,'EcologyLenzTests - MAXIMUM'!$A:$A,0),1)*$C$3*(10/INDEX('% He'!$E$3:$E$14,MATCH('Flux Density'!D$5,'% He'!$C$3:$C$14,0),1))/$C$2</f>
        <v>0</v>
      </c>
      <c r="E15" s="31">
        <f>INDEX('EcologyLenzTests - MAXIMUM'!D:D,MATCH('Flux Density'!$C15,'EcologyLenzTests - MAXIMUM'!$A:$A,0),1)*$C$3*(10/INDEX('% He'!$E$3:$E$14,MATCH('Flux Density'!E$5,'% He'!$C$3:$C$14,0),1))/$C$2</f>
        <v>0</v>
      </c>
      <c r="F15" s="31">
        <f>INDEX('EcologyLenzTests - MAXIMUM'!E:E,MATCH('Flux Density'!$C15,'EcologyLenzTests - MAXIMUM'!$A:$A,0),1)*$C$3*(10/INDEX('% He'!$E$3:$E$14,MATCH('Flux Density'!F$5,'% He'!$C$3:$C$14,0),1))/$C$2</f>
        <v>0</v>
      </c>
      <c r="G15" s="31">
        <f>INDEX('EcologyLenzTests - MAXIMUM'!F:F,MATCH('Flux Density'!$C15,'EcologyLenzTests - MAXIMUM'!$A:$A,0),1)*$C$3*(10/INDEX('% He'!$E$3:$E$14,MATCH('Flux Density'!G$5,'% He'!$C$3:$C$14,0),1))/$C$2</f>
        <v>0</v>
      </c>
      <c r="H15" s="31">
        <f>INDEX('EcologyLenzTests - MAXIMUM'!G:G,MATCH('Flux Density'!$C15,'EcologyLenzTests - MAXIMUM'!$A:$A,0),1)*$C$3*(10/INDEX('% He'!$E$3:$E$14,MATCH('Flux Density'!H$5,'% He'!$C$3:$C$14,0),1))/$C$2</f>
        <v>0</v>
      </c>
      <c r="I15" s="31">
        <f>INDEX('EcologyLenzTests - MAXIMUM'!H:H,MATCH('Flux Density'!$C15,'EcologyLenzTests - MAXIMUM'!$A:$A,0),1)*$C$3*(10/INDEX('% He'!$E$3:$E$14,MATCH('Flux Density'!I$5,'% He'!$C$3:$C$14,0),1))/$C$2</f>
        <v>0</v>
      </c>
      <c r="J15" s="31">
        <f>INDEX('EcologyLenzTests - MAXIMUM'!I:I,MATCH('Flux Density'!$C15,'EcologyLenzTests - MAXIMUM'!$A:$A,0),1)*$C$3*(10/INDEX('% He'!$E$3:$E$14,MATCH('Flux Density'!J$5,'% He'!$C$3:$C$14,0),1))/$C$2</f>
        <v>4.0942928039702231</v>
      </c>
      <c r="K15" s="31">
        <f>INDEX('EcologyLenzTests - MAXIMUM'!J:J,MATCH('Flux Density'!$C15,'EcologyLenzTests - MAXIMUM'!$A:$A,0),1)*$C$3*(10/INDEX('% He'!$E$3:$E$14,MATCH('Flux Density'!K$5,'% He'!$C$3:$C$14,0),1))/$C$2</f>
        <v>0</v>
      </c>
      <c r="L15" s="31">
        <f>INDEX('EcologyLenzTests - MAXIMUM'!K:K,MATCH('Flux Density'!$C15,'EcologyLenzTests - MAXIMUM'!$A:$A,0),1)*$C$3*(10/INDEX('% He'!$E$3:$E$14,MATCH('Flux Density'!L$5,'% He'!$C$3:$C$14,0),1))/$C$2</f>
        <v>0</v>
      </c>
      <c r="M15" s="31">
        <f>INDEX('EcologyLenzTests - MAXIMUM'!L:L,MATCH('Flux Density'!$C15,'EcologyLenzTests - MAXIMUM'!$A:$A,0),1)*$C$3*(10/INDEX('% He'!$E$3:$E$14,MATCH('Flux Density'!M$5,'% He'!$C$3:$C$14,0),1))/$C$2</f>
        <v>0</v>
      </c>
      <c r="N15" s="32">
        <f>INDEX('EcologyLenzTests - MAXIMUM'!M:M,MATCH('Flux Density'!$C15,'EcologyLenzTests - MAXIMUM'!$A:$A,0),1)*$C$3*(10/INDEX('% He'!$E$3:$E$14,MATCH('Flux Density'!N$5,'% He'!$C$3:$C$14,0),1))/$C$2</f>
        <v>196.39934533551553</v>
      </c>
    </row>
    <row r="16" spans="1:14" x14ac:dyDescent="0.3">
      <c r="B16" s="139" t="str">
        <f>'EcologyLenzTests - MAXIMUM'!B15</f>
        <v>2-Butanone (MEK)</v>
      </c>
      <c r="C16" s="39" t="str">
        <f>INDEX('EcologyLenzTests - MAXIMUM'!A:A,MATCH('Flux Density'!B16,'EcologyLenzTests - MAXIMUM'!B:B,0),1)</f>
        <v>78-93-3</v>
      </c>
      <c r="D16" s="31">
        <f>INDEX('EcologyLenzTests - MAXIMUM'!C:C,MATCH('Flux Density'!$C16,'EcologyLenzTests - MAXIMUM'!$A:$A,0),1)*$C$3*(10/INDEX('% He'!$E$3:$E$14,MATCH('Flux Density'!D$5,'% He'!$C$3:$C$14,0),1))/$C$2</f>
        <v>0</v>
      </c>
      <c r="E16" s="31">
        <f>INDEX('EcologyLenzTests - MAXIMUM'!D:D,MATCH('Flux Density'!$C16,'EcologyLenzTests - MAXIMUM'!$A:$A,0),1)*$C$3*(10/INDEX('% He'!$E$3:$E$14,MATCH('Flux Density'!E$5,'% He'!$C$3:$C$14,0),1))/$C$2</f>
        <v>0</v>
      </c>
      <c r="F16" s="31">
        <f>INDEX('EcologyLenzTests - MAXIMUM'!E:E,MATCH('Flux Density'!$C16,'EcologyLenzTests - MAXIMUM'!$A:$A,0),1)*$C$3*(10/INDEX('% He'!$E$3:$E$14,MATCH('Flux Density'!F$5,'% He'!$C$3:$C$14,0),1))/$C$2</f>
        <v>0</v>
      </c>
      <c r="G16" s="31">
        <f>INDEX('EcologyLenzTests - MAXIMUM'!F:F,MATCH('Flux Density'!$C16,'EcologyLenzTests - MAXIMUM'!$A:$A,0),1)*$C$3*(10/INDEX('% He'!$E$3:$E$14,MATCH('Flux Density'!G$5,'% He'!$C$3:$C$14,0),1))/$C$2</f>
        <v>0</v>
      </c>
      <c r="H16" s="31">
        <f>INDEX('EcologyLenzTests - MAXIMUM'!G:G,MATCH('Flux Density'!$C16,'EcologyLenzTests - MAXIMUM'!$A:$A,0),1)*$C$3*(10/INDEX('% He'!$E$3:$E$14,MATCH('Flux Density'!H$5,'% He'!$C$3:$C$14,0),1))/$C$2</f>
        <v>0</v>
      </c>
      <c r="I16" s="31">
        <f>INDEX('EcologyLenzTests - MAXIMUM'!H:H,MATCH('Flux Density'!$C16,'EcologyLenzTests - MAXIMUM'!$A:$A,0),1)*$C$3*(10/INDEX('% He'!$E$3:$E$14,MATCH('Flux Density'!I$5,'% He'!$C$3:$C$14,0),1))/$C$2</f>
        <v>0</v>
      </c>
      <c r="J16" s="31">
        <f>INDEX('EcologyLenzTests - MAXIMUM'!I:I,MATCH('Flux Density'!$C16,'EcologyLenzTests - MAXIMUM'!$A:$A,0),1)*$C$3*(10/INDEX('% He'!$E$3:$E$14,MATCH('Flux Density'!J$5,'% He'!$C$3:$C$14,0),1))/$C$2</f>
        <v>0</v>
      </c>
      <c r="K16" s="31">
        <f>INDEX('EcologyLenzTests - MAXIMUM'!J:J,MATCH('Flux Density'!$C16,'EcologyLenzTests - MAXIMUM'!$A:$A,0),1)*$C$3*(10/INDEX('% He'!$E$3:$E$14,MATCH('Flux Density'!K$5,'% He'!$C$3:$C$14,0),1))/$C$2</f>
        <v>0</v>
      </c>
      <c r="L16" s="31">
        <f>INDEX('EcologyLenzTests - MAXIMUM'!K:K,MATCH('Flux Density'!$C16,'EcologyLenzTests - MAXIMUM'!$A:$A,0),1)*$C$3*(10/INDEX('% He'!$E$3:$E$14,MATCH('Flux Density'!L$5,'% He'!$C$3:$C$14,0),1))/$C$2</f>
        <v>0</v>
      </c>
      <c r="M16" s="31">
        <f>INDEX('EcologyLenzTests - MAXIMUM'!L:L,MATCH('Flux Density'!$C16,'EcologyLenzTests - MAXIMUM'!$A:$A,0),1)*$C$3*(10/INDEX('% He'!$E$3:$E$14,MATCH('Flux Density'!M$5,'% He'!$C$3:$C$14,0),1))/$C$2</f>
        <v>34.412955465587046</v>
      </c>
      <c r="N16" s="32">
        <f>INDEX('EcologyLenzTests - MAXIMUM'!M:M,MATCH('Flux Density'!$C16,'EcologyLenzTests - MAXIMUM'!$A:$A,0),1)*$C$3*(10/INDEX('% He'!$E$3:$E$14,MATCH('Flux Density'!N$5,'% He'!$C$3:$C$14,0),1))/$C$2</f>
        <v>265.95744680851061</v>
      </c>
    </row>
    <row r="17" spans="2:14" x14ac:dyDescent="0.3">
      <c r="B17" s="139" t="str">
        <f>'EcologyLenzTests - MAXIMUM'!B16</f>
        <v>Ethyl Acetate</v>
      </c>
      <c r="C17" s="39" t="str">
        <f>INDEX('EcologyLenzTests - MAXIMUM'!A:A,MATCH('Flux Density'!B17,'EcologyLenzTests - MAXIMUM'!B:B,0),1)</f>
        <v>141-78-6</v>
      </c>
      <c r="D17" s="31">
        <f>INDEX('EcologyLenzTests - MAXIMUM'!C:C,MATCH('Flux Density'!$C17,'EcologyLenzTests - MAXIMUM'!$A:$A,0),1)*$C$3*(10/INDEX('% He'!$E$3:$E$14,MATCH('Flux Density'!D$5,'% He'!$C$3:$C$14,0),1))/$C$2</f>
        <v>0</v>
      </c>
      <c r="E17" s="31">
        <f>INDEX('EcologyLenzTests - MAXIMUM'!D:D,MATCH('Flux Density'!$C17,'EcologyLenzTests - MAXIMUM'!$A:$A,0),1)*$C$3*(10/INDEX('% He'!$E$3:$E$14,MATCH('Flux Density'!E$5,'% He'!$C$3:$C$14,0),1))/$C$2</f>
        <v>0</v>
      </c>
      <c r="F17" s="31">
        <f>INDEX('EcologyLenzTests - MAXIMUM'!E:E,MATCH('Flux Density'!$C17,'EcologyLenzTests - MAXIMUM'!$A:$A,0),1)*$C$3*(10/INDEX('% He'!$E$3:$E$14,MATCH('Flux Density'!F$5,'% He'!$C$3:$C$14,0),1))/$C$2</f>
        <v>0</v>
      </c>
      <c r="G17" s="31">
        <f>INDEX('EcologyLenzTests - MAXIMUM'!F:F,MATCH('Flux Density'!$C17,'EcologyLenzTests - MAXIMUM'!$A:$A,0),1)*$C$3*(10/INDEX('% He'!$E$3:$E$14,MATCH('Flux Density'!G$5,'% He'!$C$3:$C$14,0),1))/$C$2</f>
        <v>719.60297766749375</v>
      </c>
      <c r="H17" s="31">
        <f>INDEX('EcologyLenzTests - MAXIMUM'!G:G,MATCH('Flux Density'!$C17,'EcologyLenzTests - MAXIMUM'!$A:$A,0),1)*$C$3*(10/INDEX('% He'!$E$3:$E$14,MATCH('Flux Density'!H$5,'% He'!$C$3:$C$14,0),1))/$C$2</f>
        <v>21.739130434782613</v>
      </c>
      <c r="I17" s="31">
        <f>INDEX('EcologyLenzTests - MAXIMUM'!H:H,MATCH('Flux Density'!$C17,'EcologyLenzTests - MAXIMUM'!$A:$A,0),1)*$C$3*(10/INDEX('% He'!$E$3:$E$14,MATCH('Flux Density'!I$5,'% He'!$C$3:$C$14,0),1))/$C$2</f>
        <v>0</v>
      </c>
      <c r="J17" s="31">
        <f>INDEX('EcologyLenzTests - MAXIMUM'!I:I,MATCH('Flux Density'!$C17,'EcologyLenzTests - MAXIMUM'!$A:$A,0),1)*$C$3*(10/INDEX('% He'!$E$3:$E$14,MATCH('Flux Density'!J$5,'% He'!$C$3:$C$14,0),1))/$C$2</f>
        <v>0</v>
      </c>
      <c r="K17" s="31">
        <f>INDEX('EcologyLenzTests - MAXIMUM'!J:J,MATCH('Flux Density'!$C17,'EcologyLenzTests - MAXIMUM'!$A:$A,0),1)*$C$3*(10/INDEX('% He'!$E$3:$E$14,MATCH('Flux Density'!K$5,'% He'!$C$3:$C$14,0),1))/$C$2</f>
        <v>0</v>
      </c>
      <c r="L17" s="31">
        <f>INDEX('EcologyLenzTests - MAXIMUM'!K:K,MATCH('Flux Density'!$C17,'EcologyLenzTests - MAXIMUM'!$A:$A,0),1)*$C$3*(10/INDEX('% He'!$E$3:$E$14,MATCH('Flux Density'!L$5,'% He'!$C$3:$C$14,0),1))/$C$2</f>
        <v>0</v>
      </c>
      <c r="M17" s="31">
        <f>INDEX('EcologyLenzTests - MAXIMUM'!L:L,MATCH('Flux Density'!$C17,'EcologyLenzTests - MAXIMUM'!$A:$A,0),1)*$C$3*(10/INDEX('% He'!$E$3:$E$14,MATCH('Flux Density'!M$5,'% He'!$C$3:$C$14,0),1))/$C$2</f>
        <v>0</v>
      </c>
      <c r="N17" s="32">
        <f>INDEX('EcologyLenzTests - MAXIMUM'!M:M,MATCH('Flux Density'!$C17,'EcologyLenzTests - MAXIMUM'!$A:$A,0),1)*$C$3*(10/INDEX('% He'!$E$3:$E$14,MATCH('Flux Density'!N$5,'% He'!$C$3:$C$14,0),1))/$C$2</f>
        <v>0</v>
      </c>
    </row>
    <row r="18" spans="2:14" x14ac:dyDescent="0.3">
      <c r="B18" s="139" t="str">
        <f>'EcologyLenzTests - MAXIMUM'!B17</f>
        <v>n-Hexane</v>
      </c>
      <c r="C18" s="39" t="str">
        <f>INDEX('EcologyLenzTests - MAXIMUM'!A:A,MATCH('Flux Density'!B18,'EcologyLenzTests - MAXIMUM'!B:B,0),1)</f>
        <v>110-54-3</v>
      </c>
      <c r="D18" s="31">
        <f>INDEX('EcologyLenzTests - MAXIMUM'!C:C,MATCH('Flux Density'!$C18,'EcologyLenzTests - MAXIMUM'!$A:$A,0),1)*$C$3*(10/INDEX('% He'!$E$3:$E$14,MATCH('Flux Density'!D$5,'% He'!$C$3:$C$14,0),1))/$C$2</f>
        <v>0</v>
      </c>
      <c r="E18" s="31">
        <f>INDEX('EcologyLenzTests - MAXIMUM'!D:D,MATCH('Flux Density'!$C18,'EcologyLenzTests - MAXIMUM'!$A:$A,0),1)*$C$3*(10/INDEX('% He'!$E$3:$E$14,MATCH('Flux Density'!E$5,'% He'!$C$3:$C$14,0),1))/$C$2</f>
        <v>0</v>
      </c>
      <c r="F18" s="31">
        <f>INDEX('EcologyLenzTests - MAXIMUM'!E:E,MATCH('Flux Density'!$C18,'EcologyLenzTests - MAXIMUM'!$A:$A,0),1)*$C$3*(10/INDEX('% He'!$E$3:$E$14,MATCH('Flux Density'!F$5,'% He'!$C$3:$C$14,0),1))/$C$2</f>
        <v>0</v>
      </c>
      <c r="G18" s="31">
        <f>INDEX('EcologyLenzTests - MAXIMUM'!F:F,MATCH('Flux Density'!$C18,'EcologyLenzTests - MAXIMUM'!$A:$A,0),1)*$C$3*(10/INDEX('% He'!$E$3:$E$14,MATCH('Flux Density'!G$5,'% He'!$C$3:$C$14,0),1))/$C$2</f>
        <v>0</v>
      </c>
      <c r="H18" s="31">
        <f>INDEX('EcologyLenzTests - MAXIMUM'!G:G,MATCH('Flux Density'!$C18,'EcologyLenzTests - MAXIMUM'!$A:$A,0),1)*$C$3*(10/INDEX('% He'!$E$3:$E$14,MATCH('Flux Density'!H$5,'% He'!$C$3:$C$14,0),1))/$C$2</f>
        <v>0</v>
      </c>
      <c r="I18" s="31">
        <f>INDEX('EcologyLenzTests - MAXIMUM'!H:H,MATCH('Flux Density'!$C18,'EcologyLenzTests - MAXIMUM'!$A:$A,0),1)*$C$3*(10/INDEX('% He'!$E$3:$E$14,MATCH('Flux Density'!I$5,'% He'!$C$3:$C$14,0),1))/$C$2</f>
        <v>0.12195121951219515</v>
      </c>
      <c r="J18" s="31">
        <f>INDEX('EcologyLenzTests - MAXIMUM'!I:I,MATCH('Flux Density'!$C18,'EcologyLenzTests - MAXIMUM'!$A:$A,0),1)*$C$3*(10/INDEX('% He'!$E$3:$E$14,MATCH('Flux Density'!J$5,'% He'!$C$3:$C$14,0),1))/$C$2</f>
        <v>0</v>
      </c>
      <c r="K18" s="31">
        <f>INDEX('EcologyLenzTests - MAXIMUM'!J:J,MATCH('Flux Density'!$C18,'EcologyLenzTests - MAXIMUM'!$A:$A,0),1)*$C$3*(10/INDEX('% He'!$E$3:$E$14,MATCH('Flux Density'!K$5,'% He'!$C$3:$C$14,0),1))/$C$2</f>
        <v>0.30769230769230771</v>
      </c>
      <c r="L18" s="31">
        <f>INDEX('EcologyLenzTests - MAXIMUM'!K:K,MATCH('Flux Density'!$C18,'EcologyLenzTests - MAXIMUM'!$A:$A,0),1)*$C$3*(10/INDEX('% He'!$E$3:$E$14,MATCH('Flux Density'!L$5,'% He'!$C$3:$C$14,0),1))/$C$2</f>
        <v>5.0295857988165684</v>
      </c>
      <c r="M18" s="31">
        <f>INDEX('EcologyLenzTests - MAXIMUM'!L:L,MATCH('Flux Density'!$C18,'EcologyLenzTests - MAXIMUM'!$A:$A,0),1)*$C$3*(10/INDEX('% He'!$E$3:$E$14,MATCH('Flux Density'!M$5,'% He'!$C$3:$C$14,0),1))/$C$2</f>
        <v>0</v>
      </c>
      <c r="N18" s="32">
        <f>INDEX('EcologyLenzTests - MAXIMUM'!M:M,MATCH('Flux Density'!$C18,'EcologyLenzTests - MAXIMUM'!$A:$A,0),1)*$C$3*(10/INDEX('% He'!$E$3:$E$14,MATCH('Flux Density'!N$5,'% He'!$C$3:$C$14,0),1))/$C$2</f>
        <v>0</v>
      </c>
    </row>
    <row r="19" spans="2:14" x14ac:dyDescent="0.3">
      <c r="B19" s="139" t="str">
        <f>'EcologyLenzTests - MAXIMUM'!B18</f>
        <v>Benzene</v>
      </c>
      <c r="C19" s="39" t="str">
        <f>INDEX('EcologyLenzTests - MAXIMUM'!A:A,MATCH('Flux Density'!B19,'EcologyLenzTests - MAXIMUM'!B:B,0),1)</f>
        <v>71-43-2</v>
      </c>
      <c r="D19" s="31">
        <f>INDEX('EcologyLenzTests - MAXIMUM'!C:C,MATCH('Flux Density'!$C19,'EcologyLenzTests - MAXIMUM'!$A:$A,0),1)*$C$3*(10/INDEX('% He'!$E$3:$E$14,MATCH('Flux Density'!D$5,'% He'!$C$3:$C$14,0),1))/$C$2</f>
        <v>0</v>
      </c>
      <c r="E19" s="31">
        <f>INDEX('EcologyLenzTests - MAXIMUM'!D:D,MATCH('Flux Density'!$C19,'EcologyLenzTests - MAXIMUM'!$A:$A,0),1)*$C$3*(10/INDEX('% He'!$E$3:$E$14,MATCH('Flux Density'!E$5,'% He'!$C$3:$C$14,0),1))/$C$2</f>
        <v>0</v>
      </c>
      <c r="F19" s="31">
        <f>INDEX('EcologyLenzTests - MAXIMUM'!E:E,MATCH('Flux Density'!$C19,'EcologyLenzTests - MAXIMUM'!$A:$A,0),1)*$C$3*(10/INDEX('% He'!$E$3:$E$14,MATCH('Flux Density'!F$5,'% He'!$C$3:$C$14,0),1))/$C$2</f>
        <v>0</v>
      </c>
      <c r="G19" s="31">
        <f>INDEX('EcologyLenzTests - MAXIMUM'!F:F,MATCH('Flux Density'!$C19,'EcologyLenzTests - MAXIMUM'!$A:$A,0),1)*$C$3*(10/INDEX('% He'!$E$3:$E$14,MATCH('Flux Density'!G$5,'% He'!$C$3:$C$14,0),1))/$C$2</f>
        <v>0</v>
      </c>
      <c r="H19" s="31">
        <f>INDEX('EcologyLenzTests - MAXIMUM'!G:G,MATCH('Flux Density'!$C19,'EcologyLenzTests - MAXIMUM'!$A:$A,0),1)*$C$3*(10/INDEX('% He'!$E$3:$E$14,MATCH('Flux Density'!H$5,'% He'!$C$3:$C$14,0),1))/$C$2</f>
        <v>0</v>
      </c>
      <c r="I19" s="31">
        <f>INDEX('EcologyLenzTests - MAXIMUM'!H:H,MATCH('Flux Density'!$C19,'EcologyLenzTests - MAXIMUM'!$A:$A,0),1)*$C$3*(10/INDEX('% He'!$E$3:$E$14,MATCH('Flux Density'!I$5,'% He'!$C$3:$C$14,0),1))/$C$2</f>
        <v>0.1407129455909944</v>
      </c>
      <c r="J19" s="31">
        <f>INDEX('EcologyLenzTests - MAXIMUM'!I:I,MATCH('Flux Density'!$C19,'EcologyLenzTests - MAXIMUM'!$A:$A,0),1)*$C$3*(10/INDEX('% He'!$E$3:$E$14,MATCH('Flux Density'!J$5,'% He'!$C$3:$C$14,0),1))/$C$2</f>
        <v>0.98014888337468975</v>
      </c>
      <c r="K19" s="31">
        <f>INDEX('EcologyLenzTests - MAXIMUM'!J:J,MATCH('Flux Density'!$C19,'EcologyLenzTests - MAXIMUM'!$A:$A,0),1)*$C$3*(10/INDEX('% He'!$E$3:$E$14,MATCH('Flux Density'!K$5,'% He'!$C$3:$C$14,0),1))/$C$2</f>
        <v>0.35384615384615381</v>
      </c>
      <c r="L19" s="31">
        <f>INDEX('EcologyLenzTests - MAXIMUM'!K:K,MATCH('Flux Density'!$C19,'EcologyLenzTests - MAXIMUM'!$A:$A,0),1)*$C$3*(10/INDEX('% He'!$E$3:$E$14,MATCH('Flux Density'!L$5,'% He'!$C$3:$C$14,0),1))/$C$2</f>
        <v>4.0433925049309671</v>
      </c>
      <c r="M19" s="31">
        <f>INDEX('EcologyLenzTests - MAXIMUM'!L:L,MATCH('Flux Density'!$C19,'EcologyLenzTests - MAXIMUM'!$A:$A,0),1)*$C$3*(10/INDEX('% He'!$E$3:$E$14,MATCH('Flux Density'!M$5,'% He'!$C$3:$C$14,0),1))/$C$2</f>
        <v>2.4291497975708505</v>
      </c>
      <c r="N19" s="32">
        <f>INDEX('EcologyLenzTests - MAXIMUM'!M:M,MATCH('Flux Density'!$C19,'EcologyLenzTests - MAXIMUM'!$A:$A,0),1)*$C$3*(10/INDEX('% He'!$E$3:$E$14,MATCH('Flux Density'!N$5,'% He'!$C$3:$C$14,0),1))/$C$2</f>
        <v>0</v>
      </c>
    </row>
    <row r="20" spans="2:14" x14ac:dyDescent="0.3">
      <c r="B20" s="139" t="str">
        <f>'EcologyLenzTests - MAXIMUM'!B19</f>
        <v>n-Heptane</v>
      </c>
      <c r="C20" s="39" t="str">
        <f>INDEX('EcologyLenzTests - MAXIMUM'!A:A,MATCH('Flux Density'!B20,'EcologyLenzTests - MAXIMUM'!B:B,0),1)</f>
        <v>142-82-5</v>
      </c>
      <c r="D20" s="31">
        <f>INDEX('EcologyLenzTests - MAXIMUM'!C:C,MATCH('Flux Density'!$C20,'EcologyLenzTests - MAXIMUM'!$A:$A,0),1)*$C$3*(10/INDEX('% He'!$E$3:$E$14,MATCH('Flux Density'!D$5,'% He'!$C$3:$C$14,0),1))/$C$2</f>
        <v>0</v>
      </c>
      <c r="E20" s="31">
        <f>INDEX('EcologyLenzTests - MAXIMUM'!D:D,MATCH('Flux Density'!$C20,'EcologyLenzTests - MAXIMUM'!$A:$A,0),1)*$C$3*(10/INDEX('% He'!$E$3:$E$14,MATCH('Flux Density'!E$5,'% He'!$C$3:$C$14,0),1))/$C$2</f>
        <v>0</v>
      </c>
      <c r="F20" s="31">
        <f>INDEX('EcologyLenzTests - MAXIMUM'!E:E,MATCH('Flux Density'!$C20,'EcologyLenzTests - MAXIMUM'!$A:$A,0),1)*$C$3*(10/INDEX('% He'!$E$3:$E$14,MATCH('Flux Density'!F$5,'% He'!$C$3:$C$14,0),1))/$C$2</f>
        <v>0</v>
      </c>
      <c r="G20" s="31">
        <f>INDEX('EcologyLenzTests - MAXIMUM'!F:F,MATCH('Flux Density'!$C20,'EcologyLenzTests - MAXIMUM'!$A:$A,0),1)*$C$3*(10/INDEX('% He'!$E$3:$E$14,MATCH('Flux Density'!G$5,'% He'!$C$3:$C$14,0),1))/$C$2</f>
        <v>0</v>
      </c>
      <c r="H20" s="31">
        <f>INDEX('EcologyLenzTests - MAXIMUM'!G:G,MATCH('Flux Density'!$C20,'EcologyLenzTests - MAXIMUM'!$A:$A,0),1)*$C$3*(10/INDEX('% He'!$E$3:$E$14,MATCH('Flux Density'!H$5,'% He'!$C$3:$C$14,0),1))/$C$2</f>
        <v>0.23411371237458195</v>
      </c>
      <c r="I20" s="31">
        <f>INDEX('EcologyLenzTests - MAXIMUM'!H:H,MATCH('Flux Density'!$C20,'EcologyLenzTests - MAXIMUM'!$A:$A,0),1)*$C$3*(10/INDEX('% He'!$E$3:$E$14,MATCH('Flux Density'!I$5,'% He'!$C$3:$C$14,0),1))/$C$2</f>
        <v>0</v>
      </c>
      <c r="J20" s="31">
        <f>INDEX('EcologyLenzTests - MAXIMUM'!I:I,MATCH('Flux Density'!$C20,'EcologyLenzTests - MAXIMUM'!$A:$A,0),1)*$C$3*(10/INDEX('% He'!$E$3:$E$14,MATCH('Flux Density'!J$5,'% He'!$C$3:$C$14,0),1))/$C$2</f>
        <v>0.73200992555831268</v>
      </c>
      <c r="K20" s="31">
        <f>INDEX('EcologyLenzTests - MAXIMUM'!J:J,MATCH('Flux Density'!$C20,'EcologyLenzTests - MAXIMUM'!$A:$A,0),1)*$C$3*(10/INDEX('% He'!$E$3:$E$14,MATCH('Flux Density'!K$5,'% He'!$C$3:$C$14,0),1))/$C$2</f>
        <v>0.35384615384615381</v>
      </c>
      <c r="L20" s="31">
        <f>INDEX('EcologyLenzTests - MAXIMUM'!K:K,MATCH('Flux Density'!$C20,'EcologyLenzTests - MAXIMUM'!$A:$A,0),1)*$C$3*(10/INDEX('% He'!$E$3:$E$14,MATCH('Flux Density'!L$5,'% He'!$C$3:$C$14,0),1))/$C$2</f>
        <v>8.1854043392504945</v>
      </c>
      <c r="M20" s="31">
        <f>INDEX('EcologyLenzTests - MAXIMUM'!L:L,MATCH('Flux Density'!$C20,'EcologyLenzTests - MAXIMUM'!$A:$A,0),1)*$C$3*(10/INDEX('% He'!$E$3:$E$14,MATCH('Flux Density'!M$5,'% He'!$C$3:$C$14,0),1))/$C$2</f>
        <v>3.7449392712550607</v>
      </c>
      <c r="N20" s="32">
        <f>INDEX('EcologyLenzTests - MAXIMUM'!M:M,MATCH('Flux Density'!$C20,'EcologyLenzTests - MAXIMUM'!$A:$A,0),1)*$C$3*(10/INDEX('% He'!$E$3:$E$14,MATCH('Flux Density'!N$5,'% He'!$C$3:$C$14,0),1))/$C$2</f>
        <v>0</v>
      </c>
    </row>
    <row r="21" spans="2:14" x14ac:dyDescent="0.3">
      <c r="B21" s="139" t="str">
        <f>'EcologyLenzTests - MAXIMUM'!B20</f>
        <v>4-Methyl-2-pentanone</v>
      </c>
      <c r="C21" s="39" t="str">
        <f>INDEX('EcologyLenzTests - MAXIMUM'!A:A,MATCH('Flux Density'!B21,'EcologyLenzTests - MAXIMUM'!B:B,0),1)</f>
        <v>108-10-1</v>
      </c>
      <c r="D21" s="31">
        <f>INDEX('EcologyLenzTests - MAXIMUM'!C:C,MATCH('Flux Density'!$C21,'EcologyLenzTests - MAXIMUM'!$A:$A,0),1)*$C$3*(10/INDEX('% He'!$E$3:$E$14,MATCH('Flux Density'!D$5,'% He'!$C$3:$C$14,0),1))/$C$2</f>
        <v>0</v>
      </c>
      <c r="E21" s="31">
        <f>INDEX('EcologyLenzTests - MAXIMUM'!D:D,MATCH('Flux Density'!$C21,'EcologyLenzTests - MAXIMUM'!$A:$A,0),1)*$C$3*(10/INDEX('% He'!$E$3:$E$14,MATCH('Flux Density'!E$5,'% He'!$C$3:$C$14,0),1))/$C$2</f>
        <v>0</v>
      </c>
      <c r="F21" s="31">
        <f>INDEX('EcologyLenzTests - MAXIMUM'!E:E,MATCH('Flux Density'!$C21,'EcologyLenzTests - MAXIMUM'!$A:$A,0),1)*$C$3*(10/INDEX('% He'!$E$3:$E$14,MATCH('Flux Density'!F$5,'% He'!$C$3:$C$14,0),1))/$C$2</f>
        <v>0</v>
      </c>
      <c r="G21" s="31">
        <f>INDEX('EcologyLenzTests - MAXIMUM'!F:F,MATCH('Flux Density'!$C21,'EcologyLenzTests - MAXIMUM'!$A:$A,0),1)*$C$3*(10/INDEX('% He'!$E$3:$E$14,MATCH('Flux Density'!G$5,'% He'!$C$3:$C$14,0),1))/$C$2</f>
        <v>0</v>
      </c>
      <c r="H21" s="31">
        <f>INDEX('EcologyLenzTests - MAXIMUM'!G:G,MATCH('Flux Density'!$C21,'EcologyLenzTests - MAXIMUM'!$A:$A,0),1)*$C$3*(10/INDEX('% He'!$E$3:$E$14,MATCH('Flux Density'!H$5,'% He'!$C$3:$C$14,0),1))/$C$2</f>
        <v>0</v>
      </c>
      <c r="I21" s="31">
        <f>INDEX('EcologyLenzTests - MAXIMUM'!H:H,MATCH('Flux Density'!$C21,'EcologyLenzTests - MAXIMUM'!$A:$A,0),1)*$C$3*(10/INDEX('% He'!$E$3:$E$14,MATCH('Flux Density'!I$5,'% He'!$C$3:$C$14,0),1))/$C$2</f>
        <v>0</v>
      </c>
      <c r="J21" s="31">
        <f>INDEX('EcologyLenzTests - MAXIMUM'!I:I,MATCH('Flux Density'!$C21,'EcologyLenzTests - MAXIMUM'!$A:$A,0),1)*$C$3*(10/INDEX('% He'!$E$3:$E$14,MATCH('Flux Density'!J$5,'% He'!$C$3:$C$14,0),1))/$C$2</f>
        <v>0</v>
      </c>
      <c r="K21" s="31">
        <f>INDEX('EcologyLenzTests - MAXIMUM'!J:J,MATCH('Flux Density'!$C21,'EcologyLenzTests - MAXIMUM'!$A:$A,0),1)*$C$3*(10/INDEX('% He'!$E$3:$E$14,MATCH('Flux Density'!K$5,'% He'!$C$3:$C$14,0),1))/$C$2</f>
        <v>0</v>
      </c>
      <c r="L21" s="31">
        <f>INDEX('EcologyLenzTests - MAXIMUM'!K:K,MATCH('Flux Density'!$C21,'EcologyLenzTests - MAXIMUM'!$A:$A,0),1)*$C$3*(10/INDEX('% He'!$E$3:$E$14,MATCH('Flux Density'!L$5,'% He'!$C$3:$C$14,0),1))/$C$2</f>
        <v>0</v>
      </c>
      <c r="M21" s="31">
        <f>INDEX('EcologyLenzTests - MAXIMUM'!L:L,MATCH('Flux Density'!$C21,'EcologyLenzTests - MAXIMUM'!$A:$A,0),1)*$C$3*(10/INDEX('% He'!$E$3:$E$14,MATCH('Flux Density'!M$5,'% He'!$C$3:$C$14,0),1))/$C$2</f>
        <v>5.9716599190283395</v>
      </c>
      <c r="N21" s="32">
        <f>INDEX('EcologyLenzTests - MAXIMUM'!M:M,MATCH('Flux Density'!$C21,'EcologyLenzTests - MAXIMUM'!$A:$A,0),1)*$C$3*(10/INDEX('% He'!$E$3:$E$14,MATCH('Flux Density'!N$5,'% He'!$C$3:$C$14,0),1))/$C$2</f>
        <v>0</v>
      </c>
    </row>
    <row r="22" spans="2:14" x14ac:dyDescent="0.3">
      <c r="B22" s="139" t="str">
        <f>'EcologyLenzTests - MAXIMUM'!B21</f>
        <v>Toluene</v>
      </c>
      <c r="C22" s="39" t="str">
        <f>INDEX('EcologyLenzTests - MAXIMUM'!A:A,MATCH('Flux Density'!B22,'EcologyLenzTests - MAXIMUM'!B:B,0),1)</f>
        <v>108-88-3</v>
      </c>
      <c r="D22" s="31">
        <f>INDEX('EcologyLenzTests - MAXIMUM'!C:C,MATCH('Flux Density'!$C22,'EcologyLenzTests - MAXIMUM'!$A:$A,0),1)*$C$3*(10/INDEX('% He'!$E$3:$E$14,MATCH('Flux Density'!D$5,'% He'!$C$3:$C$14,0),1))/$C$2</f>
        <v>25.641025641025642</v>
      </c>
      <c r="E22" s="31">
        <f>INDEX('EcologyLenzTests - MAXIMUM'!D:D,MATCH('Flux Density'!$C22,'EcologyLenzTests - MAXIMUM'!$A:$A,0),1)*$C$3*(10/INDEX('% He'!$E$3:$E$14,MATCH('Flux Density'!E$5,'% He'!$C$3:$C$14,0),1))/$C$2</f>
        <v>5.4009819967266779</v>
      </c>
      <c r="F22" s="31">
        <f>INDEX('EcologyLenzTests - MAXIMUM'!E:E,MATCH('Flux Density'!$C22,'EcologyLenzTests - MAXIMUM'!$A:$A,0),1)*$C$3*(10/INDEX('% He'!$E$3:$E$14,MATCH('Flux Density'!F$5,'% He'!$C$3:$C$14,0),1))/$C$2</f>
        <v>0</v>
      </c>
      <c r="G22" s="31">
        <f>INDEX('EcologyLenzTests - MAXIMUM'!F:F,MATCH('Flux Density'!$C22,'EcologyLenzTests - MAXIMUM'!$A:$A,0),1)*$C$3*(10/INDEX('% He'!$E$3:$E$14,MATCH('Flux Density'!G$5,'% He'!$C$3:$C$14,0),1))/$C$2</f>
        <v>459.05707196029778</v>
      </c>
      <c r="H22" s="31">
        <f>INDEX('EcologyLenzTests - MAXIMUM'!G:G,MATCH('Flux Density'!$C22,'EcologyLenzTests - MAXIMUM'!$A:$A,0),1)*$C$3*(10/INDEX('% He'!$E$3:$E$14,MATCH('Flux Density'!H$5,'% He'!$C$3:$C$14,0),1))/$C$2</f>
        <v>1.4381270903010033</v>
      </c>
      <c r="I22" s="31">
        <f>INDEX('EcologyLenzTests - MAXIMUM'!H:H,MATCH('Flux Density'!$C22,'EcologyLenzTests - MAXIMUM'!$A:$A,0),1)*$C$3*(10/INDEX('% He'!$E$3:$E$14,MATCH('Flux Density'!I$5,'% He'!$C$3:$C$14,0),1))/$C$2</f>
        <v>0</v>
      </c>
      <c r="J22" s="31">
        <f>INDEX('EcologyLenzTests - MAXIMUM'!I:I,MATCH('Flux Density'!$C22,'EcologyLenzTests - MAXIMUM'!$A:$A,0),1)*$C$3*(10/INDEX('% He'!$E$3:$E$14,MATCH('Flux Density'!J$5,'% He'!$C$3:$C$14,0),1))/$C$2</f>
        <v>1.3647642679900742</v>
      </c>
      <c r="K22" s="31">
        <f>INDEX('EcologyLenzTests - MAXIMUM'!J:J,MATCH('Flux Density'!$C22,'EcologyLenzTests - MAXIMUM'!$A:$A,0),1)*$C$3*(10/INDEX('% He'!$E$3:$E$14,MATCH('Flux Density'!K$5,'% He'!$C$3:$C$14,0),1))/$C$2</f>
        <v>0.64615384615384619</v>
      </c>
      <c r="L22" s="31">
        <f>INDEX('EcologyLenzTests - MAXIMUM'!K:K,MATCH('Flux Density'!$C22,'EcologyLenzTests - MAXIMUM'!$A:$A,0),1)*$C$3*(10/INDEX('% He'!$E$3:$E$14,MATCH('Flux Density'!L$5,'% He'!$C$3:$C$14,0),1))/$C$2</f>
        <v>7.3964497041420127</v>
      </c>
      <c r="M22" s="31">
        <f>INDEX('EcologyLenzTests - MAXIMUM'!L:L,MATCH('Flux Density'!$C22,'EcologyLenzTests - MAXIMUM'!$A:$A,0),1)*$C$3*(10/INDEX('% He'!$E$3:$E$14,MATCH('Flux Density'!M$5,'% He'!$C$3:$C$14,0),1))/$C$2</f>
        <v>5.5668016194331988</v>
      </c>
      <c r="N22" s="32">
        <f>INDEX('EcologyLenzTests - MAXIMUM'!M:M,MATCH('Flux Density'!$C22,'EcologyLenzTests - MAXIMUM'!$A:$A,0),1)*$C$3*(10/INDEX('% He'!$E$3:$E$14,MATCH('Flux Density'!N$5,'% He'!$C$3:$C$14,0),1))/$C$2</f>
        <v>0</v>
      </c>
    </row>
    <row r="23" spans="2:14" x14ac:dyDescent="0.3">
      <c r="B23" s="139" t="str">
        <f>'EcologyLenzTests - MAXIMUM'!B22</f>
        <v>n-Octane</v>
      </c>
      <c r="C23" s="39" t="str">
        <f>INDEX('EcologyLenzTests - MAXIMUM'!A:A,MATCH('Flux Density'!B23,'EcologyLenzTests - MAXIMUM'!B:B,0),1)</f>
        <v>111-63-9</v>
      </c>
      <c r="D23" s="31">
        <f>INDEX('EcologyLenzTests - MAXIMUM'!C:C,MATCH('Flux Density'!$C23,'EcologyLenzTests - MAXIMUM'!$A:$A,0),1)*$C$3*(10/INDEX('% He'!$E$3:$E$14,MATCH('Flux Density'!D$5,'% He'!$C$3:$C$14,0),1))/$C$2</f>
        <v>0</v>
      </c>
      <c r="E23" s="31">
        <f>INDEX('EcologyLenzTests - MAXIMUM'!D:D,MATCH('Flux Density'!$C23,'EcologyLenzTests - MAXIMUM'!$A:$A,0),1)*$C$3*(10/INDEX('% He'!$E$3:$E$14,MATCH('Flux Density'!E$5,'% He'!$C$3:$C$14,0),1))/$C$2</f>
        <v>0</v>
      </c>
      <c r="F23" s="31">
        <f>INDEX('EcologyLenzTests - MAXIMUM'!E:E,MATCH('Flux Density'!$C23,'EcologyLenzTests - MAXIMUM'!$A:$A,0),1)*$C$3*(10/INDEX('% He'!$E$3:$E$14,MATCH('Flux Density'!F$5,'% He'!$C$3:$C$14,0),1))/$C$2</f>
        <v>0</v>
      </c>
      <c r="G23" s="31">
        <f>INDEX('EcologyLenzTests - MAXIMUM'!F:F,MATCH('Flux Density'!$C23,'EcologyLenzTests - MAXIMUM'!$A:$A,0),1)*$C$3*(10/INDEX('% He'!$E$3:$E$14,MATCH('Flux Density'!G$5,'% He'!$C$3:$C$14,0),1))/$C$2</f>
        <v>0</v>
      </c>
      <c r="H23" s="31">
        <f>INDEX('EcologyLenzTests - MAXIMUM'!G:G,MATCH('Flux Density'!$C23,'EcologyLenzTests - MAXIMUM'!$A:$A,0),1)*$C$3*(10/INDEX('% He'!$E$3:$E$14,MATCH('Flux Density'!H$5,'% He'!$C$3:$C$14,0),1))/$C$2</f>
        <v>0</v>
      </c>
      <c r="I23" s="31">
        <f>INDEX('EcologyLenzTests - MAXIMUM'!H:H,MATCH('Flux Density'!$C23,'EcologyLenzTests - MAXIMUM'!$A:$A,0),1)*$C$3*(10/INDEX('% He'!$E$3:$E$14,MATCH('Flux Density'!I$5,'% He'!$C$3:$C$14,0),1))/$C$2</f>
        <v>0</v>
      </c>
      <c r="J23" s="31">
        <f>INDEX('EcologyLenzTests - MAXIMUM'!I:I,MATCH('Flux Density'!$C23,'EcologyLenzTests - MAXIMUM'!$A:$A,0),1)*$C$3*(10/INDEX('% He'!$E$3:$E$14,MATCH('Flux Density'!J$5,'% He'!$C$3:$C$14,0),1))/$C$2</f>
        <v>0.79404466501240689</v>
      </c>
      <c r="K23" s="31">
        <f>INDEX('EcologyLenzTests - MAXIMUM'!J:J,MATCH('Flux Density'!$C23,'EcologyLenzTests - MAXIMUM'!$A:$A,0),1)*$C$3*(10/INDEX('% He'!$E$3:$E$14,MATCH('Flux Density'!K$5,'% He'!$C$3:$C$14,0),1))/$C$2</f>
        <v>0</v>
      </c>
      <c r="L23" s="31">
        <f>INDEX('EcologyLenzTests - MAXIMUM'!K:K,MATCH('Flux Density'!$C23,'EcologyLenzTests - MAXIMUM'!$A:$A,0),1)*$C$3*(10/INDEX('% He'!$E$3:$E$14,MATCH('Flux Density'!L$5,'% He'!$C$3:$C$14,0),1))/$C$2</f>
        <v>7.5936883629191332</v>
      </c>
      <c r="M23" s="31">
        <f>INDEX('EcologyLenzTests - MAXIMUM'!L:L,MATCH('Flux Density'!$C23,'EcologyLenzTests - MAXIMUM'!$A:$A,0),1)*$C$3*(10/INDEX('% He'!$E$3:$E$14,MATCH('Flux Density'!M$5,'% He'!$C$3:$C$14,0),1))/$C$2</f>
        <v>2.3279352226720653</v>
      </c>
      <c r="N23" s="32">
        <f>INDEX('EcologyLenzTests - MAXIMUM'!M:M,MATCH('Flux Density'!$C23,'EcologyLenzTests - MAXIMUM'!$A:$A,0),1)*$C$3*(10/INDEX('% He'!$E$3:$E$14,MATCH('Flux Density'!N$5,'% He'!$C$3:$C$14,0),1))/$C$2</f>
        <v>0</v>
      </c>
    </row>
    <row r="24" spans="2:14" x14ac:dyDescent="0.3">
      <c r="B24" s="139" t="str">
        <f>'EcologyLenzTests - MAXIMUM'!B23</f>
        <v>Ethylbenzene</v>
      </c>
      <c r="C24" s="39" t="str">
        <f>INDEX('EcologyLenzTests - MAXIMUM'!A:A,MATCH('Flux Density'!B24,'EcologyLenzTests - MAXIMUM'!B:B,0),1)</f>
        <v>100-41-4</v>
      </c>
      <c r="D24" s="31">
        <f>INDEX('EcologyLenzTests - MAXIMUM'!C:C,MATCH('Flux Density'!$C24,'EcologyLenzTests - MAXIMUM'!$A:$A,0),1)*$C$3*(10/INDEX('% He'!$E$3:$E$14,MATCH('Flux Density'!D$5,'% He'!$C$3:$C$14,0),1))/$C$2</f>
        <v>0</v>
      </c>
      <c r="E24" s="31">
        <f>INDEX('EcologyLenzTests - MAXIMUM'!D:D,MATCH('Flux Density'!$C24,'EcologyLenzTests - MAXIMUM'!$A:$A,0),1)*$C$3*(10/INDEX('% He'!$E$3:$E$14,MATCH('Flux Density'!E$5,'% He'!$C$3:$C$14,0),1))/$C$2</f>
        <v>0</v>
      </c>
      <c r="F24" s="31">
        <f>INDEX('EcologyLenzTests - MAXIMUM'!E:E,MATCH('Flux Density'!$C24,'EcologyLenzTests - MAXIMUM'!$A:$A,0),1)*$C$3*(10/INDEX('% He'!$E$3:$E$14,MATCH('Flux Density'!F$5,'% He'!$C$3:$C$14,0),1))/$C$2</f>
        <v>0</v>
      </c>
      <c r="G24" s="31">
        <f>INDEX('EcologyLenzTests - MAXIMUM'!F:F,MATCH('Flux Density'!$C24,'EcologyLenzTests - MAXIMUM'!$A:$A,0),1)*$C$3*(10/INDEX('% He'!$E$3:$E$14,MATCH('Flux Density'!G$5,'% He'!$C$3:$C$14,0),1))/$C$2</f>
        <v>0</v>
      </c>
      <c r="H24" s="31">
        <f>INDEX('EcologyLenzTests - MAXIMUM'!G:G,MATCH('Flux Density'!$C24,'EcologyLenzTests - MAXIMUM'!$A:$A,0),1)*$C$3*(10/INDEX('% He'!$E$3:$E$14,MATCH('Flux Density'!H$5,'% He'!$C$3:$C$14,0),1))/$C$2</f>
        <v>0</v>
      </c>
      <c r="I24" s="31">
        <f>INDEX('EcologyLenzTests - MAXIMUM'!H:H,MATCH('Flux Density'!$C24,'EcologyLenzTests - MAXIMUM'!$A:$A,0),1)*$C$3*(10/INDEX('% He'!$E$3:$E$14,MATCH('Flux Density'!I$5,'% He'!$C$3:$C$14,0),1))/$C$2</f>
        <v>0</v>
      </c>
      <c r="J24" s="31">
        <f>INDEX('EcologyLenzTests - MAXIMUM'!I:I,MATCH('Flux Density'!$C24,'EcologyLenzTests - MAXIMUM'!$A:$A,0),1)*$C$3*(10/INDEX('% He'!$E$3:$E$14,MATCH('Flux Density'!J$5,'% He'!$C$3:$C$14,0),1))/$C$2</f>
        <v>0</v>
      </c>
      <c r="K24" s="31">
        <f>INDEX('EcologyLenzTests - MAXIMUM'!J:J,MATCH('Flux Density'!$C24,'EcologyLenzTests - MAXIMUM'!$A:$A,0),1)*$C$3*(10/INDEX('% He'!$E$3:$E$14,MATCH('Flux Density'!K$5,'% He'!$C$3:$C$14,0),1))/$C$2</f>
        <v>0.1</v>
      </c>
      <c r="L24" s="31">
        <f>INDEX('EcologyLenzTests - MAXIMUM'!K:K,MATCH('Flux Density'!$C24,'EcologyLenzTests - MAXIMUM'!$A:$A,0),1)*$C$3*(10/INDEX('% He'!$E$3:$E$14,MATCH('Flux Density'!L$5,'% He'!$C$3:$C$14,0),1))/$C$2</f>
        <v>0</v>
      </c>
      <c r="M24" s="31">
        <f>INDEX('EcologyLenzTests - MAXIMUM'!L:L,MATCH('Flux Density'!$C24,'EcologyLenzTests - MAXIMUM'!$A:$A,0),1)*$C$3*(10/INDEX('% He'!$E$3:$E$14,MATCH('Flux Density'!M$5,'% He'!$C$3:$C$14,0),1))/$C$2</f>
        <v>0</v>
      </c>
      <c r="N24" s="32">
        <f>INDEX('EcologyLenzTests - MAXIMUM'!M:M,MATCH('Flux Density'!$C24,'EcologyLenzTests - MAXIMUM'!$A:$A,0),1)*$C$3*(10/INDEX('% He'!$E$3:$E$14,MATCH('Flux Density'!N$5,'% He'!$C$3:$C$14,0),1))/$C$2</f>
        <v>0</v>
      </c>
    </row>
    <row r="25" spans="2:14" x14ac:dyDescent="0.3">
      <c r="B25" s="139" t="str">
        <f>'EcologyLenzTests - MAXIMUM'!B24</f>
        <v>m,p-Xylenes</v>
      </c>
      <c r="C25" s="39" t="str">
        <f>INDEX('EcologyLenzTests - MAXIMUM'!A:A,MATCH('Flux Density'!B25,'EcologyLenzTests - MAXIMUM'!B:B,0),1)</f>
        <v>179601-23-1</v>
      </c>
      <c r="D25" s="31">
        <f>INDEX('EcologyLenzTests - MAXIMUM'!C:C,MATCH('Flux Density'!$C25,'EcologyLenzTests - MAXIMUM'!$A:$A,0),1)*$C$3*(10/INDEX('% He'!$E$3:$E$14,MATCH('Flux Density'!D$5,'% He'!$C$3:$C$14,0),1))/$C$2</f>
        <v>0</v>
      </c>
      <c r="E25" s="31">
        <f>INDEX('EcologyLenzTests - MAXIMUM'!D:D,MATCH('Flux Density'!$C25,'EcologyLenzTests - MAXIMUM'!$A:$A,0),1)*$C$3*(10/INDEX('% He'!$E$3:$E$14,MATCH('Flux Density'!E$5,'% He'!$C$3:$C$14,0),1))/$C$2</f>
        <v>0</v>
      </c>
      <c r="F25" s="31">
        <f>INDEX('EcologyLenzTests - MAXIMUM'!E:E,MATCH('Flux Density'!$C25,'EcologyLenzTests - MAXIMUM'!$A:$A,0),1)*$C$3*(10/INDEX('% He'!$E$3:$E$14,MATCH('Flux Density'!F$5,'% He'!$C$3:$C$14,0),1))/$C$2</f>
        <v>0</v>
      </c>
      <c r="G25" s="31">
        <f>INDEX('EcologyLenzTests - MAXIMUM'!F:F,MATCH('Flux Density'!$C25,'EcologyLenzTests - MAXIMUM'!$A:$A,0),1)*$C$3*(10/INDEX('% He'!$E$3:$E$14,MATCH('Flux Density'!G$5,'% He'!$C$3:$C$14,0),1))/$C$2</f>
        <v>0</v>
      </c>
      <c r="H25" s="31">
        <f>INDEX('EcologyLenzTests - MAXIMUM'!G:G,MATCH('Flux Density'!$C25,'EcologyLenzTests - MAXIMUM'!$A:$A,0),1)*$C$3*(10/INDEX('% He'!$E$3:$E$14,MATCH('Flux Density'!H$5,'% He'!$C$3:$C$14,0),1))/$C$2</f>
        <v>0</v>
      </c>
      <c r="I25" s="31">
        <f>INDEX('EcologyLenzTests - MAXIMUM'!H:H,MATCH('Flux Density'!$C25,'EcologyLenzTests - MAXIMUM'!$A:$A,0),1)*$C$3*(10/INDEX('% He'!$E$3:$E$14,MATCH('Flux Density'!I$5,'% He'!$C$3:$C$14,0),1))/$C$2</f>
        <v>0</v>
      </c>
      <c r="J25" s="31">
        <f>INDEX('EcologyLenzTests - MAXIMUM'!I:I,MATCH('Flux Density'!$C25,'EcologyLenzTests - MAXIMUM'!$A:$A,0),1)*$C$3*(10/INDEX('% He'!$E$3:$E$14,MATCH('Flux Density'!J$5,'% He'!$C$3:$C$14,0),1))/$C$2</f>
        <v>0</v>
      </c>
      <c r="K25" s="31">
        <f>INDEX('EcologyLenzTests - MAXIMUM'!J:J,MATCH('Flux Density'!$C25,'EcologyLenzTests - MAXIMUM'!$A:$A,0),1)*$C$3*(10/INDEX('% He'!$E$3:$E$14,MATCH('Flux Density'!K$5,'% He'!$C$3:$C$14,0),1))/$C$2</f>
        <v>0.32307692307692309</v>
      </c>
      <c r="L25" s="31">
        <f>INDEX('EcologyLenzTests - MAXIMUM'!K:K,MATCH('Flux Density'!$C25,'EcologyLenzTests - MAXIMUM'!$A:$A,0),1)*$C$3*(10/INDEX('% He'!$E$3:$E$14,MATCH('Flux Density'!L$5,'% He'!$C$3:$C$14,0),1))/$C$2</f>
        <v>0</v>
      </c>
      <c r="M25" s="31">
        <f>INDEX('EcologyLenzTests - MAXIMUM'!L:L,MATCH('Flux Density'!$C25,'EcologyLenzTests - MAXIMUM'!$A:$A,0),1)*$C$3*(10/INDEX('% He'!$E$3:$E$14,MATCH('Flux Density'!M$5,'% He'!$C$3:$C$14,0),1))/$C$2</f>
        <v>0</v>
      </c>
      <c r="N25" s="32">
        <f>INDEX('EcologyLenzTests - MAXIMUM'!M:M,MATCH('Flux Density'!$C25,'EcologyLenzTests - MAXIMUM'!$A:$A,0),1)*$C$3*(10/INDEX('% He'!$E$3:$E$14,MATCH('Flux Density'!N$5,'% He'!$C$3:$C$14,0),1))/$C$2</f>
        <v>0</v>
      </c>
    </row>
    <row r="26" spans="2:14" x14ac:dyDescent="0.3">
      <c r="B26" s="139" t="str">
        <f>'EcologyLenzTests - MAXIMUM'!B25</f>
        <v>Styrene</v>
      </c>
      <c r="C26" s="39" t="str">
        <f>INDEX('EcologyLenzTests - MAXIMUM'!A:A,MATCH('Flux Density'!B26,'EcologyLenzTests - MAXIMUM'!B:B,0),1)</f>
        <v>100-42-5</v>
      </c>
      <c r="D26" s="31">
        <f>INDEX('EcologyLenzTests - MAXIMUM'!C:C,MATCH('Flux Density'!$C26,'EcologyLenzTests - MAXIMUM'!$A:$A,0),1)*$C$3*(10/INDEX('% He'!$E$3:$E$14,MATCH('Flux Density'!D$5,'% He'!$C$3:$C$14,0),1))/$C$2</f>
        <v>0</v>
      </c>
      <c r="E26" s="31">
        <f>INDEX('EcologyLenzTests - MAXIMUM'!D:D,MATCH('Flux Density'!$C26,'EcologyLenzTests - MAXIMUM'!$A:$A,0),1)*$C$3*(10/INDEX('% He'!$E$3:$E$14,MATCH('Flux Density'!E$5,'% He'!$C$3:$C$14,0),1))/$C$2</f>
        <v>0</v>
      </c>
      <c r="F26" s="31">
        <f>INDEX('EcologyLenzTests - MAXIMUM'!E:E,MATCH('Flux Density'!$C26,'EcologyLenzTests - MAXIMUM'!$A:$A,0),1)*$C$3*(10/INDEX('% He'!$E$3:$E$14,MATCH('Flux Density'!F$5,'% He'!$C$3:$C$14,0),1))/$C$2</f>
        <v>0</v>
      </c>
      <c r="G26" s="31">
        <f>INDEX('EcologyLenzTests - MAXIMUM'!F:F,MATCH('Flux Density'!$C26,'EcologyLenzTests - MAXIMUM'!$A:$A,0),1)*$C$3*(10/INDEX('% He'!$E$3:$E$14,MATCH('Flux Density'!G$5,'% He'!$C$3:$C$14,0),1))/$C$2</f>
        <v>0</v>
      </c>
      <c r="H26" s="31">
        <f>INDEX('EcologyLenzTests - MAXIMUM'!G:G,MATCH('Flux Density'!$C26,'EcologyLenzTests - MAXIMUM'!$A:$A,0),1)*$C$3*(10/INDEX('% He'!$E$3:$E$14,MATCH('Flux Density'!H$5,'% He'!$C$3:$C$14,0),1))/$C$2</f>
        <v>0</v>
      </c>
      <c r="I26" s="31">
        <f>INDEX('EcologyLenzTests - MAXIMUM'!H:H,MATCH('Flux Density'!$C26,'EcologyLenzTests - MAXIMUM'!$A:$A,0),1)*$C$3*(10/INDEX('% He'!$E$3:$E$14,MATCH('Flux Density'!I$5,'% He'!$C$3:$C$14,0),1))/$C$2</f>
        <v>0</v>
      </c>
      <c r="J26" s="31">
        <f>INDEX('EcologyLenzTests - MAXIMUM'!I:I,MATCH('Flux Density'!$C26,'EcologyLenzTests - MAXIMUM'!$A:$A,0),1)*$C$3*(10/INDEX('% He'!$E$3:$E$14,MATCH('Flux Density'!J$5,'% He'!$C$3:$C$14,0),1))/$C$2</f>
        <v>0.69478908188585586</v>
      </c>
      <c r="K26" s="31">
        <f>INDEX('EcologyLenzTests - MAXIMUM'!J:J,MATCH('Flux Density'!$C26,'EcologyLenzTests - MAXIMUM'!$A:$A,0),1)*$C$3*(10/INDEX('% He'!$E$3:$E$14,MATCH('Flux Density'!K$5,'% He'!$C$3:$C$14,0),1))/$C$2</f>
        <v>0</v>
      </c>
      <c r="L26" s="31">
        <f>INDEX('EcologyLenzTests - MAXIMUM'!K:K,MATCH('Flux Density'!$C26,'EcologyLenzTests - MAXIMUM'!$A:$A,0),1)*$C$3*(10/INDEX('% He'!$E$3:$E$14,MATCH('Flux Density'!L$5,'% He'!$C$3:$C$14,0),1))/$C$2</f>
        <v>8.1854043392504945</v>
      </c>
      <c r="M26" s="31">
        <f>INDEX('EcologyLenzTests - MAXIMUM'!L:L,MATCH('Flux Density'!$C26,'EcologyLenzTests - MAXIMUM'!$A:$A,0),1)*$C$3*(10/INDEX('% He'!$E$3:$E$14,MATCH('Flux Density'!M$5,'% He'!$C$3:$C$14,0),1))/$C$2</f>
        <v>7.4898785425101213</v>
      </c>
      <c r="N26" s="32">
        <f>INDEX('EcologyLenzTests - MAXIMUM'!M:M,MATCH('Flux Density'!$C26,'EcologyLenzTests - MAXIMUM'!$A:$A,0),1)*$C$3*(10/INDEX('% He'!$E$3:$E$14,MATCH('Flux Density'!N$5,'% He'!$C$3:$C$14,0),1))/$C$2</f>
        <v>0</v>
      </c>
    </row>
    <row r="27" spans="2:14" x14ac:dyDescent="0.3">
      <c r="B27" s="139" t="str">
        <f>'EcologyLenzTests - MAXIMUM'!B26</f>
        <v>n-Nonane</v>
      </c>
      <c r="C27" s="39" t="str">
        <f>INDEX('EcologyLenzTests - MAXIMUM'!A:A,MATCH('Flux Density'!B27,'EcologyLenzTests - MAXIMUM'!B:B,0),1)</f>
        <v>111-84-2</v>
      </c>
      <c r="D27" s="31">
        <f>INDEX('EcologyLenzTests - MAXIMUM'!C:C,MATCH('Flux Density'!$C27,'EcologyLenzTests - MAXIMUM'!$A:$A,0),1)*$C$3*(10/INDEX('% He'!$E$3:$E$14,MATCH('Flux Density'!D$5,'% He'!$C$3:$C$14,0),1))/$C$2</f>
        <v>0</v>
      </c>
      <c r="E27" s="31">
        <f>INDEX('EcologyLenzTests - MAXIMUM'!D:D,MATCH('Flux Density'!$C27,'EcologyLenzTests - MAXIMUM'!$A:$A,0),1)*$C$3*(10/INDEX('% He'!$E$3:$E$14,MATCH('Flux Density'!E$5,'% He'!$C$3:$C$14,0),1))/$C$2</f>
        <v>0</v>
      </c>
      <c r="F27" s="31">
        <f>INDEX('EcologyLenzTests - MAXIMUM'!E:E,MATCH('Flux Density'!$C27,'EcologyLenzTests - MAXIMUM'!$A:$A,0),1)*$C$3*(10/INDEX('% He'!$E$3:$E$14,MATCH('Flux Density'!F$5,'% He'!$C$3:$C$14,0),1))/$C$2</f>
        <v>0</v>
      </c>
      <c r="G27" s="31">
        <f>INDEX('EcologyLenzTests - MAXIMUM'!F:F,MATCH('Flux Density'!$C27,'EcologyLenzTests - MAXIMUM'!$A:$A,0),1)*$C$3*(10/INDEX('% He'!$E$3:$E$14,MATCH('Flux Density'!G$5,'% He'!$C$3:$C$14,0),1))/$C$2</f>
        <v>0</v>
      </c>
      <c r="H27" s="31">
        <f>INDEX('EcologyLenzTests - MAXIMUM'!G:G,MATCH('Flux Density'!$C27,'EcologyLenzTests - MAXIMUM'!$A:$A,0),1)*$C$3*(10/INDEX('% He'!$E$3:$E$14,MATCH('Flux Density'!H$5,'% He'!$C$3:$C$14,0),1))/$C$2</f>
        <v>0</v>
      </c>
      <c r="I27" s="31">
        <f>INDEX('EcologyLenzTests - MAXIMUM'!H:H,MATCH('Flux Density'!$C27,'EcologyLenzTests - MAXIMUM'!$A:$A,0),1)*$C$3*(10/INDEX('% He'!$E$3:$E$14,MATCH('Flux Density'!I$5,'% He'!$C$3:$C$14,0),1))/$C$2</f>
        <v>0</v>
      </c>
      <c r="J27" s="31">
        <f>INDEX('EcologyLenzTests - MAXIMUM'!I:I,MATCH('Flux Density'!$C27,'EcologyLenzTests - MAXIMUM'!$A:$A,0),1)*$C$3*(10/INDEX('% He'!$E$3:$E$14,MATCH('Flux Density'!J$5,'% He'!$C$3:$C$14,0),1))/$C$2</f>
        <v>0</v>
      </c>
      <c r="K27" s="31">
        <f>INDEX('EcologyLenzTests - MAXIMUM'!J:J,MATCH('Flux Density'!$C27,'EcologyLenzTests - MAXIMUM'!$A:$A,0),1)*$C$3*(10/INDEX('% He'!$E$3:$E$14,MATCH('Flux Density'!K$5,'% He'!$C$3:$C$14,0),1))/$C$2</f>
        <v>0</v>
      </c>
      <c r="L27" s="31">
        <f>INDEX('EcologyLenzTests - MAXIMUM'!K:K,MATCH('Flux Density'!$C27,'EcologyLenzTests - MAXIMUM'!$A:$A,0),1)*$C$3*(10/INDEX('% He'!$E$3:$E$14,MATCH('Flux Density'!L$5,'% He'!$C$3:$C$14,0),1))/$C$2</f>
        <v>0</v>
      </c>
      <c r="M27" s="31">
        <f>INDEX('EcologyLenzTests - MAXIMUM'!L:L,MATCH('Flux Density'!$C27,'EcologyLenzTests - MAXIMUM'!$A:$A,0),1)*$C$3*(10/INDEX('% He'!$E$3:$E$14,MATCH('Flux Density'!M$5,'% He'!$C$3:$C$14,0),1))/$C$2</f>
        <v>1.8218623481781377</v>
      </c>
      <c r="N27" s="32">
        <f>INDEX('EcologyLenzTests - MAXIMUM'!M:M,MATCH('Flux Density'!$C27,'EcologyLenzTests - MAXIMUM'!$A:$A,0),1)*$C$3*(10/INDEX('% He'!$E$3:$E$14,MATCH('Flux Density'!N$5,'% He'!$C$3:$C$14,0),1))/$C$2</f>
        <v>25.368248772504089</v>
      </c>
    </row>
    <row r="28" spans="2:14" x14ac:dyDescent="0.3">
      <c r="B28" s="139" t="str">
        <f>'EcologyLenzTests - MAXIMUM'!B27</f>
        <v>alpha-Pinene</v>
      </c>
      <c r="C28" s="39" t="str">
        <f>INDEX('EcologyLenzTests - MAXIMUM'!A:A,MATCH('Flux Density'!B28,'EcologyLenzTests - MAXIMUM'!B:B,0),1)</f>
        <v>80-56-8</v>
      </c>
      <c r="D28" s="137">
        <f>INDEX('EcologyLenzTests - MAXIMUM'!C:C,MATCH('Flux Density'!$C28,'EcologyLenzTests - MAXIMUM'!$A:$A,0),1)*$C$3*(10/INDEX('% He'!$E$3:$E$14,MATCH('Flux Density'!D$5,'% He'!$C$3:$C$14,0),1))/$C$2</f>
        <v>2350.4273504273501</v>
      </c>
      <c r="E28" s="31">
        <f>INDEX('EcologyLenzTests - MAXIMUM'!D:D,MATCH('Flux Density'!$C28,'EcologyLenzTests - MAXIMUM'!$A:$A,0),1)*$C$3*(10/INDEX('% He'!$E$3:$E$14,MATCH('Flux Density'!E$5,'% He'!$C$3:$C$14,0),1))/$C$2</f>
        <v>654.66448445171841</v>
      </c>
      <c r="F28" s="31">
        <f>INDEX('EcologyLenzTests - MAXIMUM'!E:E,MATCH('Flux Density'!$C28,'EcologyLenzTests - MAXIMUM'!$A:$A,0),1)*$C$3*(10/INDEX('% He'!$E$3:$E$14,MATCH('Flux Density'!F$5,'% He'!$C$3:$C$14,0),1))/$C$2</f>
        <v>678.73303167420818</v>
      </c>
      <c r="G28" s="137">
        <f>INDEX('EcologyLenzTests - MAXIMUM'!F:F,MATCH('Flux Density'!$C28,'EcologyLenzTests - MAXIMUM'!$A:$A,0),1)*$C$3*(10/INDEX('% He'!$E$3:$E$14,MATCH('Flux Density'!G$5,'% He'!$C$3:$C$14,0),1))/$C$2</f>
        <v>55831.265508684861</v>
      </c>
      <c r="H28" s="31">
        <f>INDEX('EcologyLenzTests - MAXIMUM'!G:G,MATCH('Flux Density'!$C28,'EcologyLenzTests - MAXIMUM'!$A:$A,0),1)*$C$3*(10/INDEX('% He'!$E$3:$E$14,MATCH('Flux Density'!H$5,'% He'!$C$3:$C$14,0),1))/$C$2</f>
        <v>12.54180602006689</v>
      </c>
      <c r="I28" s="31">
        <f>INDEX('EcologyLenzTests - MAXIMUM'!H:H,MATCH('Flux Density'!$C28,'EcologyLenzTests - MAXIMUM'!$A:$A,0),1)*$C$3*(10/INDEX('% He'!$E$3:$E$14,MATCH('Flux Density'!I$5,'% He'!$C$3:$C$14,0),1))/$C$2</f>
        <v>0.15947467166979365</v>
      </c>
      <c r="J28" s="31">
        <f>INDEX('EcologyLenzTests - MAXIMUM'!I:I,MATCH('Flux Density'!$C28,'EcologyLenzTests - MAXIMUM'!$A:$A,0),1)*$C$3*(10/INDEX('% He'!$E$3:$E$14,MATCH('Flux Density'!J$5,'% He'!$C$3:$C$14,0),1))/$C$2</f>
        <v>76.92307692307692</v>
      </c>
      <c r="K28" s="31">
        <f>INDEX('EcologyLenzTests - MAXIMUM'!J:J,MATCH('Flux Density'!$C28,'EcologyLenzTests - MAXIMUM'!$A:$A,0),1)*$C$3*(10/INDEX('% He'!$E$3:$E$14,MATCH('Flux Density'!K$5,'% He'!$C$3:$C$14,0),1))/$C$2</f>
        <v>2</v>
      </c>
      <c r="L28" s="31">
        <f>INDEX('EcologyLenzTests - MAXIMUM'!K:K,MATCH('Flux Density'!$C28,'EcologyLenzTests - MAXIMUM'!$A:$A,0),1)*$C$3*(10/INDEX('% He'!$E$3:$E$14,MATCH('Flux Density'!L$5,'% He'!$C$3:$C$14,0),1))/$C$2</f>
        <v>394.47731755424064</v>
      </c>
      <c r="M28" s="137">
        <f>INDEX('EcologyLenzTests - MAXIMUM'!L:L,MATCH('Flux Density'!$C28,'EcologyLenzTests - MAXIMUM'!$A:$A,0),1)*$C$3*(10/INDEX('% He'!$E$3:$E$14,MATCH('Flux Density'!M$5,'% He'!$C$3:$C$14,0),1))/$C$2</f>
        <v>354.25101214574897</v>
      </c>
      <c r="N28" s="138">
        <f>INDEX('EcologyLenzTests - MAXIMUM'!M:M,MATCH('Flux Density'!$C28,'EcologyLenzTests - MAXIMUM'!$A:$A,0),1)*$C$3*(10/INDEX('% He'!$E$3:$E$14,MATCH('Flux Density'!N$5,'% He'!$C$3:$C$14,0),1))/$C$2</f>
        <v>2700.4909983633388</v>
      </c>
    </row>
    <row r="29" spans="2:14" x14ac:dyDescent="0.3">
      <c r="B29" s="139" t="str">
        <f>'EcologyLenzTests - MAXIMUM'!B28</f>
        <v>d-Limonene</v>
      </c>
      <c r="C29" s="39" t="str">
        <f>INDEX('EcologyLenzTests - MAXIMUM'!A:A,MATCH('Flux Density'!B29,'EcologyLenzTests - MAXIMUM'!B:B,0),1)</f>
        <v>5989-27-5</v>
      </c>
      <c r="D29" s="137">
        <f>INDEX('EcologyLenzTests - MAXIMUM'!C:C,MATCH('Flux Density'!$C29,'EcologyLenzTests - MAXIMUM'!$A:$A,0),1)*$C$3*(10/INDEX('% He'!$E$3:$E$14,MATCH('Flux Density'!D$5,'% He'!$C$3:$C$14,0),1))/$C$2</f>
        <v>1431.6239316239316</v>
      </c>
      <c r="E29" s="31">
        <f>INDEX('EcologyLenzTests - MAXIMUM'!D:D,MATCH('Flux Density'!$C29,'EcologyLenzTests - MAXIMUM'!$A:$A,0),1)*$C$3*(10/INDEX('% He'!$E$3:$E$14,MATCH('Flux Density'!E$5,'% He'!$C$3:$C$14,0),1))/$C$2</f>
        <v>490.99836333878886</v>
      </c>
      <c r="F29" s="31">
        <f>INDEX('EcologyLenzTests - MAXIMUM'!E:E,MATCH('Flux Density'!$C29,'EcologyLenzTests - MAXIMUM'!$A:$A,0),1)*$C$3*(10/INDEX('% He'!$E$3:$E$14,MATCH('Flux Density'!F$5,'% He'!$C$3:$C$14,0),1))/$C$2</f>
        <v>475.11312217194569</v>
      </c>
      <c r="G29" s="137">
        <f>INDEX('EcologyLenzTests - MAXIMUM'!F:F,MATCH('Flux Density'!$C29,'EcologyLenzTests - MAXIMUM'!$A:$A,0),1)*$C$3*(10/INDEX('% He'!$E$3:$E$14,MATCH('Flux Density'!G$5,'% He'!$C$3:$C$14,0),1))/$C$2</f>
        <v>42183.622828784115</v>
      </c>
      <c r="H29" s="31">
        <f>INDEX('EcologyLenzTests - MAXIMUM'!G:G,MATCH('Flux Density'!$C29,'EcologyLenzTests - MAXIMUM'!$A:$A,0),1)*$C$3*(10/INDEX('% He'!$E$3:$E$14,MATCH('Flux Density'!H$5,'% He'!$C$3:$C$14,0),1))/$C$2</f>
        <v>26.755852842809368</v>
      </c>
      <c r="I29" s="31">
        <f>INDEX('EcologyLenzTests - MAXIMUM'!H:H,MATCH('Flux Density'!$C29,'EcologyLenzTests - MAXIMUM'!$A:$A,0),1)*$C$3*(10/INDEX('% He'!$E$3:$E$14,MATCH('Flux Density'!I$5,'% He'!$C$3:$C$14,0),1))/$C$2</f>
        <v>8.4427767354596645E-2</v>
      </c>
      <c r="J29" s="31">
        <f>INDEX('EcologyLenzTests - MAXIMUM'!I:I,MATCH('Flux Density'!$C29,'EcologyLenzTests - MAXIMUM'!$A:$A,0),1)*$C$3*(10/INDEX('% He'!$E$3:$E$14,MATCH('Flux Density'!J$5,'% He'!$C$3:$C$14,0),1))/$C$2</f>
        <v>44.665012406947888</v>
      </c>
      <c r="K29" s="31">
        <f>INDEX('EcologyLenzTests - MAXIMUM'!J:J,MATCH('Flux Density'!$C29,'EcologyLenzTests - MAXIMUM'!$A:$A,0),1)*$C$3*(10/INDEX('% He'!$E$3:$E$14,MATCH('Flux Density'!K$5,'% He'!$C$3:$C$14,0),1))/$C$2</f>
        <v>1.2153846153846153</v>
      </c>
      <c r="L29" s="31">
        <f>INDEX('EcologyLenzTests - MAXIMUM'!K:K,MATCH('Flux Density'!$C29,'EcologyLenzTests - MAXIMUM'!$A:$A,0),1)*$C$3*(10/INDEX('% He'!$E$3:$E$14,MATCH('Flux Density'!L$5,'% He'!$C$3:$C$14,0),1))/$C$2</f>
        <v>157.79092702169626</v>
      </c>
      <c r="M29" s="137">
        <f>INDEX('EcologyLenzTests - MAXIMUM'!L:L,MATCH('Flux Density'!$C29,'EcologyLenzTests - MAXIMUM'!$A:$A,0),1)*$C$3*(10/INDEX('% He'!$E$3:$E$14,MATCH('Flux Density'!M$5,'% He'!$C$3:$C$14,0),1))/$C$2</f>
        <v>1821.8623481781378</v>
      </c>
      <c r="N29" s="138">
        <f>INDEX('EcologyLenzTests - MAXIMUM'!M:M,MATCH('Flux Density'!$C29,'EcologyLenzTests - MAXIMUM'!$A:$A,0),1)*$C$3*(10/INDEX('% He'!$E$3:$E$14,MATCH('Flux Density'!N$5,'% He'!$C$3:$C$14,0),1))/$C$2</f>
        <v>2045.8265139116199</v>
      </c>
    </row>
    <row r="30" spans="2:14" x14ac:dyDescent="0.3">
      <c r="B30" s="139" t="str">
        <f>'EcologyLenzTests - MAXIMUM'!B41</f>
        <v>Carbonyle Sulfide</v>
      </c>
      <c r="C30" s="39" t="str">
        <f>INDEX('EcologyLenzTests - MAXIMUM'!A:A,MATCH('Flux Density'!B30,'EcologyLenzTests - MAXIMUM'!B:B,0),1)</f>
        <v>463-58-1</v>
      </c>
      <c r="D30" s="31">
        <f>INDEX('EcologyLenzTests - MAXIMUM'!C:C,MATCH('Flux Density'!$C30,'EcologyLenzTests - MAXIMUM'!$A:$A,0),1)*$C$3*(10/INDEX('% He'!$E$3:$E$14,MATCH('Flux Density'!D$5,'% He'!$C$3:$C$14,0),1))/$C$2</f>
        <v>0</v>
      </c>
      <c r="E30" s="31">
        <f>INDEX('EcologyLenzTests - MAXIMUM'!D:D,MATCH('Flux Density'!$C30,'EcologyLenzTests - MAXIMUM'!$A:$A,0),1)*$C$3*(10/INDEX('% He'!$E$3:$E$14,MATCH('Flux Density'!E$5,'% He'!$C$3:$C$14,0),1))/$C$2</f>
        <v>0</v>
      </c>
      <c r="F30" s="31">
        <f>INDEX('EcologyLenzTests - MAXIMUM'!E:E,MATCH('Flux Density'!$C30,'EcologyLenzTests - MAXIMUM'!$A:$A,0),1)*$C$3*(10/INDEX('% He'!$E$3:$E$14,MATCH('Flux Density'!F$5,'% He'!$C$3:$C$14,0),1))/$C$2</f>
        <v>0</v>
      </c>
      <c r="G30" s="31">
        <f>INDEX('EcologyLenzTests - MAXIMUM'!F:F,MATCH('Flux Density'!$C30,'EcologyLenzTests - MAXIMUM'!$A:$A,0),1)*$C$3*(10/INDEX('% He'!$E$3:$E$14,MATCH('Flux Density'!G$5,'% He'!$C$3:$C$14,0),1))/$C$2</f>
        <v>124.06947890818859</v>
      </c>
      <c r="H30" s="31">
        <f>INDEX('EcologyLenzTests - MAXIMUM'!G:G,MATCH('Flux Density'!$C30,'EcologyLenzTests - MAXIMUM'!$A:$A,0),1)*$C$3*(10/INDEX('% He'!$E$3:$E$14,MATCH('Flux Density'!H$5,'% He'!$C$3:$C$14,0),1))/$C$2</f>
        <v>0</v>
      </c>
      <c r="I30" s="31">
        <f>INDEX('EcologyLenzTests - MAXIMUM'!H:H,MATCH('Flux Density'!$C30,'EcologyLenzTests - MAXIMUM'!$A:$A,0),1)*$C$3*(10/INDEX('% He'!$E$3:$E$14,MATCH('Flux Density'!I$5,'% He'!$C$3:$C$14,0),1))/$C$2</f>
        <v>0</v>
      </c>
      <c r="J30" s="31">
        <f>INDEX('EcologyLenzTests - MAXIMUM'!I:I,MATCH('Flux Density'!$C30,'EcologyLenzTests - MAXIMUM'!$A:$A,0),1)*$C$3*(10/INDEX('% He'!$E$3:$E$14,MATCH('Flux Density'!J$5,'% He'!$C$3:$C$14,0),1))/$C$2</f>
        <v>0</v>
      </c>
      <c r="K30" s="31">
        <f>INDEX('EcologyLenzTests - MAXIMUM'!J:J,MATCH('Flux Density'!$C30,'EcologyLenzTests - MAXIMUM'!$A:$A,0),1)*$C$3*(10/INDEX('% He'!$E$3:$E$14,MATCH('Flux Density'!K$5,'% He'!$C$3:$C$14,0),1))/$C$2</f>
        <v>0</v>
      </c>
      <c r="L30" s="31">
        <f>INDEX('EcologyLenzTests - MAXIMUM'!K:K,MATCH('Flux Density'!$C30,'EcologyLenzTests - MAXIMUM'!$A:$A,0),1)*$C$3*(10/INDEX('% He'!$E$3:$E$14,MATCH('Flux Density'!L$5,'% He'!$C$3:$C$14,0),1))/$C$2</f>
        <v>0</v>
      </c>
      <c r="M30" s="31">
        <f>INDEX('EcologyLenzTests - MAXIMUM'!L:L,MATCH('Flux Density'!$C30,'EcologyLenzTests - MAXIMUM'!$A:$A,0),1)*$C$3*(10/INDEX('% He'!$E$3:$E$14,MATCH('Flux Density'!M$5,'% He'!$C$3:$C$14,0),1))/$C$2</f>
        <v>0</v>
      </c>
      <c r="N30" s="32">
        <f>INDEX('EcologyLenzTests - MAXIMUM'!M:M,MATCH('Flux Density'!$C30,'EcologyLenzTests - MAXIMUM'!$A:$A,0),1)*$C$3*(10/INDEX('% He'!$E$3:$E$14,MATCH('Flux Density'!N$5,'% He'!$C$3:$C$14,0),1))/$C$2</f>
        <v>8.5924713584288046</v>
      </c>
    </row>
    <row r="31" spans="2:14" x14ac:dyDescent="0.3">
      <c r="B31" s="139" t="str">
        <f>'EcologyLenzTests - MAXIMUM'!B42</f>
        <v>Methyl Mercaptan</v>
      </c>
      <c r="C31" s="39" t="str">
        <f>INDEX('EcologyLenzTests - MAXIMUM'!A:A,MATCH('Flux Density'!B31,'EcologyLenzTests - MAXIMUM'!B:B,0),1)</f>
        <v>74-93-1</v>
      </c>
      <c r="D31" s="31">
        <f>INDEX('EcologyLenzTests - MAXIMUM'!C:C,MATCH('Flux Density'!$C31,'EcologyLenzTests - MAXIMUM'!$A:$A,0),1)*$C$3*(10/INDEX('% He'!$E$3:$E$14,MATCH('Flux Density'!D$5,'% He'!$C$3:$C$14,0),1))/$C$2</f>
        <v>0</v>
      </c>
      <c r="E31" s="31">
        <f>INDEX('EcologyLenzTests - MAXIMUM'!D:D,MATCH('Flux Density'!$C31,'EcologyLenzTests - MAXIMUM'!$A:$A,0),1)*$C$3*(10/INDEX('% He'!$E$3:$E$14,MATCH('Flux Density'!E$5,'% He'!$C$3:$C$14,0),1))/$C$2</f>
        <v>0</v>
      </c>
      <c r="F31" s="31">
        <f>INDEX('EcologyLenzTests - MAXIMUM'!E:E,MATCH('Flux Density'!$C31,'EcologyLenzTests - MAXIMUM'!$A:$A,0),1)*$C$3*(10/INDEX('% He'!$E$3:$E$14,MATCH('Flux Density'!F$5,'% He'!$C$3:$C$14,0),1))/$C$2</f>
        <v>0</v>
      </c>
      <c r="G31" s="31">
        <f>INDEX('EcologyLenzTests - MAXIMUM'!F:F,MATCH('Flux Density'!$C31,'EcologyLenzTests - MAXIMUM'!$A:$A,0),1)*$C$3*(10/INDEX('% He'!$E$3:$E$14,MATCH('Flux Density'!G$5,'% He'!$C$3:$C$14,0),1))/$C$2</f>
        <v>0</v>
      </c>
      <c r="H31" s="31">
        <f>INDEX('EcologyLenzTests - MAXIMUM'!G:G,MATCH('Flux Density'!$C31,'EcologyLenzTests - MAXIMUM'!$A:$A,0),1)*$C$3*(10/INDEX('% He'!$E$3:$E$14,MATCH('Flux Density'!H$5,'% He'!$C$3:$C$14,0),1))/$C$2</f>
        <v>0</v>
      </c>
      <c r="I31" s="31">
        <f>INDEX('EcologyLenzTests - MAXIMUM'!H:H,MATCH('Flux Density'!$C31,'EcologyLenzTests - MAXIMUM'!$A:$A,0),1)*$C$3*(10/INDEX('% He'!$E$3:$E$14,MATCH('Flux Density'!I$5,'% He'!$C$3:$C$14,0),1))/$C$2</f>
        <v>0</v>
      </c>
      <c r="J31" s="31">
        <f>INDEX('EcologyLenzTests - MAXIMUM'!I:I,MATCH('Flux Density'!$C31,'EcologyLenzTests - MAXIMUM'!$A:$A,0),1)*$C$3*(10/INDEX('% He'!$E$3:$E$14,MATCH('Flux Density'!J$5,'% He'!$C$3:$C$14,0),1))/$C$2</f>
        <v>0</v>
      </c>
      <c r="K31" s="31">
        <f>INDEX('EcologyLenzTests - MAXIMUM'!J:J,MATCH('Flux Density'!$C31,'EcologyLenzTests - MAXIMUM'!$A:$A,0),1)*$C$3*(10/INDEX('% He'!$E$3:$E$14,MATCH('Flux Density'!K$5,'% He'!$C$3:$C$14,0),1))/$C$2</f>
        <v>0</v>
      </c>
      <c r="L31" s="31">
        <f>INDEX('EcologyLenzTests - MAXIMUM'!K:K,MATCH('Flux Density'!$C31,'EcologyLenzTests - MAXIMUM'!$A:$A,0),1)*$C$3*(10/INDEX('% He'!$E$3:$E$14,MATCH('Flux Density'!L$5,'% He'!$C$3:$C$14,0),1))/$C$2</f>
        <v>0</v>
      </c>
      <c r="M31" s="31">
        <f>INDEX('EcologyLenzTests - MAXIMUM'!L:L,MATCH('Flux Density'!$C31,'EcologyLenzTests - MAXIMUM'!$A:$A,0),1)*$C$3*(10/INDEX('% He'!$E$3:$E$14,MATCH('Flux Density'!M$5,'% He'!$C$3:$C$14,0),1))/$C$2</f>
        <v>2.2267206477732793</v>
      </c>
      <c r="N31" s="32">
        <f>INDEX('EcologyLenzTests - MAXIMUM'!M:M,MATCH('Flux Density'!$C31,'EcologyLenzTests - MAXIMUM'!$A:$A,0),1)*$C$3*(10/INDEX('% He'!$E$3:$E$14,MATCH('Flux Density'!N$5,'% He'!$C$3:$C$14,0),1))/$C$2</f>
        <v>20.867430441898527</v>
      </c>
    </row>
    <row r="32" spans="2:14" x14ac:dyDescent="0.3">
      <c r="B32" s="139" t="str">
        <f>'EcologyLenzTests - MAXIMUM'!B43</f>
        <v>Dimethyl Sulfide</v>
      </c>
      <c r="C32" s="39" t="str">
        <f>INDEX('EcologyLenzTests - MAXIMUM'!A:A,MATCH('Flux Density'!B32,'EcologyLenzTests - MAXIMUM'!B:B,0),1)</f>
        <v>75-18-3</v>
      </c>
      <c r="D32" s="31">
        <f>INDEX('EcologyLenzTests - MAXIMUM'!C:C,MATCH('Flux Density'!$C32,'EcologyLenzTests - MAXIMUM'!$A:$A,0),1)*$C$3*(10/INDEX('% He'!$E$3:$E$14,MATCH('Flux Density'!D$5,'% He'!$C$3:$C$14,0),1))/$C$2</f>
        <v>0</v>
      </c>
      <c r="E32" s="31">
        <f>INDEX('EcologyLenzTests - MAXIMUM'!D:D,MATCH('Flux Density'!$C32,'EcologyLenzTests - MAXIMUM'!$A:$A,0),1)*$C$3*(10/INDEX('% He'!$E$3:$E$14,MATCH('Flux Density'!E$5,'% He'!$C$3:$C$14,0),1))/$C$2</f>
        <v>0</v>
      </c>
      <c r="F32" s="31">
        <f>INDEX('EcologyLenzTests - MAXIMUM'!E:E,MATCH('Flux Density'!$C32,'EcologyLenzTests - MAXIMUM'!$A:$A,0),1)*$C$3*(10/INDEX('% He'!$E$3:$E$14,MATCH('Flux Density'!F$5,'% He'!$C$3:$C$14,0),1))/$C$2</f>
        <v>0</v>
      </c>
      <c r="G32" s="137">
        <f>INDEX('EcologyLenzTests - MAXIMUM'!F:F,MATCH('Flux Density'!$C32,'EcologyLenzTests - MAXIMUM'!$A:$A,0),1)*$C$3*(10/INDEX('% He'!$E$3:$E$14,MATCH('Flux Density'!G$5,'% He'!$C$3:$C$14,0),1))/$C$2</f>
        <v>19851.116625310173</v>
      </c>
      <c r="H32" s="31">
        <f>INDEX('EcologyLenzTests - MAXIMUM'!G:G,MATCH('Flux Density'!$C32,'EcologyLenzTests - MAXIMUM'!$A:$A,0),1)*$C$3*(10/INDEX('% He'!$E$3:$E$14,MATCH('Flux Density'!H$5,'% He'!$C$3:$C$14,0),1))/$C$2</f>
        <v>5.6856187290969915</v>
      </c>
      <c r="I32" s="31">
        <f>INDEX('EcologyLenzTests - MAXIMUM'!H:H,MATCH('Flux Density'!$C32,'EcologyLenzTests - MAXIMUM'!$A:$A,0),1)*$C$3*(10/INDEX('% He'!$E$3:$E$14,MATCH('Flux Density'!I$5,'% He'!$C$3:$C$14,0),1))/$C$2</f>
        <v>0</v>
      </c>
      <c r="J32" s="31">
        <f>INDEX('EcologyLenzTests - MAXIMUM'!I:I,MATCH('Flux Density'!$C32,'EcologyLenzTests - MAXIMUM'!$A:$A,0),1)*$C$3*(10/INDEX('% He'!$E$3:$E$14,MATCH('Flux Density'!J$5,'% He'!$C$3:$C$14,0),1))/$C$2</f>
        <v>48.387096774193544</v>
      </c>
      <c r="K32" s="31">
        <f>INDEX('EcologyLenzTests - MAXIMUM'!J:J,MATCH('Flux Density'!$C32,'EcologyLenzTests - MAXIMUM'!$A:$A,0),1)*$C$3*(10/INDEX('% He'!$E$3:$E$14,MATCH('Flux Density'!K$5,'% He'!$C$3:$C$14,0),1))/$C$2</f>
        <v>0</v>
      </c>
      <c r="L32" s="31">
        <f>INDEX('EcologyLenzTests - MAXIMUM'!K:K,MATCH('Flux Density'!$C32,'EcologyLenzTests - MAXIMUM'!$A:$A,0),1)*$C$3*(10/INDEX('% He'!$E$3:$E$14,MATCH('Flux Density'!L$5,'% He'!$C$3:$C$14,0),1))/$C$2</f>
        <v>83.826429980276131</v>
      </c>
      <c r="M32" s="31">
        <f>INDEX('EcologyLenzTests - MAXIMUM'!L:L,MATCH('Flux Density'!$C32,'EcologyLenzTests - MAXIMUM'!$A:$A,0),1)*$C$3*(10/INDEX('% He'!$E$3:$E$14,MATCH('Flux Density'!M$5,'% He'!$C$3:$C$14,0),1))/$C$2</f>
        <v>131.57894736842107</v>
      </c>
      <c r="N32" s="32">
        <f>INDEX('EcologyLenzTests - MAXIMUM'!M:M,MATCH('Flux Density'!$C32,'EcologyLenzTests - MAXIMUM'!$A:$A,0),1)*$C$3*(10/INDEX('% He'!$E$3:$E$14,MATCH('Flux Density'!N$5,'% He'!$C$3:$C$14,0),1))/$C$2</f>
        <v>294.59901800327333</v>
      </c>
    </row>
    <row r="33" spans="2:14" x14ac:dyDescent="0.3">
      <c r="B33" s="139" t="str">
        <f>'EcologyLenzTests - MAXIMUM'!B44</f>
        <v>Carbon Disulfide</v>
      </c>
      <c r="C33" s="39" t="str">
        <f>INDEX('EcologyLenzTests - MAXIMUM'!A:A,MATCH('Flux Density'!B33,'EcologyLenzTests - MAXIMUM'!B:B,0),1)</f>
        <v>75-15-0</v>
      </c>
      <c r="D33" s="31">
        <f>INDEX('EcologyLenzTests - MAXIMUM'!C:C,MATCH('Flux Density'!$C33,'EcologyLenzTests - MAXIMUM'!$A:$A,0),1)*$C$3*(10/INDEX('% He'!$E$3:$E$14,MATCH('Flux Density'!D$5,'% He'!$C$3:$C$14,0),1))/$C$2</f>
        <v>0</v>
      </c>
      <c r="E33" s="31">
        <f>INDEX('EcologyLenzTests - MAXIMUM'!D:D,MATCH('Flux Density'!$C33,'EcologyLenzTests - MAXIMUM'!$A:$A,0),1)*$C$3*(10/INDEX('% He'!$E$3:$E$14,MATCH('Flux Density'!E$5,'% He'!$C$3:$C$14,0),1))/$C$2</f>
        <v>0</v>
      </c>
      <c r="F33" s="31">
        <f>INDEX('EcologyLenzTests - MAXIMUM'!E:E,MATCH('Flux Density'!$C33,'EcologyLenzTests - MAXIMUM'!$A:$A,0),1)*$C$3*(10/INDEX('% He'!$E$3:$E$14,MATCH('Flux Density'!F$5,'% He'!$C$3:$C$14,0),1))/$C$2</f>
        <v>0</v>
      </c>
      <c r="G33" s="31">
        <f>INDEX('EcologyLenzTests - MAXIMUM'!F:F,MATCH('Flux Density'!$C33,'EcologyLenzTests - MAXIMUM'!$A:$A,0),1)*$C$3*(10/INDEX('% He'!$E$3:$E$14,MATCH('Flux Density'!G$5,'% He'!$C$3:$C$14,0),1))/$C$2</f>
        <v>34.739454094292803</v>
      </c>
      <c r="H33" s="31">
        <f>INDEX('EcologyLenzTests - MAXIMUM'!G:G,MATCH('Flux Density'!$C33,'EcologyLenzTests - MAXIMUM'!$A:$A,0),1)*$C$3*(10/INDEX('% He'!$E$3:$E$14,MATCH('Flux Density'!H$5,'% He'!$C$3:$C$14,0),1))/$C$2</f>
        <v>0</v>
      </c>
      <c r="I33" s="31">
        <f>INDEX('EcologyLenzTests - MAXIMUM'!H:H,MATCH('Flux Density'!$C33,'EcologyLenzTests - MAXIMUM'!$A:$A,0),1)*$C$3*(10/INDEX('% He'!$E$3:$E$14,MATCH('Flux Density'!I$5,'% He'!$C$3:$C$14,0),1))/$C$2</f>
        <v>0</v>
      </c>
      <c r="J33" s="31">
        <f>INDEX('EcologyLenzTests - MAXIMUM'!I:I,MATCH('Flux Density'!$C33,'EcologyLenzTests - MAXIMUM'!$A:$A,0),1)*$C$3*(10/INDEX('% He'!$E$3:$E$14,MATCH('Flux Density'!J$5,'% He'!$C$3:$C$14,0),1))/$C$2</f>
        <v>0</v>
      </c>
      <c r="K33" s="31">
        <f>INDEX('EcologyLenzTests - MAXIMUM'!J:J,MATCH('Flux Density'!$C33,'EcologyLenzTests - MAXIMUM'!$A:$A,0),1)*$C$3*(10/INDEX('% He'!$E$3:$E$14,MATCH('Flux Density'!K$5,'% He'!$C$3:$C$14,0),1))/$C$2</f>
        <v>0</v>
      </c>
      <c r="L33" s="31">
        <f>INDEX('EcologyLenzTests - MAXIMUM'!K:K,MATCH('Flux Density'!$C33,'EcologyLenzTests - MAXIMUM'!$A:$A,0),1)*$C$3*(10/INDEX('% He'!$E$3:$E$14,MATCH('Flux Density'!L$5,'% He'!$C$3:$C$14,0),1))/$C$2</f>
        <v>4.0433925049309671</v>
      </c>
      <c r="M33" s="31">
        <f>INDEX('EcologyLenzTests - MAXIMUM'!L:L,MATCH('Flux Density'!$C33,'EcologyLenzTests - MAXIMUM'!$A:$A,0),1)*$C$3*(10/INDEX('% He'!$E$3:$E$14,MATCH('Flux Density'!M$5,'% He'!$C$3:$C$14,0),1))/$C$2</f>
        <v>3.4412955465587047</v>
      </c>
      <c r="N33" s="32">
        <f>INDEX('EcologyLenzTests - MAXIMUM'!M:M,MATCH('Flux Density'!$C33,'EcologyLenzTests - MAXIMUM'!$A:$A,0),1)*$C$3*(10/INDEX('% He'!$E$3:$E$14,MATCH('Flux Density'!N$5,'% He'!$C$3:$C$14,0),1))/$C$2</f>
        <v>0</v>
      </c>
    </row>
    <row r="34" spans="2:14" x14ac:dyDescent="0.3">
      <c r="B34" s="139" t="str">
        <f>'EcologyLenzTests - MAXIMUM'!B51</f>
        <v>Formaldehyde</v>
      </c>
      <c r="C34" s="39" t="str">
        <f>INDEX('EcologyLenzTests - MAXIMUM'!A:A,MATCH('Flux Density'!B34,'EcologyLenzTests - MAXIMUM'!B:B,0),1)</f>
        <v>50-00-0</v>
      </c>
      <c r="D34" s="31">
        <f>INDEX('EcologyLenzTests - MAXIMUM'!C:C,MATCH('Flux Density'!$C34,'EcologyLenzTests - MAXIMUM'!$A:$A,0),1)*$C$3*(10/INDEX('% He'!$E$3:$E$14,MATCH('Flux Density'!D$5,'% He'!$C$3:$C$14,0),1))/$C$2</f>
        <v>0</v>
      </c>
      <c r="E34" s="31">
        <f>INDEX('EcologyLenzTests - MAXIMUM'!D:D,MATCH('Flux Density'!$C34,'EcologyLenzTests - MAXIMUM'!$A:$A,0),1)*$C$3*(10/INDEX('% He'!$E$3:$E$14,MATCH('Flux Density'!E$5,'% He'!$C$3:$C$14,0),1))/$C$2</f>
        <v>0</v>
      </c>
      <c r="F34" s="31">
        <f>INDEX('EcologyLenzTests - MAXIMUM'!E:E,MATCH('Flux Density'!$C34,'EcologyLenzTests - MAXIMUM'!$A:$A,0),1)*$C$3*(10/INDEX('% He'!$E$3:$E$14,MATCH('Flux Density'!F$5,'% He'!$C$3:$C$14,0),1))/$C$2</f>
        <v>0</v>
      </c>
      <c r="G34" s="31">
        <f>INDEX('EcologyLenzTests - MAXIMUM'!F:F,MATCH('Flux Density'!$C34,'EcologyLenzTests - MAXIMUM'!$A:$A,0),1)*$C$3*(10/INDEX('% He'!$E$3:$E$14,MATCH('Flux Density'!G$5,'% He'!$C$3:$C$14,0),1))/$C$2</f>
        <v>0</v>
      </c>
      <c r="H34" s="31">
        <f>INDEX('EcologyLenzTests - MAXIMUM'!G:G,MATCH('Flux Density'!$C34,'EcologyLenzTests - MAXIMUM'!$A:$A,0),1)*$C$3*(10/INDEX('% He'!$E$3:$E$14,MATCH('Flux Density'!H$5,'% He'!$C$3:$C$14,0),1))/$C$2</f>
        <v>0</v>
      </c>
      <c r="I34" s="31">
        <f>INDEX('EcologyLenzTests - MAXIMUM'!H:H,MATCH('Flux Density'!$C34,'EcologyLenzTests - MAXIMUM'!$A:$A,0),1)*$C$3*(10/INDEX('% He'!$E$3:$E$14,MATCH('Flux Density'!I$5,'% He'!$C$3:$C$14,0),1))/$C$2</f>
        <v>0</v>
      </c>
      <c r="J34" s="31">
        <f>INDEX('EcologyLenzTests - MAXIMUM'!I:I,MATCH('Flux Density'!$C34,'EcologyLenzTests - MAXIMUM'!$A:$A,0),1)*$C$3*(10/INDEX('% He'!$E$3:$E$14,MATCH('Flux Density'!J$5,'% He'!$C$3:$C$14,0),1))/$C$2</f>
        <v>1.1910669975186103</v>
      </c>
      <c r="K34" s="31">
        <f>INDEX('EcologyLenzTests - MAXIMUM'!J:J,MATCH('Flux Density'!$C34,'EcologyLenzTests - MAXIMUM'!$A:$A,0),1)*$C$3*(10/INDEX('% He'!$E$3:$E$14,MATCH('Flux Density'!K$5,'% He'!$C$3:$C$14,0),1))/$C$2</f>
        <v>0</v>
      </c>
      <c r="L34" s="31">
        <f>INDEX('EcologyLenzTests - MAXIMUM'!K:K,MATCH('Flux Density'!$C34,'EcologyLenzTests - MAXIMUM'!$A:$A,0),1)*$C$3*(10/INDEX('% He'!$E$3:$E$14,MATCH('Flux Density'!L$5,'% He'!$C$3:$C$14,0),1))/$C$2</f>
        <v>0</v>
      </c>
      <c r="M34" s="31">
        <f>INDEX('EcologyLenzTests - MAXIMUM'!L:L,MATCH('Flux Density'!$C34,'EcologyLenzTests - MAXIMUM'!$A:$A,0),1)*$C$3*(10/INDEX('% He'!$E$3:$E$14,MATCH('Flux Density'!M$5,'% He'!$C$3:$C$14,0),1))/$C$2</f>
        <v>0</v>
      </c>
      <c r="N34" s="32">
        <f>INDEX('EcologyLenzTests - MAXIMUM'!M:M,MATCH('Flux Density'!$C34,'EcologyLenzTests - MAXIMUM'!$A:$A,0),1)*$C$3*(10/INDEX('% He'!$E$3:$E$14,MATCH('Flux Density'!N$5,'% He'!$C$3:$C$14,0),1))/$C$2</f>
        <v>27.004909983633389</v>
      </c>
    </row>
    <row r="35" spans="2:14" x14ac:dyDescent="0.3">
      <c r="B35" s="139" t="str">
        <f>'EcologyLenzTests - MAXIMUM'!B52</f>
        <v>Acetaldehyde</v>
      </c>
      <c r="C35" s="39" t="str">
        <f>INDEX('EcologyLenzTests - MAXIMUM'!A:A,MATCH('Flux Density'!B35,'EcologyLenzTests - MAXIMUM'!B:B,0),1)</f>
        <v>75-07-0</v>
      </c>
      <c r="D35" s="31">
        <f>INDEX('EcologyLenzTests - MAXIMUM'!C:C,MATCH('Flux Density'!$C35,'EcologyLenzTests - MAXIMUM'!$A:$A,0),1)*$C$3*(10/INDEX('% He'!$E$3:$E$14,MATCH('Flux Density'!D$5,'% He'!$C$3:$C$14,0),1))/$C$2</f>
        <v>0</v>
      </c>
      <c r="E35" s="31">
        <f>INDEX('EcologyLenzTests - MAXIMUM'!D:D,MATCH('Flux Density'!$C35,'EcologyLenzTests - MAXIMUM'!$A:$A,0),1)*$C$3*(10/INDEX('% He'!$E$3:$E$14,MATCH('Flux Density'!E$5,'% He'!$C$3:$C$14,0),1))/$C$2</f>
        <v>0</v>
      </c>
      <c r="F35" s="31">
        <f>INDEX('EcologyLenzTests - MAXIMUM'!E:E,MATCH('Flux Density'!$C35,'EcologyLenzTests - MAXIMUM'!$A:$A,0),1)*$C$3*(10/INDEX('% He'!$E$3:$E$14,MATCH('Flux Density'!F$5,'% He'!$C$3:$C$14,0),1))/$C$2</f>
        <v>3.0165912518853699</v>
      </c>
      <c r="G35" s="31">
        <f>INDEX('EcologyLenzTests - MAXIMUM'!F:F,MATCH('Flux Density'!$C35,'EcologyLenzTests - MAXIMUM'!$A:$A,0),1)*$C$3*(10/INDEX('% He'!$E$3:$E$14,MATCH('Flux Density'!G$5,'% He'!$C$3:$C$14,0),1))/$C$2</f>
        <v>26.054590570719601</v>
      </c>
      <c r="H35" s="31">
        <f>INDEX('EcologyLenzTests - MAXIMUM'!G:G,MATCH('Flux Density'!$C35,'EcologyLenzTests - MAXIMUM'!$A:$A,0),1)*$C$3*(10/INDEX('% He'!$E$3:$E$14,MATCH('Flux Density'!H$5,'% He'!$C$3:$C$14,0),1))/$C$2</f>
        <v>0</v>
      </c>
      <c r="I35" s="31">
        <f>INDEX('EcologyLenzTests - MAXIMUM'!H:H,MATCH('Flux Density'!$C35,'EcologyLenzTests - MAXIMUM'!$A:$A,0),1)*$C$3*(10/INDEX('% He'!$E$3:$E$14,MATCH('Flux Density'!I$5,'% He'!$C$3:$C$14,0),1))/$C$2</f>
        <v>0</v>
      </c>
      <c r="J35" s="31">
        <f>INDEX('EcologyLenzTests - MAXIMUM'!I:I,MATCH('Flux Density'!$C35,'EcologyLenzTests - MAXIMUM'!$A:$A,0),1)*$C$3*(10/INDEX('% He'!$E$3:$E$14,MATCH('Flux Density'!J$5,'% He'!$C$3:$C$14,0),1))/$C$2</f>
        <v>0.7568238213399503</v>
      </c>
      <c r="K35" s="31">
        <f>INDEX('EcologyLenzTests - MAXIMUM'!J:J,MATCH('Flux Density'!$C35,'EcologyLenzTests - MAXIMUM'!$A:$A,0),1)*$C$3*(10/INDEX('% He'!$E$3:$E$14,MATCH('Flux Density'!K$5,'% He'!$C$3:$C$14,0),1))/$C$2</f>
        <v>0</v>
      </c>
      <c r="L35" s="31">
        <f>INDEX('EcologyLenzTests - MAXIMUM'!K:K,MATCH('Flux Density'!$C35,'EcologyLenzTests - MAXIMUM'!$A:$A,0),1)*$C$3*(10/INDEX('% He'!$E$3:$E$14,MATCH('Flux Density'!L$5,'% He'!$C$3:$C$14,0),1))/$C$2</f>
        <v>0.37475345167652857</v>
      </c>
      <c r="M35" s="31">
        <f>INDEX('EcologyLenzTests - MAXIMUM'!L:L,MATCH('Flux Density'!$C35,'EcologyLenzTests - MAXIMUM'!$A:$A,0),1)*$C$3*(10/INDEX('% He'!$E$3:$E$14,MATCH('Flux Density'!M$5,'% He'!$C$3:$C$14,0),1))/$C$2</f>
        <v>0.46558704453441296</v>
      </c>
      <c r="N35" s="32">
        <f>INDEX('EcologyLenzTests - MAXIMUM'!M:M,MATCH('Flux Density'!$C35,'EcologyLenzTests - MAXIMUM'!$A:$A,0),1)*$C$3*(10/INDEX('% He'!$E$3:$E$14,MATCH('Flux Density'!N$5,'% He'!$C$3:$C$14,0),1))/$C$2</f>
        <v>450.08183306055645</v>
      </c>
    </row>
    <row r="36" spans="2:14" x14ac:dyDescent="0.3">
      <c r="B36" s="139" t="str">
        <f>'EcologyLenzTests - MAXIMUM'!B53</f>
        <v>Propionaldehyde</v>
      </c>
      <c r="C36" s="39" t="str">
        <f>INDEX('EcologyLenzTests - MAXIMUM'!A:A,MATCH('Flux Density'!B36,'EcologyLenzTests - MAXIMUM'!B:B,0),1)</f>
        <v>123-38-6</v>
      </c>
      <c r="D36" s="31">
        <f>INDEX('EcologyLenzTests - MAXIMUM'!C:C,MATCH('Flux Density'!$C36,'EcologyLenzTests - MAXIMUM'!$A:$A,0),1)*$C$3*(10/INDEX('% He'!$E$3:$E$14,MATCH('Flux Density'!D$5,'% He'!$C$3:$C$14,0),1))/$C$2</f>
        <v>0</v>
      </c>
      <c r="E36" s="31">
        <f>INDEX('EcologyLenzTests - MAXIMUM'!D:D,MATCH('Flux Density'!$C36,'EcologyLenzTests - MAXIMUM'!$A:$A,0),1)*$C$3*(10/INDEX('% He'!$E$3:$E$14,MATCH('Flux Density'!E$5,'% He'!$C$3:$C$14,0),1))/$C$2</f>
        <v>0</v>
      </c>
      <c r="F36" s="31">
        <f>INDEX('EcologyLenzTests - MAXIMUM'!E:E,MATCH('Flux Density'!$C36,'EcologyLenzTests - MAXIMUM'!$A:$A,0),1)*$C$3*(10/INDEX('% He'!$E$3:$E$14,MATCH('Flux Density'!F$5,'% He'!$C$3:$C$14,0),1))/$C$2</f>
        <v>0</v>
      </c>
      <c r="G36" s="31">
        <f>INDEX('EcologyLenzTests - MAXIMUM'!F:F,MATCH('Flux Density'!$C36,'EcologyLenzTests - MAXIMUM'!$A:$A,0),1)*$C$3*(10/INDEX('% He'!$E$3:$E$14,MATCH('Flux Density'!G$5,'% He'!$C$3:$C$14,0),1))/$C$2</f>
        <v>0</v>
      </c>
      <c r="H36" s="31">
        <f>INDEX('EcologyLenzTests - MAXIMUM'!G:G,MATCH('Flux Density'!$C36,'EcologyLenzTests - MAXIMUM'!$A:$A,0),1)*$C$3*(10/INDEX('% He'!$E$3:$E$14,MATCH('Flux Density'!H$5,'% He'!$C$3:$C$14,0),1))/$C$2</f>
        <v>0</v>
      </c>
      <c r="I36" s="31">
        <f>INDEX('EcologyLenzTests - MAXIMUM'!H:H,MATCH('Flux Density'!$C36,'EcologyLenzTests - MAXIMUM'!$A:$A,0),1)*$C$3*(10/INDEX('% He'!$E$3:$E$14,MATCH('Flux Density'!I$5,'% He'!$C$3:$C$14,0),1))/$C$2</f>
        <v>0</v>
      </c>
      <c r="J36" s="31">
        <f>INDEX('EcologyLenzTests - MAXIMUM'!I:I,MATCH('Flux Density'!$C36,'EcologyLenzTests - MAXIMUM'!$A:$A,0),1)*$C$3*(10/INDEX('% He'!$E$3:$E$14,MATCH('Flux Density'!J$5,'% He'!$C$3:$C$14,0),1))/$C$2</f>
        <v>0</v>
      </c>
      <c r="K36" s="31">
        <f>INDEX('EcologyLenzTests - MAXIMUM'!J:J,MATCH('Flux Density'!$C36,'EcologyLenzTests - MAXIMUM'!$A:$A,0),1)*$C$3*(10/INDEX('% He'!$E$3:$E$14,MATCH('Flux Density'!K$5,'% He'!$C$3:$C$14,0),1))/$C$2</f>
        <v>0</v>
      </c>
      <c r="L36" s="31">
        <f>INDEX('EcologyLenzTests - MAXIMUM'!K:K,MATCH('Flux Density'!$C36,'EcologyLenzTests - MAXIMUM'!$A:$A,0),1)*$C$3*(10/INDEX('% He'!$E$3:$E$14,MATCH('Flux Density'!L$5,'% He'!$C$3:$C$14,0),1))/$C$2</f>
        <v>0</v>
      </c>
      <c r="M36" s="31">
        <f>INDEX('EcologyLenzTests - MAXIMUM'!L:L,MATCH('Flux Density'!$C36,'EcologyLenzTests - MAXIMUM'!$A:$A,0),1)*$C$3*(10/INDEX('% He'!$E$3:$E$14,MATCH('Flux Density'!M$5,'% He'!$C$3:$C$14,0),1))/$C$2</f>
        <v>0</v>
      </c>
      <c r="N36" s="32">
        <f>INDEX('EcologyLenzTests - MAXIMUM'!M:M,MATCH('Flux Density'!$C36,'EcologyLenzTests - MAXIMUM'!$A:$A,0),1)*$C$3*(10/INDEX('% He'!$E$3:$E$14,MATCH('Flux Density'!N$5,'% He'!$C$3:$C$14,0),1))/$C$2</f>
        <v>94.10801963993454</v>
      </c>
    </row>
    <row r="37" spans="2:14" x14ac:dyDescent="0.3">
      <c r="B37" s="139" t="str">
        <f>'EcologyLenzTests - MAXIMUM'!B54</f>
        <v>Butyraldehyde</v>
      </c>
      <c r="C37" s="39" t="str">
        <f>INDEX('EcologyLenzTests - MAXIMUM'!A:A,MATCH('Flux Density'!B37,'EcologyLenzTests - MAXIMUM'!B:B,0),1)</f>
        <v>123-72-8</v>
      </c>
      <c r="D37" s="31">
        <f>INDEX('EcologyLenzTests - MAXIMUM'!C:C,MATCH('Flux Density'!$C37,'EcologyLenzTests - MAXIMUM'!$A:$A,0),1)*$C$3*(10/INDEX('% He'!$E$3:$E$14,MATCH('Flux Density'!D$5,'% He'!$C$3:$C$14,0),1))/$C$2</f>
        <v>0</v>
      </c>
      <c r="E37" s="31">
        <f>INDEX('EcologyLenzTests - MAXIMUM'!D:D,MATCH('Flux Density'!$C37,'EcologyLenzTests - MAXIMUM'!$A:$A,0),1)*$C$3*(10/INDEX('% He'!$E$3:$E$14,MATCH('Flux Density'!E$5,'% He'!$C$3:$C$14,0),1))/$C$2</f>
        <v>0</v>
      </c>
      <c r="F37" s="31">
        <f>INDEX('EcologyLenzTests - MAXIMUM'!E:E,MATCH('Flux Density'!$C37,'EcologyLenzTests - MAXIMUM'!$A:$A,0),1)*$C$3*(10/INDEX('% He'!$E$3:$E$14,MATCH('Flux Density'!F$5,'% He'!$C$3:$C$14,0),1))/$C$2</f>
        <v>0</v>
      </c>
      <c r="G37" s="31">
        <f>INDEX('EcologyLenzTests - MAXIMUM'!F:F,MATCH('Flux Density'!$C37,'EcologyLenzTests - MAXIMUM'!$A:$A,0),1)*$C$3*(10/INDEX('% He'!$E$3:$E$14,MATCH('Flux Density'!G$5,'% He'!$C$3:$C$14,0),1))/$C$2</f>
        <v>0</v>
      </c>
      <c r="H37" s="31">
        <f>INDEX('EcologyLenzTests - MAXIMUM'!G:G,MATCH('Flux Density'!$C37,'EcologyLenzTests - MAXIMUM'!$A:$A,0),1)*$C$3*(10/INDEX('% He'!$E$3:$E$14,MATCH('Flux Density'!H$5,'% He'!$C$3:$C$14,0),1))/$C$2</f>
        <v>0</v>
      </c>
      <c r="I37" s="31">
        <f>INDEX('EcologyLenzTests - MAXIMUM'!H:H,MATCH('Flux Density'!$C37,'EcologyLenzTests - MAXIMUM'!$A:$A,0),1)*$C$3*(10/INDEX('% He'!$E$3:$E$14,MATCH('Flux Density'!I$5,'% He'!$C$3:$C$14,0),1))/$C$2</f>
        <v>0</v>
      </c>
      <c r="J37" s="31">
        <f>INDEX('EcologyLenzTests - MAXIMUM'!I:I,MATCH('Flux Density'!$C37,'EcologyLenzTests - MAXIMUM'!$A:$A,0),1)*$C$3*(10/INDEX('% He'!$E$3:$E$14,MATCH('Flux Density'!J$5,'% He'!$C$3:$C$14,0),1))/$C$2</f>
        <v>0</v>
      </c>
      <c r="K37" s="31">
        <f>INDEX('EcologyLenzTests - MAXIMUM'!J:J,MATCH('Flux Density'!$C37,'EcologyLenzTests - MAXIMUM'!$A:$A,0),1)*$C$3*(10/INDEX('% He'!$E$3:$E$14,MATCH('Flux Density'!K$5,'% He'!$C$3:$C$14,0),1))/$C$2</f>
        <v>0</v>
      </c>
      <c r="L37" s="31">
        <f>INDEX('EcologyLenzTests - MAXIMUM'!K:K,MATCH('Flux Density'!$C37,'EcologyLenzTests - MAXIMUM'!$A:$A,0),1)*$C$3*(10/INDEX('% He'!$E$3:$E$14,MATCH('Flux Density'!L$5,'% He'!$C$3:$C$14,0),1))/$C$2</f>
        <v>0</v>
      </c>
      <c r="M37" s="31">
        <f>INDEX('EcologyLenzTests - MAXIMUM'!L:L,MATCH('Flux Density'!$C37,'EcologyLenzTests - MAXIMUM'!$A:$A,0),1)*$C$3*(10/INDEX('% He'!$E$3:$E$14,MATCH('Flux Density'!M$5,'% He'!$C$3:$C$14,0),1))/$C$2</f>
        <v>0</v>
      </c>
      <c r="N37" s="32">
        <f>INDEX('EcologyLenzTests - MAXIMUM'!M:M,MATCH('Flux Density'!$C37,'EcologyLenzTests - MAXIMUM'!$A:$A,0),1)*$C$3*(10/INDEX('% He'!$E$3:$E$14,MATCH('Flux Density'!N$5,'% He'!$C$3:$C$14,0),1))/$C$2</f>
        <v>90.016366612111298</v>
      </c>
    </row>
    <row r="38" spans="2:14" x14ac:dyDescent="0.3">
      <c r="B38" s="139" t="str">
        <f>'EcologyLenzTests - MAXIMUM'!B55</f>
        <v>Benzaldehyde</v>
      </c>
      <c r="C38" s="39" t="str">
        <f>INDEX('EcologyLenzTests - MAXIMUM'!A:A,MATCH('Flux Density'!B38,'EcologyLenzTests - MAXIMUM'!B:B,0),1)</f>
        <v>100-52-7</v>
      </c>
      <c r="D38" s="31">
        <f>INDEX('EcologyLenzTests - MAXIMUM'!C:C,MATCH('Flux Density'!$C38,'EcologyLenzTests - MAXIMUM'!$A:$A,0),1)*$C$3*(10/INDEX('% He'!$E$3:$E$14,MATCH('Flux Density'!D$5,'% He'!$C$3:$C$14,0),1))/$C$2</f>
        <v>0</v>
      </c>
      <c r="E38" s="31">
        <f>INDEX('EcologyLenzTests - MAXIMUM'!D:D,MATCH('Flux Density'!$C38,'EcologyLenzTests - MAXIMUM'!$A:$A,0),1)*$C$3*(10/INDEX('% He'!$E$3:$E$14,MATCH('Flux Density'!E$5,'% He'!$C$3:$C$14,0),1))/$C$2</f>
        <v>0</v>
      </c>
      <c r="F38" s="31">
        <f>INDEX('EcologyLenzTests - MAXIMUM'!E:E,MATCH('Flux Density'!$C38,'EcologyLenzTests - MAXIMUM'!$A:$A,0),1)*$C$3*(10/INDEX('% He'!$E$3:$E$14,MATCH('Flux Density'!F$5,'% He'!$C$3:$C$14,0),1))/$C$2</f>
        <v>0</v>
      </c>
      <c r="G38" s="31">
        <f>INDEX('EcologyLenzTests - MAXIMUM'!F:F,MATCH('Flux Density'!$C38,'EcologyLenzTests - MAXIMUM'!$A:$A,0),1)*$C$3*(10/INDEX('% He'!$E$3:$E$14,MATCH('Flux Density'!G$5,'% He'!$C$3:$C$14,0),1))/$C$2</f>
        <v>0</v>
      </c>
      <c r="H38" s="31">
        <f>INDEX('EcologyLenzTests - MAXIMUM'!G:G,MATCH('Flux Density'!$C38,'EcologyLenzTests - MAXIMUM'!$A:$A,0),1)*$C$3*(10/INDEX('% He'!$E$3:$E$14,MATCH('Flux Density'!H$5,'% He'!$C$3:$C$14,0),1))/$C$2</f>
        <v>0</v>
      </c>
      <c r="I38" s="31">
        <f>INDEX('EcologyLenzTests - MAXIMUM'!H:H,MATCH('Flux Density'!$C38,'EcologyLenzTests - MAXIMUM'!$A:$A,0),1)*$C$3*(10/INDEX('% He'!$E$3:$E$14,MATCH('Flux Density'!I$5,'% He'!$C$3:$C$14,0),1))/$C$2</f>
        <v>0</v>
      </c>
      <c r="J38" s="31">
        <f>INDEX('EcologyLenzTests - MAXIMUM'!I:I,MATCH('Flux Density'!$C38,'EcologyLenzTests - MAXIMUM'!$A:$A,0),1)*$C$3*(10/INDEX('% He'!$E$3:$E$14,MATCH('Flux Density'!J$5,'% He'!$C$3:$C$14,0),1))/$C$2</f>
        <v>0.59553349875930517</v>
      </c>
      <c r="K38" s="31">
        <f>INDEX('EcologyLenzTests - MAXIMUM'!J:J,MATCH('Flux Density'!$C38,'EcologyLenzTests - MAXIMUM'!$A:$A,0),1)*$C$3*(10/INDEX('% He'!$E$3:$E$14,MATCH('Flux Density'!K$5,'% He'!$C$3:$C$14,0),1))/$C$2</f>
        <v>0</v>
      </c>
      <c r="L38" s="31">
        <f>INDEX('EcologyLenzTests - MAXIMUM'!K:K,MATCH('Flux Density'!$C38,'EcologyLenzTests - MAXIMUM'!$A:$A,0),1)*$C$3*(10/INDEX('% He'!$E$3:$E$14,MATCH('Flux Density'!L$5,'% He'!$C$3:$C$14,0),1))/$C$2</f>
        <v>0</v>
      </c>
      <c r="M38" s="31">
        <f>INDEX('EcologyLenzTests - MAXIMUM'!L:L,MATCH('Flux Density'!$C38,'EcologyLenzTests - MAXIMUM'!$A:$A,0),1)*$C$3*(10/INDEX('% He'!$E$3:$E$14,MATCH('Flux Density'!M$5,'% He'!$C$3:$C$14,0),1))/$C$2</f>
        <v>0</v>
      </c>
      <c r="N38" s="32">
        <f>INDEX('EcologyLenzTests - MAXIMUM'!M:M,MATCH('Flux Density'!$C38,'EcologyLenzTests - MAXIMUM'!$A:$A,0),1)*$C$3*(10/INDEX('% He'!$E$3:$E$14,MATCH('Flux Density'!N$5,'% He'!$C$3:$C$14,0),1))/$C$2</f>
        <v>102.29132569558101</v>
      </c>
    </row>
    <row r="39" spans="2:14" x14ac:dyDescent="0.3">
      <c r="B39" s="139" t="str">
        <f>'EcologyLenzTests - MAXIMUM'!B56</f>
        <v>Isovaleraldehyde</v>
      </c>
      <c r="C39" s="39" t="str">
        <f>INDEX('EcologyLenzTests - MAXIMUM'!A:A,MATCH('Flux Density'!B39,'EcologyLenzTests - MAXIMUM'!B:B,0),1)</f>
        <v>590-86-3</v>
      </c>
      <c r="D39" s="31">
        <f>INDEX('EcologyLenzTests - MAXIMUM'!C:C,MATCH('Flux Density'!$C39,'EcologyLenzTests - MAXIMUM'!$A:$A,0),1)*$C$3*(10/INDEX('% He'!$E$3:$E$14,MATCH('Flux Density'!D$5,'% He'!$C$3:$C$14,0),1))/$C$2</f>
        <v>0</v>
      </c>
      <c r="E39" s="31">
        <f>INDEX('EcologyLenzTests - MAXIMUM'!D:D,MATCH('Flux Density'!$C39,'EcologyLenzTests - MAXIMUM'!$A:$A,0),1)*$C$3*(10/INDEX('% He'!$E$3:$E$14,MATCH('Flux Density'!E$5,'% He'!$C$3:$C$14,0),1))/$C$2</f>
        <v>0</v>
      </c>
      <c r="F39" s="31">
        <f>INDEX('EcologyLenzTests - MAXIMUM'!E:E,MATCH('Flux Density'!$C39,'EcologyLenzTests - MAXIMUM'!$A:$A,0),1)*$C$3*(10/INDEX('% He'!$E$3:$E$14,MATCH('Flux Density'!F$5,'% He'!$C$3:$C$14,0),1))/$C$2</f>
        <v>0</v>
      </c>
      <c r="G39" s="31">
        <f>INDEX('EcologyLenzTests - MAXIMUM'!F:F,MATCH('Flux Density'!$C39,'EcologyLenzTests - MAXIMUM'!$A:$A,0),1)*$C$3*(10/INDEX('% He'!$E$3:$E$14,MATCH('Flux Density'!G$5,'% He'!$C$3:$C$14,0),1))/$C$2</f>
        <v>0</v>
      </c>
      <c r="H39" s="31">
        <f>INDEX('EcologyLenzTests - MAXIMUM'!G:G,MATCH('Flux Density'!$C39,'EcologyLenzTests - MAXIMUM'!$A:$A,0),1)*$C$3*(10/INDEX('% He'!$E$3:$E$14,MATCH('Flux Density'!H$5,'% He'!$C$3:$C$14,0),1))/$C$2</f>
        <v>0</v>
      </c>
      <c r="I39" s="31">
        <f>INDEX('EcologyLenzTests - MAXIMUM'!H:H,MATCH('Flux Density'!$C39,'EcologyLenzTests - MAXIMUM'!$A:$A,0),1)*$C$3*(10/INDEX('% He'!$E$3:$E$14,MATCH('Flux Density'!I$5,'% He'!$C$3:$C$14,0),1))/$C$2</f>
        <v>0</v>
      </c>
      <c r="J39" s="31">
        <f>INDEX('EcologyLenzTests - MAXIMUM'!I:I,MATCH('Flux Density'!$C39,'EcologyLenzTests - MAXIMUM'!$A:$A,0),1)*$C$3*(10/INDEX('% He'!$E$3:$E$14,MATCH('Flux Density'!J$5,'% He'!$C$3:$C$14,0),1))/$C$2</f>
        <v>0</v>
      </c>
      <c r="K39" s="31">
        <f>INDEX('EcologyLenzTests - MAXIMUM'!J:J,MATCH('Flux Density'!$C39,'EcologyLenzTests - MAXIMUM'!$A:$A,0),1)*$C$3*(10/INDEX('% He'!$E$3:$E$14,MATCH('Flux Density'!K$5,'% He'!$C$3:$C$14,0),1))/$C$2</f>
        <v>0</v>
      </c>
      <c r="L39" s="31">
        <f>INDEX('EcologyLenzTests - MAXIMUM'!K:K,MATCH('Flux Density'!$C39,'EcologyLenzTests - MAXIMUM'!$A:$A,0),1)*$C$3*(10/INDEX('% He'!$E$3:$E$14,MATCH('Flux Density'!L$5,'% He'!$C$3:$C$14,0),1))/$C$2</f>
        <v>0</v>
      </c>
      <c r="M39" s="31">
        <f>INDEX('EcologyLenzTests - MAXIMUM'!L:L,MATCH('Flux Density'!$C39,'EcologyLenzTests - MAXIMUM'!$A:$A,0),1)*$C$3*(10/INDEX('% He'!$E$3:$E$14,MATCH('Flux Density'!M$5,'% He'!$C$3:$C$14,0),1))/$C$2</f>
        <v>0</v>
      </c>
      <c r="N39" s="32">
        <f>INDEX('EcologyLenzTests - MAXIMUM'!M:M,MATCH('Flux Density'!$C39,'EcologyLenzTests - MAXIMUM'!$A:$A,0),1)*$C$3*(10/INDEX('% He'!$E$3:$E$14,MATCH('Flux Density'!N$5,'% He'!$C$3:$C$14,0),1))/$C$2</f>
        <v>106.38297872340425</v>
      </c>
    </row>
    <row r="40" spans="2:14" x14ac:dyDescent="0.3">
      <c r="B40" s="139" t="str">
        <f>'EcologyLenzTests - MAXIMUM'!B57</f>
        <v>Valeraldehyde</v>
      </c>
      <c r="C40" s="39" t="str">
        <f>INDEX('EcologyLenzTests - MAXIMUM'!A:A,MATCH('Flux Density'!B40,'EcologyLenzTests - MAXIMUM'!B:B,0),1)</f>
        <v>110-62-3</v>
      </c>
      <c r="D40" s="31">
        <f>INDEX('EcologyLenzTests - MAXIMUM'!C:C,MATCH('Flux Density'!$C40,'EcologyLenzTests - MAXIMUM'!$A:$A,0),1)*$C$3*(10/INDEX('% He'!$E$3:$E$14,MATCH('Flux Density'!D$5,'% He'!$C$3:$C$14,0),1))/$C$2</f>
        <v>0</v>
      </c>
      <c r="E40" s="31">
        <f>INDEX('EcologyLenzTests - MAXIMUM'!D:D,MATCH('Flux Density'!$C40,'EcologyLenzTests - MAXIMUM'!$A:$A,0),1)*$C$3*(10/INDEX('% He'!$E$3:$E$14,MATCH('Flux Density'!E$5,'% He'!$C$3:$C$14,0),1))/$C$2</f>
        <v>0</v>
      </c>
      <c r="F40" s="31">
        <f>INDEX('EcologyLenzTests - MAXIMUM'!E:E,MATCH('Flux Density'!$C40,'EcologyLenzTests - MAXIMUM'!$A:$A,0),1)*$C$3*(10/INDEX('% He'!$E$3:$E$14,MATCH('Flux Density'!F$5,'% He'!$C$3:$C$14,0),1))/$C$2</f>
        <v>0</v>
      </c>
      <c r="G40" s="31">
        <f>INDEX('EcologyLenzTests - MAXIMUM'!F:F,MATCH('Flux Density'!$C40,'EcologyLenzTests - MAXIMUM'!$A:$A,0),1)*$C$3*(10/INDEX('% He'!$E$3:$E$14,MATCH('Flux Density'!G$5,'% He'!$C$3:$C$14,0),1))/$C$2</f>
        <v>0</v>
      </c>
      <c r="H40" s="31">
        <f>INDEX('EcologyLenzTests - MAXIMUM'!G:G,MATCH('Flux Density'!$C40,'EcologyLenzTests - MAXIMUM'!$A:$A,0),1)*$C$3*(10/INDEX('% He'!$E$3:$E$14,MATCH('Flux Density'!H$5,'% He'!$C$3:$C$14,0),1))/$C$2</f>
        <v>0</v>
      </c>
      <c r="I40" s="31">
        <f>INDEX('EcologyLenzTests - MAXIMUM'!H:H,MATCH('Flux Density'!$C40,'EcologyLenzTests - MAXIMUM'!$A:$A,0),1)*$C$3*(10/INDEX('% He'!$E$3:$E$14,MATCH('Flux Density'!I$5,'% He'!$C$3:$C$14,0),1))/$C$2</f>
        <v>0</v>
      </c>
      <c r="J40" s="31">
        <f>INDEX('EcologyLenzTests - MAXIMUM'!I:I,MATCH('Flux Density'!$C40,'EcologyLenzTests - MAXIMUM'!$A:$A,0),1)*$C$3*(10/INDEX('% He'!$E$3:$E$14,MATCH('Flux Density'!J$5,'% He'!$C$3:$C$14,0),1))/$C$2</f>
        <v>0</v>
      </c>
      <c r="K40" s="31">
        <f>INDEX('EcologyLenzTests - MAXIMUM'!J:J,MATCH('Flux Density'!$C40,'EcologyLenzTests - MAXIMUM'!$A:$A,0),1)*$C$3*(10/INDEX('% He'!$E$3:$E$14,MATCH('Flux Density'!K$5,'% He'!$C$3:$C$14,0),1))/$C$2</f>
        <v>0</v>
      </c>
      <c r="L40" s="31">
        <f>INDEX('EcologyLenzTests - MAXIMUM'!K:K,MATCH('Flux Density'!$C40,'EcologyLenzTests - MAXIMUM'!$A:$A,0),1)*$C$3*(10/INDEX('% He'!$E$3:$E$14,MATCH('Flux Density'!L$5,'% He'!$C$3:$C$14,0),1))/$C$2</f>
        <v>0</v>
      </c>
      <c r="M40" s="31">
        <f>INDEX('EcologyLenzTests - MAXIMUM'!L:L,MATCH('Flux Density'!$C40,'EcologyLenzTests - MAXIMUM'!$A:$A,0),1)*$C$3*(10/INDEX('% He'!$E$3:$E$14,MATCH('Flux Density'!M$5,'% He'!$C$3:$C$14,0),1))/$C$2</f>
        <v>0</v>
      </c>
      <c r="N40" s="32">
        <f>INDEX('EcologyLenzTests - MAXIMUM'!M:M,MATCH('Flux Density'!$C40,'EcologyLenzTests - MAXIMUM'!$A:$A,0),1)*$C$3*(10/INDEX('% He'!$E$3:$E$14,MATCH('Flux Density'!N$5,'% He'!$C$3:$C$14,0),1))/$C$2</f>
        <v>2.7004909983633389</v>
      </c>
    </row>
    <row r="41" spans="2:14" x14ac:dyDescent="0.3">
      <c r="B41" s="139" t="str">
        <f>'EcologyLenzTests - MAXIMUM'!B58</f>
        <v>o-Tolualdehyde</v>
      </c>
      <c r="C41" s="39" t="str">
        <f>INDEX('EcologyLenzTests - MAXIMUM'!A:A,MATCH('Flux Density'!B41,'EcologyLenzTests - MAXIMUM'!B:B,0),1)</f>
        <v>529-20-4</v>
      </c>
      <c r="D41" s="31">
        <f>INDEX('EcologyLenzTests - MAXIMUM'!C:C,MATCH('Flux Density'!$C41,'EcologyLenzTests - MAXIMUM'!$A:$A,0),1)*$C$3*(10/INDEX('% He'!$E$3:$E$14,MATCH('Flux Density'!D$5,'% He'!$C$3:$C$14,0),1))/$C$2</f>
        <v>0</v>
      </c>
      <c r="E41" s="31">
        <f>INDEX('EcologyLenzTests - MAXIMUM'!D:D,MATCH('Flux Density'!$C41,'EcologyLenzTests - MAXIMUM'!$A:$A,0),1)*$C$3*(10/INDEX('% He'!$E$3:$E$14,MATCH('Flux Density'!E$5,'% He'!$C$3:$C$14,0),1))/$C$2</f>
        <v>0</v>
      </c>
      <c r="F41" s="31">
        <f>INDEX('EcologyLenzTests - MAXIMUM'!E:E,MATCH('Flux Density'!$C41,'EcologyLenzTests - MAXIMUM'!$A:$A,0),1)*$C$3*(10/INDEX('% He'!$E$3:$E$14,MATCH('Flux Density'!F$5,'% He'!$C$3:$C$14,0),1))/$C$2</f>
        <v>0</v>
      </c>
      <c r="G41" s="31">
        <f>INDEX('EcologyLenzTests - MAXIMUM'!F:F,MATCH('Flux Density'!$C41,'EcologyLenzTests - MAXIMUM'!$A:$A,0),1)*$C$3*(10/INDEX('% He'!$E$3:$E$14,MATCH('Flux Density'!G$5,'% He'!$C$3:$C$14,0),1))/$C$2</f>
        <v>0</v>
      </c>
      <c r="H41" s="31">
        <f>INDEX('EcologyLenzTests - MAXIMUM'!G:G,MATCH('Flux Density'!$C41,'EcologyLenzTests - MAXIMUM'!$A:$A,0),1)*$C$3*(10/INDEX('% He'!$E$3:$E$14,MATCH('Flux Density'!H$5,'% He'!$C$3:$C$14,0),1))/$C$2</f>
        <v>0</v>
      </c>
      <c r="I41" s="31">
        <f>INDEX('EcologyLenzTests - MAXIMUM'!H:H,MATCH('Flux Density'!$C41,'EcologyLenzTests - MAXIMUM'!$A:$A,0),1)*$C$3*(10/INDEX('% He'!$E$3:$E$14,MATCH('Flux Density'!I$5,'% He'!$C$3:$C$14,0),1))/$C$2</f>
        <v>0</v>
      </c>
      <c r="J41" s="31">
        <f>INDEX('EcologyLenzTests - MAXIMUM'!I:I,MATCH('Flux Density'!$C41,'EcologyLenzTests - MAXIMUM'!$A:$A,0),1)*$C$3*(10/INDEX('% He'!$E$3:$E$14,MATCH('Flux Density'!J$5,'% He'!$C$3:$C$14,0),1))/$C$2</f>
        <v>0</v>
      </c>
      <c r="K41" s="31">
        <f>INDEX('EcologyLenzTests - MAXIMUM'!J:J,MATCH('Flux Density'!$C41,'EcologyLenzTests - MAXIMUM'!$A:$A,0),1)*$C$3*(10/INDEX('% He'!$E$3:$E$14,MATCH('Flux Density'!K$5,'% He'!$C$3:$C$14,0),1))/$C$2</f>
        <v>0</v>
      </c>
      <c r="L41" s="31">
        <f>INDEX('EcologyLenzTests - MAXIMUM'!K:K,MATCH('Flux Density'!$C41,'EcologyLenzTests - MAXIMUM'!$A:$A,0),1)*$C$3*(10/INDEX('% He'!$E$3:$E$14,MATCH('Flux Density'!L$5,'% He'!$C$3:$C$14,0),1))/$C$2</f>
        <v>0</v>
      </c>
      <c r="M41" s="31">
        <f>INDEX('EcologyLenzTests - MAXIMUM'!L:L,MATCH('Flux Density'!$C41,'EcologyLenzTests - MAXIMUM'!$A:$A,0),1)*$C$3*(10/INDEX('% He'!$E$3:$E$14,MATCH('Flux Density'!M$5,'% He'!$C$3:$C$14,0),1))/$C$2</f>
        <v>0</v>
      </c>
      <c r="N41" s="32">
        <f>INDEX('EcologyLenzTests - MAXIMUM'!M:M,MATCH('Flux Density'!$C41,'EcologyLenzTests - MAXIMUM'!$A:$A,0),1)*$C$3*(10/INDEX('% He'!$E$3:$E$14,MATCH('Flux Density'!N$5,'% He'!$C$3:$C$14,0),1))/$C$2</f>
        <v>5.3191489361702127</v>
      </c>
    </row>
    <row r="42" spans="2:14" x14ac:dyDescent="0.3">
      <c r="B42" s="139" t="str">
        <f>'EcologyLenzTests - MAXIMUM'!B59</f>
        <v>n-Hexaldehyde</v>
      </c>
      <c r="C42" s="39" t="str">
        <f>INDEX('EcologyLenzTests - MAXIMUM'!A:A,MATCH('Flux Density'!B42,'EcologyLenzTests - MAXIMUM'!B:B,0),1)</f>
        <v>66-25-1</v>
      </c>
      <c r="D42" s="31">
        <f>INDEX('EcologyLenzTests - MAXIMUM'!C:C,MATCH('Flux Density'!$C42,'EcologyLenzTests - MAXIMUM'!$A:$A,0),1)*$C$3*(10/INDEX('% He'!$E$3:$E$14,MATCH('Flux Density'!D$5,'% He'!$C$3:$C$14,0),1))/$C$2</f>
        <v>0</v>
      </c>
      <c r="E42" s="31">
        <f>INDEX('EcologyLenzTests - MAXIMUM'!D:D,MATCH('Flux Density'!$C42,'EcologyLenzTests - MAXIMUM'!$A:$A,0),1)*$C$3*(10/INDEX('% He'!$E$3:$E$14,MATCH('Flux Density'!E$5,'% He'!$C$3:$C$14,0),1))/$C$2</f>
        <v>0</v>
      </c>
      <c r="F42" s="31">
        <f>INDEX('EcologyLenzTests - MAXIMUM'!E:E,MATCH('Flux Density'!$C42,'EcologyLenzTests - MAXIMUM'!$A:$A,0),1)*$C$3*(10/INDEX('% He'!$E$3:$E$14,MATCH('Flux Density'!F$5,'% He'!$C$3:$C$14,0),1))/$C$2</f>
        <v>0</v>
      </c>
      <c r="G42" s="31">
        <f>INDEX('EcologyLenzTests - MAXIMUM'!F:F,MATCH('Flux Density'!$C42,'EcologyLenzTests - MAXIMUM'!$A:$A,0),1)*$C$3*(10/INDEX('% He'!$E$3:$E$14,MATCH('Flux Density'!G$5,'% He'!$C$3:$C$14,0),1))/$C$2</f>
        <v>0</v>
      </c>
      <c r="H42" s="31">
        <f>INDEX('EcologyLenzTests - MAXIMUM'!G:G,MATCH('Flux Density'!$C42,'EcologyLenzTests - MAXIMUM'!$A:$A,0),1)*$C$3*(10/INDEX('% He'!$E$3:$E$14,MATCH('Flux Density'!H$5,'% He'!$C$3:$C$14,0),1))/$C$2</f>
        <v>0</v>
      </c>
      <c r="I42" s="31">
        <f>INDEX('EcologyLenzTests - MAXIMUM'!H:H,MATCH('Flux Density'!$C42,'EcologyLenzTests - MAXIMUM'!$A:$A,0),1)*$C$3*(10/INDEX('% He'!$E$3:$E$14,MATCH('Flux Density'!I$5,'% He'!$C$3:$C$14,0),1))/$C$2</f>
        <v>0</v>
      </c>
      <c r="J42" s="31">
        <f>INDEX('EcologyLenzTests - MAXIMUM'!I:I,MATCH('Flux Density'!$C42,'EcologyLenzTests - MAXIMUM'!$A:$A,0),1)*$C$3*(10/INDEX('% He'!$E$3:$E$14,MATCH('Flux Density'!J$5,'% He'!$C$3:$C$14,0),1))/$C$2</f>
        <v>0</v>
      </c>
      <c r="K42" s="31">
        <f>INDEX('EcologyLenzTests - MAXIMUM'!J:J,MATCH('Flux Density'!$C42,'EcologyLenzTests - MAXIMUM'!$A:$A,0),1)*$C$3*(10/INDEX('% He'!$E$3:$E$14,MATCH('Flux Density'!K$5,'% He'!$C$3:$C$14,0),1))/$C$2</f>
        <v>0</v>
      </c>
      <c r="L42" s="31">
        <f>INDEX('EcologyLenzTests - MAXIMUM'!K:K,MATCH('Flux Density'!$C42,'EcologyLenzTests - MAXIMUM'!$A:$A,0),1)*$C$3*(10/INDEX('% He'!$E$3:$E$14,MATCH('Flux Density'!L$5,'% He'!$C$3:$C$14,0),1))/$C$2</f>
        <v>0</v>
      </c>
      <c r="M42" s="31">
        <f>INDEX('EcologyLenzTests - MAXIMUM'!L:L,MATCH('Flux Density'!$C42,'EcologyLenzTests - MAXIMUM'!$A:$A,0),1)*$C$3*(10/INDEX('% He'!$E$3:$E$14,MATCH('Flux Density'!M$5,'% He'!$C$3:$C$14,0),1))/$C$2</f>
        <v>0</v>
      </c>
      <c r="N42" s="32">
        <f>INDEX('EcologyLenzTests - MAXIMUM'!M:M,MATCH('Flux Density'!$C42,'EcologyLenzTests - MAXIMUM'!$A:$A,0),1)*$C$3*(10/INDEX('% He'!$E$3:$E$14,MATCH('Flux Density'!N$5,'% He'!$C$3:$C$14,0),1))/$C$2</f>
        <v>9.4108019639934533</v>
      </c>
    </row>
    <row r="43" spans="2:14" x14ac:dyDescent="0.3">
      <c r="B43" s="140" t="str">
        <f>'EcologyLenzTests - MAXIMUM'!B60</f>
        <v>2,5-Dimethylbenzaldehyde</v>
      </c>
      <c r="C43" s="40" t="str">
        <f>INDEX('EcologyLenzTests - MAXIMUM'!A:A,MATCH('Flux Density'!B43,'EcologyLenzTests - MAXIMUM'!B:B,0),1)</f>
        <v>5779-94-2</v>
      </c>
      <c r="D43" s="33">
        <f>INDEX('EcologyLenzTests - MAXIMUM'!C:C,MATCH('Flux Density'!$C43,'EcologyLenzTests - MAXIMUM'!$A:$A,0),1)*$C$3*(10/INDEX('% He'!$E$3:$E$14,MATCH('Flux Density'!D$5,'% He'!$C$3:$C$14,0),1))/$C$2</f>
        <v>0</v>
      </c>
      <c r="E43" s="33">
        <f>INDEX('EcologyLenzTests - MAXIMUM'!D:D,MATCH('Flux Density'!$C43,'EcologyLenzTests - MAXIMUM'!$A:$A,0),1)*$C$3*(10/INDEX('% He'!$E$3:$E$14,MATCH('Flux Density'!E$5,'% He'!$C$3:$C$14,0),1))/$C$2</f>
        <v>0</v>
      </c>
      <c r="F43" s="33">
        <f>INDEX('EcologyLenzTests - MAXIMUM'!E:E,MATCH('Flux Density'!$C43,'EcologyLenzTests - MAXIMUM'!$A:$A,0),1)*$C$3*(10/INDEX('% He'!$E$3:$E$14,MATCH('Flux Density'!F$5,'% He'!$C$3:$C$14,0),1))/$C$2</f>
        <v>0</v>
      </c>
      <c r="G43" s="33">
        <f>INDEX('EcologyLenzTests - MAXIMUM'!F:F,MATCH('Flux Density'!$C43,'EcologyLenzTests - MAXIMUM'!$A:$A,0),1)*$C$3*(10/INDEX('% He'!$E$3:$E$14,MATCH('Flux Density'!G$5,'% He'!$C$3:$C$14,0),1))/$C$2</f>
        <v>0</v>
      </c>
      <c r="H43" s="33">
        <f>INDEX('EcologyLenzTests - MAXIMUM'!G:G,MATCH('Flux Density'!$C43,'EcologyLenzTests - MAXIMUM'!$A:$A,0),1)*$C$3*(10/INDEX('% He'!$E$3:$E$14,MATCH('Flux Density'!H$5,'% He'!$C$3:$C$14,0),1))/$C$2</f>
        <v>0</v>
      </c>
      <c r="I43" s="33">
        <f>INDEX('EcologyLenzTests - MAXIMUM'!H:H,MATCH('Flux Density'!$C43,'EcologyLenzTests - MAXIMUM'!$A:$A,0),1)*$C$3*(10/INDEX('% He'!$E$3:$E$14,MATCH('Flux Density'!I$5,'% He'!$C$3:$C$14,0),1))/$C$2</f>
        <v>0</v>
      </c>
      <c r="J43" s="33">
        <f>INDEX('EcologyLenzTests - MAXIMUM'!I:I,MATCH('Flux Density'!$C43,'EcologyLenzTests - MAXIMUM'!$A:$A,0),1)*$C$3*(10/INDEX('% He'!$E$3:$E$14,MATCH('Flux Density'!J$5,'% He'!$C$3:$C$14,0),1))/$C$2</f>
        <v>0</v>
      </c>
      <c r="K43" s="33">
        <f>INDEX('EcologyLenzTests - MAXIMUM'!J:J,MATCH('Flux Density'!$C43,'EcologyLenzTests - MAXIMUM'!$A:$A,0),1)*$C$3*(10/INDEX('% He'!$E$3:$E$14,MATCH('Flux Density'!K$5,'% He'!$C$3:$C$14,0),1))/$C$2</f>
        <v>0</v>
      </c>
      <c r="L43" s="33">
        <f>INDEX('EcologyLenzTests - MAXIMUM'!K:K,MATCH('Flux Density'!$C43,'EcologyLenzTests - MAXIMUM'!$A:$A,0),1)*$C$3*(10/INDEX('% He'!$E$3:$E$14,MATCH('Flux Density'!L$5,'% He'!$C$3:$C$14,0),1))/$C$2</f>
        <v>0</v>
      </c>
      <c r="M43" s="33">
        <f>INDEX('EcologyLenzTests - MAXIMUM'!L:L,MATCH('Flux Density'!$C43,'EcologyLenzTests - MAXIMUM'!$A:$A,0),1)*$C$3*(10/INDEX('% He'!$E$3:$E$14,MATCH('Flux Density'!M$5,'% He'!$C$3:$C$14,0),1))/$C$2</f>
        <v>0.38461538461538464</v>
      </c>
      <c r="N43" s="34">
        <f>INDEX('EcologyLenzTests - MAXIMUM'!M:M,MATCH('Flux Density'!$C43,'EcologyLenzTests - MAXIMUM'!$A:$A,0),1)*$C$3*(10/INDEX('% He'!$E$3:$E$14,MATCH('Flux Density'!N$5,'% He'!$C$3:$C$14,0),1))/$C$2</f>
        <v>0</v>
      </c>
    </row>
    <row r="44" spans="2:14" x14ac:dyDescent="0.3">
      <c r="B44" s="15"/>
    </row>
    <row r="45" spans="2:14" x14ac:dyDescent="0.3">
      <c r="B45" s="15"/>
    </row>
    <row r="46" spans="2:14" x14ac:dyDescent="0.3">
      <c r="B46" s="15"/>
    </row>
  </sheetData>
  <mergeCells count="1">
    <mergeCell ref="D4:N4"/>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5"/>
  <sheetViews>
    <sheetView workbookViewId="0"/>
  </sheetViews>
  <sheetFormatPr defaultRowHeight="14.4" x14ac:dyDescent="0.3"/>
  <cols>
    <col min="2" max="2" width="11.33203125" customWidth="1"/>
    <col min="3" max="3" width="24.44140625" customWidth="1"/>
    <col min="4" max="4" width="48" customWidth="1"/>
  </cols>
  <sheetData>
    <row r="2" spans="2:5" x14ac:dyDescent="0.3">
      <c r="B2" s="86" t="s">
        <v>1986</v>
      </c>
      <c r="C2" s="127" t="s">
        <v>1987</v>
      </c>
      <c r="D2" s="127" t="s">
        <v>1988</v>
      </c>
      <c r="E2" s="128" t="s">
        <v>1984</v>
      </c>
    </row>
    <row r="3" spans="2:5" x14ac:dyDescent="0.3">
      <c r="B3" s="129">
        <v>41451</v>
      </c>
      <c r="C3" s="130" t="s">
        <v>47</v>
      </c>
      <c r="D3" s="130" t="s">
        <v>1995</v>
      </c>
      <c r="E3" s="131">
        <v>0.18</v>
      </c>
    </row>
    <row r="4" spans="2:5" x14ac:dyDescent="0.3">
      <c r="B4" s="132">
        <v>41451</v>
      </c>
      <c r="C4" s="70" t="s">
        <v>48</v>
      </c>
      <c r="D4" s="70" t="s">
        <v>1996</v>
      </c>
      <c r="E4" s="133">
        <v>0.47</v>
      </c>
    </row>
    <row r="5" spans="2:5" x14ac:dyDescent="0.3">
      <c r="B5" s="132">
        <v>41451</v>
      </c>
      <c r="C5" s="70" t="s">
        <v>49</v>
      </c>
      <c r="D5" s="70" t="s">
        <v>1997</v>
      </c>
      <c r="E5" s="133">
        <v>0.51</v>
      </c>
    </row>
    <row r="6" spans="2:5" x14ac:dyDescent="0.3">
      <c r="B6" s="132">
        <v>41451</v>
      </c>
      <c r="C6" s="70" t="s">
        <v>50</v>
      </c>
      <c r="D6" s="70" t="s">
        <v>1998</v>
      </c>
      <c r="E6" s="133">
        <v>0.31</v>
      </c>
    </row>
    <row r="7" spans="2:5" x14ac:dyDescent="0.3">
      <c r="B7" s="132">
        <v>41451</v>
      </c>
      <c r="C7" s="70" t="s">
        <v>51</v>
      </c>
      <c r="D7" s="70" t="s">
        <v>1999</v>
      </c>
      <c r="E7" s="133">
        <v>2.2999999999999998</v>
      </c>
    </row>
    <row r="8" spans="2:5" x14ac:dyDescent="0.3">
      <c r="B8" s="132">
        <v>41451</v>
      </c>
      <c r="C8" s="70" t="s">
        <v>52</v>
      </c>
      <c r="D8" s="70" t="s">
        <v>2000</v>
      </c>
      <c r="E8" s="133">
        <v>4.0999999999999996</v>
      </c>
    </row>
    <row r="9" spans="2:5" x14ac:dyDescent="0.3">
      <c r="B9" s="132">
        <v>41452</v>
      </c>
      <c r="C9" s="70" t="s">
        <v>1989</v>
      </c>
      <c r="D9" s="70" t="s">
        <v>2001</v>
      </c>
      <c r="E9" s="133">
        <v>3.1</v>
      </c>
    </row>
    <row r="10" spans="2:5" x14ac:dyDescent="0.3">
      <c r="B10" s="132">
        <v>41452</v>
      </c>
      <c r="C10" s="70" t="s">
        <v>1990</v>
      </c>
      <c r="D10" s="70" t="s">
        <v>2002</v>
      </c>
      <c r="E10" s="133">
        <v>2.5</v>
      </c>
    </row>
    <row r="11" spans="2:5" x14ac:dyDescent="0.3">
      <c r="B11" s="132">
        <v>41452</v>
      </c>
      <c r="C11" s="70" t="s">
        <v>1991</v>
      </c>
      <c r="D11" s="70" t="s">
        <v>2002</v>
      </c>
      <c r="E11" s="133">
        <v>3.9</v>
      </c>
    </row>
    <row r="12" spans="2:5" x14ac:dyDescent="0.3">
      <c r="B12" s="132">
        <v>41452</v>
      </c>
      <c r="C12" s="70" t="s">
        <v>1992</v>
      </c>
      <c r="D12" s="70" t="s">
        <v>2003</v>
      </c>
      <c r="E12" s="133">
        <v>3.8</v>
      </c>
    </row>
    <row r="13" spans="2:5" x14ac:dyDescent="0.3">
      <c r="B13" s="132">
        <v>41452</v>
      </c>
      <c r="C13" s="70" t="s">
        <v>1993</v>
      </c>
      <c r="D13" s="70" t="s">
        <v>2004</v>
      </c>
      <c r="E13" s="133">
        <v>0.94</v>
      </c>
    </row>
    <row r="14" spans="2:5" x14ac:dyDescent="0.3">
      <c r="B14" s="134">
        <v>41452</v>
      </c>
      <c r="C14" s="135" t="s">
        <v>1994</v>
      </c>
      <c r="D14" s="135" t="s">
        <v>2005</v>
      </c>
      <c r="E14" s="136">
        <v>7.5</v>
      </c>
    </row>
    <row r="15" spans="2:5" x14ac:dyDescent="0.3">
      <c r="B15" s="72" t="s">
        <v>1985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Q37"/>
  <sheetViews>
    <sheetView workbookViewId="0">
      <selection activeCell="C32" sqref="C32"/>
    </sheetView>
  </sheetViews>
  <sheetFormatPr defaultRowHeight="14.4" x14ac:dyDescent="0.3"/>
  <cols>
    <col min="2" max="2" width="11.44140625" customWidth="1"/>
    <col min="3" max="3" width="26.77734375" customWidth="1"/>
    <col min="4" max="4" width="12.77734375" customWidth="1"/>
    <col min="5" max="5" width="15.44140625" customWidth="1"/>
    <col min="6" max="6" width="17.21875" customWidth="1"/>
    <col min="7" max="7" width="16.5546875" customWidth="1"/>
    <col min="8" max="8" width="16.6640625" customWidth="1"/>
    <col min="9" max="9" width="17.21875" customWidth="1"/>
    <col min="13" max="13" width="23.77734375" customWidth="1"/>
  </cols>
  <sheetData>
    <row r="3" spans="2:17" x14ac:dyDescent="0.3">
      <c r="B3" s="5" t="s">
        <v>2062</v>
      </c>
    </row>
    <row r="4" spans="2:17" s="69" customFormat="1" x14ac:dyDescent="0.3">
      <c r="B4" s="37" t="s">
        <v>2053</v>
      </c>
      <c r="C4" s="127" t="s">
        <v>1988</v>
      </c>
      <c r="D4" s="127" t="s">
        <v>2056</v>
      </c>
      <c r="E4" s="127" t="s">
        <v>2057</v>
      </c>
      <c r="F4" s="127" t="s">
        <v>2058</v>
      </c>
      <c r="G4" s="127" t="s">
        <v>2059</v>
      </c>
      <c r="H4" s="127" t="s">
        <v>2060</v>
      </c>
      <c r="I4" s="128" t="s">
        <v>2061</v>
      </c>
    </row>
    <row r="5" spans="2:17" s="157" customFormat="1" x14ac:dyDescent="0.3">
      <c r="B5" s="185" t="s">
        <v>2022</v>
      </c>
      <c r="C5" s="176" t="s">
        <v>2064</v>
      </c>
      <c r="D5" s="177">
        <v>552027.4</v>
      </c>
      <c r="E5" s="177">
        <v>5342457.59</v>
      </c>
      <c r="F5" s="178">
        <v>61.04</v>
      </c>
      <c r="G5" s="177">
        <f>'Thermal Buoyancy'!G16</f>
        <v>3.540887339114402</v>
      </c>
      <c r="H5" s="177">
        <f>'Thermal Buoyancy'!G17</f>
        <v>3.8171957833966266</v>
      </c>
      <c r="I5" s="179">
        <f>'Thermal Buoyancy'!G18</f>
        <v>1.6469243437741405</v>
      </c>
    </row>
    <row r="6" spans="2:17" x14ac:dyDescent="0.3">
      <c r="B6" s="39" t="s">
        <v>2023</v>
      </c>
      <c r="C6" s="180" t="s">
        <v>2055</v>
      </c>
      <c r="D6" s="31">
        <v>551782.34</v>
      </c>
      <c r="E6" s="31">
        <v>5342518.67</v>
      </c>
      <c r="F6" s="181">
        <v>54.11</v>
      </c>
      <c r="G6" s="31">
        <f>'Thermal Buoyancy'!H16</f>
        <v>3.6486114544496679</v>
      </c>
      <c r="H6" s="31">
        <f>'Thermal Buoyancy'!H17</f>
        <v>4.0295681402469166</v>
      </c>
      <c r="I6" s="32">
        <f>'Thermal Buoyancy'!H18</f>
        <v>1.6970285834649619</v>
      </c>
      <c r="J6" s="23"/>
      <c r="K6" s="23"/>
      <c r="L6" s="23"/>
      <c r="M6" s="23"/>
      <c r="N6" s="23"/>
      <c r="O6" s="23"/>
      <c r="P6" s="23"/>
      <c r="Q6" s="23"/>
    </row>
    <row r="7" spans="2:17" x14ac:dyDescent="0.3">
      <c r="B7" s="39" t="s">
        <v>2024</v>
      </c>
      <c r="C7" s="180" t="s">
        <v>2054</v>
      </c>
      <c r="D7" s="31">
        <v>551783.15</v>
      </c>
      <c r="E7" s="31">
        <v>5342479.79</v>
      </c>
      <c r="F7" s="181">
        <v>49.71</v>
      </c>
      <c r="G7" s="31">
        <f>'Thermal Buoyancy'!I16</f>
        <v>3.6486114544496679</v>
      </c>
      <c r="H7" s="31">
        <f>'Thermal Buoyancy'!I17</f>
        <v>4.0295681402469166</v>
      </c>
      <c r="I7" s="32">
        <f>'Thermal Buoyancy'!I18</f>
        <v>1.6970285834649619</v>
      </c>
      <c r="J7" s="23"/>
      <c r="K7" s="23"/>
      <c r="L7" s="23"/>
      <c r="M7" s="23"/>
      <c r="N7" s="23"/>
      <c r="O7" s="23"/>
      <c r="P7" s="23"/>
      <c r="Q7" s="23"/>
    </row>
    <row r="8" spans="2:17" x14ac:dyDescent="0.3">
      <c r="B8" s="39" t="s">
        <v>2065</v>
      </c>
      <c r="C8" s="180" t="s">
        <v>2066</v>
      </c>
      <c r="D8" s="31">
        <v>551929.13</v>
      </c>
      <c r="E8" s="31">
        <v>5342532.24</v>
      </c>
      <c r="F8" s="181">
        <v>53.94</v>
      </c>
      <c r="G8" s="31">
        <f>'Thermal Buoyancy'!$L$16</f>
        <v>1.6304393877543544</v>
      </c>
      <c r="H8" s="31">
        <f>'Thermal Buoyancy'!$L$17</f>
        <v>0.43625965485479073</v>
      </c>
      <c r="I8" s="32">
        <f>'Thermal Buoyancy'!$L$18</f>
        <v>0.75834390128109508</v>
      </c>
      <c r="J8" s="23"/>
      <c r="K8" s="23"/>
      <c r="L8" s="23"/>
      <c r="M8" s="23" t="s">
        <v>2075</v>
      </c>
      <c r="N8" s="73">
        <f>CONVERT(63,"in","m")</f>
        <v>1.6002000000000001</v>
      </c>
      <c r="O8" s="23"/>
      <c r="P8" s="23"/>
      <c r="Q8" s="23"/>
    </row>
    <row r="9" spans="2:17" x14ac:dyDescent="0.3">
      <c r="B9" s="39" t="s">
        <v>2071</v>
      </c>
      <c r="C9" s="180" t="s">
        <v>2067</v>
      </c>
      <c r="D9" s="31">
        <v>551802.35</v>
      </c>
      <c r="E9" s="31">
        <v>5342460.28</v>
      </c>
      <c r="F9" s="181">
        <v>54.75</v>
      </c>
      <c r="G9" s="31">
        <f>'Thermal Buoyancy'!$L$16</f>
        <v>1.6304393877543544</v>
      </c>
      <c r="H9" s="31">
        <f>'Thermal Buoyancy'!$L$17</f>
        <v>0.43625965485479073</v>
      </c>
      <c r="I9" s="32">
        <f>'Thermal Buoyancy'!$L$18</f>
        <v>0.75834390128109508</v>
      </c>
      <c r="J9" s="23"/>
      <c r="K9" s="23"/>
      <c r="L9" s="23"/>
      <c r="M9" s="23" t="s">
        <v>2076</v>
      </c>
      <c r="N9" s="73">
        <f>CONVERT(68,"in","m")</f>
        <v>1.7272000000000001</v>
      </c>
      <c r="O9" s="23"/>
      <c r="P9" s="23"/>
      <c r="Q9" s="23"/>
    </row>
    <row r="10" spans="2:17" x14ac:dyDescent="0.3">
      <c r="B10" s="39" t="s">
        <v>2072</v>
      </c>
      <c r="C10" s="180" t="s">
        <v>2068</v>
      </c>
      <c r="D10" s="31">
        <v>551802.35</v>
      </c>
      <c r="E10" s="31">
        <v>5342479.79</v>
      </c>
      <c r="F10" s="181">
        <v>58.1</v>
      </c>
      <c r="G10" s="31">
        <f>'Thermal Buoyancy'!$L$16</f>
        <v>1.6304393877543544</v>
      </c>
      <c r="H10" s="31">
        <f>'Thermal Buoyancy'!$L$17</f>
        <v>0.43625965485479073</v>
      </c>
      <c r="I10" s="32">
        <f>'Thermal Buoyancy'!$L$18</f>
        <v>0.75834390128109508</v>
      </c>
      <c r="J10" s="23"/>
      <c r="K10" s="23"/>
      <c r="L10" s="23"/>
      <c r="M10" s="23" t="s">
        <v>2077</v>
      </c>
      <c r="N10" s="23">
        <v>2</v>
      </c>
      <c r="O10" s="23"/>
      <c r="P10" s="23"/>
      <c r="Q10" s="23"/>
    </row>
    <row r="11" spans="2:17" x14ac:dyDescent="0.3">
      <c r="B11" s="39" t="s">
        <v>2073</v>
      </c>
      <c r="C11" s="180" t="s">
        <v>2069</v>
      </c>
      <c r="D11" s="31">
        <v>551802.35</v>
      </c>
      <c r="E11" s="31">
        <v>5342499.3</v>
      </c>
      <c r="F11" s="181">
        <v>58.52</v>
      </c>
      <c r="G11" s="31">
        <f>'Thermal Buoyancy'!$L$16</f>
        <v>1.6304393877543544</v>
      </c>
      <c r="H11" s="31">
        <f>'Thermal Buoyancy'!$L$17</f>
        <v>0.43625965485479073</v>
      </c>
      <c r="I11" s="32">
        <f>'Thermal Buoyancy'!$L$18</f>
        <v>0.75834390128109508</v>
      </c>
      <c r="J11" s="23"/>
      <c r="K11" s="23"/>
      <c r="L11" s="23"/>
      <c r="M11" s="23"/>
      <c r="N11" s="23"/>
      <c r="O11" s="23"/>
      <c r="P11" s="23"/>
      <c r="Q11" s="23"/>
    </row>
    <row r="12" spans="2:17" x14ac:dyDescent="0.3">
      <c r="B12" s="39" t="s">
        <v>2074</v>
      </c>
      <c r="C12" s="180" t="s">
        <v>2070</v>
      </c>
      <c r="D12" s="31">
        <v>551802.35</v>
      </c>
      <c r="E12" s="31">
        <v>5342518.8</v>
      </c>
      <c r="F12" s="181">
        <v>58.73</v>
      </c>
      <c r="G12" s="31">
        <f>'Thermal Buoyancy'!$L$16</f>
        <v>1.6304393877543544</v>
      </c>
      <c r="H12" s="31">
        <f>'Thermal Buoyancy'!$L$17</f>
        <v>0.43625965485479073</v>
      </c>
      <c r="I12" s="32">
        <f>'Thermal Buoyancy'!$L$18</f>
        <v>0.75834390128109508</v>
      </c>
      <c r="J12" s="23"/>
      <c r="K12" s="23"/>
      <c r="L12" s="23"/>
      <c r="M12" s="23"/>
      <c r="N12" s="23"/>
      <c r="O12" s="23"/>
      <c r="P12" s="23"/>
      <c r="Q12" s="23"/>
    </row>
    <row r="13" spans="2:17" x14ac:dyDescent="0.3">
      <c r="B13" s="39" t="s">
        <v>2026</v>
      </c>
      <c r="C13" s="180" t="s">
        <v>2078</v>
      </c>
      <c r="D13" s="31">
        <v>551802.35</v>
      </c>
      <c r="E13" s="31">
        <v>5342538.3099999996</v>
      </c>
      <c r="F13" s="181">
        <v>60.44</v>
      </c>
      <c r="G13" s="31">
        <f>'Thermal Buoyancy'!K16</f>
        <v>11.719195227626615</v>
      </c>
      <c r="H13" s="31">
        <f>'Thermal Buoyancy'!K17</f>
        <v>26.373561996504076</v>
      </c>
      <c r="I13" s="32">
        <f>'Thermal Buoyancy'!K18</f>
        <v>5.450788477965868</v>
      </c>
      <c r="J13" s="23"/>
      <c r="K13" s="23"/>
      <c r="L13" s="23"/>
      <c r="M13" s="23"/>
      <c r="N13" s="23"/>
      <c r="O13" s="23"/>
      <c r="P13" s="23"/>
      <c r="Q13" s="23"/>
    </row>
    <row r="14" spans="2:17" x14ac:dyDescent="0.3">
      <c r="B14" s="40" t="s">
        <v>2025</v>
      </c>
      <c r="C14" s="83" t="s">
        <v>2079</v>
      </c>
      <c r="D14" s="33">
        <v>551855.57999999996</v>
      </c>
      <c r="E14" s="33">
        <v>5342575.51</v>
      </c>
      <c r="F14" s="182">
        <v>62.66</v>
      </c>
      <c r="G14" s="33">
        <f>'Thermal Buoyancy'!J16</f>
        <v>7.3540557498464327</v>
      </c>
      <c r="H14" s="33">
        <f>'Thermal Buoyancy'!J17</f>
        <v>14.964488339907124</v>
      </c>
      <c r="I14" s="34">
        <f>'Thermal Buoyancy'!J18</f>
        <v>3.4204910464402016</v>
      </c>
      <c r="J14" s="23"/>
      <c r="K14" s="23"/>
      <c r="L14" s="23"/>
      <c r="M14" s="23"/>
      <c r="N14" s="23"/>
      <c r="O14" s="23"/>
      <c r="P14" s="23"/>
      <c r="Q14" s="23"/>
    </row>
    <row r="15" spans="2:17" s="15" customFormat="1" x14ac:dyDescent="0.3">
      <c r="B15" s="23"/>
      <c r="C15" s="23"/>
      <c r="D15" s="23"/>
      <c r="E15" s="23"/>
      <c r="F15" s="159"/>
      <c r="G15" s="23"/>
      <c r="H15" s="23"/>
      <c r="I15" s="23"/>
      <c r="J15" s="23"/>
      <c r="K15" s="23"/>
      <c r="L15" s="23"/>
      <c r="M15" s="23"/>
      <c r="N15" s="23"/>
      <c r="O15" s="23"/>
      <c r="P15" s="23"/>
      <c r="Q15" s="23"/>
    </row>
    <row r="16" spans="2:17" x14ac:dyDescent="0.3">
      <c r="B16" s="23"/>
      <c r="C16" s="23"/>
      <c r="D16" s="23"/>
      <c r="E16" s="23"/>
      <c r="F16" s="159"/>
      <c r="G16" s="23"/>
      <c r="H16" s="23"/>
      <c r="I16" s="23"/>
      <c r="J16" s="23"/>
      <c r="K16" s="23"/>
      <c r="L16" s="23"/>
      <c r="M16" s="23"/>
      <c r="N16" s="23"/>
      <c r="O16" s="23"/>
      <c r="P16" s="23"/>
      <c r="Q16" s="23"/>
    </row>
    <row r="17" spans="2:17" x14ac:dyDescent="0.3">
      <c r="B17" s="79"/>
      <c r="C17" s="199" t="s">
        <v>2063</v>
      </c>
      <c r="D17" s="199"/>
      <c r="E17" s="199"/>
      <c r="F17" s="199"/>
      <c r="G17" s="199"/>
      <c r="H17" s="200"/>
      <c r="I17" s="23"/>
      <c r="J17" s="23"/>
      <c r="K17" s="23"/>
      <c r="L17" s="23"/>
      <c r="M17" s="23"/>
      <c r="N17" s="23"/>
      <c r="O17" s="23"/>
      <c r="P17" s="23"/>
      <c r="Q17" s="23"/>
    </row>
    <row r="18" spans="2:17" x14ac:dyDescent="0.3">
      <c r="B18" s="186" t="s">
        <v>2053</v>
      </c>
      <c r="C18" s="183" t="s">
        <v>74</v>
      </c>
      <c r="D18" s="183" t="s">
        <v>88</v>
      </c>
      <c r="E18" s="183" t="s">
        <v>141</v>
      </c>
      <c r="F18" s="183" t="s">
        <v>145</v>
      </c>
      <c r="G18" s="183" t="s">
        <v>143</v>
      </c>
      <c r="H18" s="184" t="s">
        <v>169</v>
      </c>
      <c r="I18" s="23"/>
      <c r="J18" s="23"/>
      <c r="K18" s="23"/>
      <c r="L18" s="23"/>
      <c r="M18" s="23"/>
      <c r="N18" s="23"/>
      <c r="O18" s="23"/>
      <c r="P18" s="23"/>
      <c r="Q18" s="23"/>
    </row>
    <row r="19" spans="2:17" s="15" customFormat="1" x14ac:dyDescent="0.3">
      <c r="B19" s="80"/>
      <c r="C19" s="77" t="str">
        <f>'TAP Analysis'!C12</f>
        <v>106-99-0</v>
      </c>
      <c r="D19" s="77" t="str">
        <f>'TAP Analysis'!C22</f>
        <v>71-43-2</v>
      </c>
      <c r="E19" s="77" t="str">
        <f>'TAP Analysis'!C37</f>
        <v>50-00-0</v>
      </c>
      <c r="F19" s="77" t="str">
        <f>'TAP Analysis'!C38</f>
        <v>123-38-6</v>
      </c>
      <c r="G19" s="77" t="str">
        <f>'TAP Analysis'!C47</f>
        <v>75-07-0</v>
      </c>
      <c r="H19" s="78" t="str">
        <f>'TAP Analysis'!C48</f>
        <v>7664-41-7</v>
      </c>
      <c r="I19" s="23"/>
      <c r="J19" s="23"/>
      <c r="K19" s="23"/>
      <c r="L19" s="23"/>
      <c r="M19" s="23"/>
      <c r="N19" s="23"/>
      <c r="O19" s="23"/>
      <c r="P19" s="23"/>
      <c r="Q19" s="23"/>
    </row>
    <row r="20" spans="2:17" x14ac:dyDescent="0.3">
      <c r="B20" s="39" t="str">
        <f>B5</f>
        <v>BF1</v>
      </c>
      <c r="C20" s="187">
        <v>0</v>
      </c>
      <c r="D20" s="188">
        <v>0</v>
      </c>
      <c r="E20" s="188">
        <v>0</v>
      </c>
      <c r="F20" s="188">
        <v>0</v>
      </c>
      <c r="G20" s="188">
        <f>0.0014*(VOC!G26-VOC!G25)*453.592/8760/3600</f>
        <v>8.3063603500761044E-5</v>
      </c>
      <c r="H20" s="189">
        <f>('NH3'!G25-'NH3'!G24)*453.592/8760/3600</f>
        <v>1.0787480974124811E-2</v>
      </c>
      <c r="I20" s="158"/>
      <c r="J20" s="23"/>
      <c r="K20" s="23"/>
      <c r="L20" s="158"/>
      <c r="M20" s="158"/>
      <c r="N20" s="23"/>
      <c r="O20" s="23"/>
      <c r="P20" s="23"/>
      <c r="Q20" s="23"/>
    </row>
    <row r="21" spans="2:17" x14ac:dyDescent="0.3">
      <c r="B21" s="39" t="str">
        <f t="shared" ref="B21:B29" si="0">B6</f>
        <v>BF3</v>
      </c>
      <c r="C21" s="173">
        <f>INDEX('TAP Analysis'!$H:$H,MATCH('Model Parameters'!C$19,'TAP Analysis'!$C:$C,0),1)*2000*453.592/8760/3600/2</f>
        <v>0</v>
      </c>
      <c r="D21" s="174">
        <f>INDEX('TAP Analysis'!$H:$H,MATCH('Model Parameters'!D$19,'TAP Analysis'!$C:$C,0),1)*2000*453.592/8760/3600/2</f>
        <v>0</v>
      </c>
      <c r="E21" s="174">
        <f>INDEX('TAP Analysis'!$H:$H,MATCH('Model Parameters'!E$19,'TAP Analysis'!$C:$C,0),1)*2000*453.592/8760/3600/2</f>
        <v>0</v>
      </c>
      <c r="F21" s="174">
        <f>INDEX('TAP Analysis'!$H:$H,MATCH('Model Parameters'!F$19,'TAP Analysis'!$C:$C,0),1)*2000*453.592/8760/3600/2</f>
        <v>0</v>
      </c>
      <c r="G21" s="174">
        <f>0.0014*(VOC!E26-VOC!E25)*453.592/8760/3600/COUNTA(B21:B22)</f>
        <v>1.898154364726029E-4</v>
      </c>
      <c r="H21" s="175">
        <f>('NH3'!E25-'NH3'!E24)*453.592/8760/3600/COUNTA(B21:B22)</f>
        <v>7.4742140677321142E-2</v>
      </c>
      <c r="I21" s="23"/>
      <c r="J21" s="23"/>
      <c r="K21" s="23"/>
      <c r="L21" s="23"/>
      <c r="M21" s="23"/>
      <c r="N21" s="23"/>
      <c r="O21" s="23"/>
      <c r="P21" s="23"/>
      <c r="Q21" s="23"/>
    </row>
    <row r="22" spans="2:17" x14ac:dyDescent="0.3">
      <c r="B22" s="39" t="str">
        <f t="shared" si="0"/>
        <v>BF4</v>
      </c>
      <c r="C22" s="173">
        <f>INDEX('TAP Analysis'!$H:$H,MATCH('Model Parameters'!C$19,'TAP Analysis'!$C:$C,0),1)*2000*453.592/8760/3600/2</f>
        <v>0</v>
      </c>
      <c r="D22" s="174">
        <f>INDEX('TAP Analysis'!$H:$H,MATCH('Model Parameters'!D$19,'TAP Analysis'!$C:$C,0),1)*2000*453.592/8760/3600/2</f>
        <v>0</v>
      </c>
      <c r="E22" s="174">
        <f>INDEX('TAP Analysis'!$H:$H,MATCH('Model Parameters'!E$19,'TAP Analysis'!$C:$C,0),1)*2000*453.592/8760/3600/2</f>
        <v>0</v>
      </c>
      <c r="F22" s="174">
        <f>INDEX('TAP Analysis'!$H:$H,MATCH('Model Parameters'!F$19,'TAP Analysis'!$C:$C,0),1)*2000*453.592/8760/3600/2</f>
        <v>0</v>
      </c>
      <c r="G22" s="174">
        <f>G21</f>
        <v>1.898154364726029E-4</v>
      </c>
      <c r="H22" s="175">
        <f>H21</f>
        <v>7.4742140677321142E-2</v>
      </c>
      <c r="I22" s="23"/>
      <c r="J22" s="23"/>
      <c r="K22" s="23"/>
      <c r="L22" s="23"/>
      <c r="M22" s="23"/>
      <c r="N22" s="23"/>
      <c r="O22" s="23"/>
      <c r="P22" s="23"/>
      <c r="Q22" s="23"/>
    </row>
    <row r="23" spans="2:17" x14ac:dyDescent="0.3">
      <c r="B23" s="39" t="str">
        <f t="shared" si="0"/>
        <v>ASP_Z9</v>
      </c>
      <c r="C23" s="173">
        <f>INDEX('TAP Analysis'!$I:$I,MATCH('Model Parameters'!C$19,'TAP Analysis'!$C:$C,0),1)*2000*453.592/8760/3600/COUNTA($B$23:$B$27)</f>
        <v>0</v>
      </c>
      <c r="D23" s="174">
        <f>INDEX('TAP Analysis'!$I:$I,MATCH('Model Parameters'!D$19,'TAP Analysis'!$C:$C,0),1)*2000*453.592/8760/3600/COUNTA($B$23:$B$27)</f>
        <v>0</v>
      </c>
      <c r="E23" s="174">
        <f>INDEX('TAP Analysis'!$I:$I,MATCH('Model Parameters'!E$19,'TAP Analysis'!$C:$C,0),1)*2000*453.592/8760/3600/COUNTA($B$23:$B$27)</f>
        <v>0</v>
      </c>
      <c r="F23" s="174">
        <f>INDEX('TAP Analysis'!$I:$I,MATCH('Model Parameters'!F$19,'TAP Analysis'!$C:$C,0),1)*2000*453.592/8760/3600/COUNTA($B$23:$B$27)</f>
        <v>0</v>
      </c>
      <c r="G23" s="174">
        <f>INDEX('TAP Analysis'!$I:$I,MATCH('Model Parameters'!G$19,'TAP Analysis'!$C:$C,0),1)*2000*453.592/8760/3600/COUNTA($B$23:$B$27)</f>
        <v>7.7475688356164383E-6</v>
      </c>
      <c r="H23" s="175">
        <f>INDEX('TAP Analysis'!$I:$I,MATCH('Model Parameters'!H$19,'TAP Analysis'!$C:$C,0),1)*2000*453.592/8760/3600/COUNTA($B$23:$B$27)</f>
        <v>1.4338288211567733E-3</v>
      </c>
      <c r="I23" s="23"/>
      <c r="J23" s="23"/>
      <c r="K23" s="23"/>
      <c r="L23" s="23"/>
      <c r="M23" s="23"/>
      <c r="N23" s="23"/>
      <c r="O23" s="23"/>
      <c r="P23" s="23"/>
      <c r="Q23" s="23"/>
    </row>
    <row r="24" spans="2:17" x14ac:dyDescent="0.3">
      <c r="B24" s="39" t="str">
        <f t="shared" si="0"/>
        <v>ASP_Z10</v>
      </c>
      <c r="C24" s="173">
        <f>INDEX('TAP Analysis'!$I:$I,MATCH('Model Parameters'!C$19,'TAP Analysis'!$C:$C,0),1)*2000*453.592/8760/3600/COUNTA($B$23:$B$27)</f>
        <v>0</v>
      </c>
      <c r="D24" s="174">
        <f>INDEX('TAP Analysis'!$I:$I,MATCH('Model Parameters'!D$19,'TAP Analysis'!$C:$C,0),1)*2000*453.592/8760/3600/COUNTA($B$23:$B$27)</f>
        <v>0</v>
      </c>
      <c r="E24" s="174">
        <f>INDEX('TAP Analysis'!$I:$I,MATCH('Model Parameters'!E$19,'TAP Analysis'!$C:$C,0),1)*2000*453.592/8760/3600/COUNTA($B$23:$B$27)</f>
        <v>0</v>
      </c>
      <c r="F24" s="174">
        <f>INDEX('TAP Analysis'!$I:$I,MATCH('Model Parameters'!F$19,'TAP Analysis'!$C:$C,0),1)*2000*453.592/8760/3600/COUNTA($B$23:$B$27)</f>
        <v>0</v>
      </c>
      <c r="G24" s="174">
        <f>INDEX('TAP Analysis'!$I:$I,MATCH('Model Parameters'!G$19,'TAP Analysis'!$C:$C,0),1)*2000*453.592/8760/3600/COUNTA($B$23:$B$27)</f>
        <v>7.7475688356164383E-6</v>
      </c>
      <c r="H24" s="175">
        <f>INDEX('TAP Analysis'!$I:$I,MATCH('Model Parameters'!H$19,'TAP Analysis'!$C:$C,0),1)*2000*453.592/8760/3600/COUNTA($B$23:$B$27)</f>
        <v>1.4338288211567733E-3</v>
      </c>
      <c r="I24" s="23"/>
      <c r="J24" s="23"/>
      <c r="K24" s="23"/>
      <c r="L24" s="23"/>
      <c r="M24" s="23"/>
      <c r="N24" s="23"/>
      <c r="O24" s="23"/>
      <c r="P24" s="23"/>
      <c r="Q24" s="23"/>
    </row>
    <row r="25" spans="2:17" x14ac:dyDescent="0.3">
      <c r="B25" s="39" t="str">
        <f t="shared" si="0"/>
        <v>ASP_Z11</v>
      </c>
      <c r="C25" s="173">
        <f>INDEX('TAP Analysis'!$I:$I,MATCH('Model Parameters'!C$19,'TAP Analysis'!$C:$C,0),1)*2000*453.592/8760/3600/COUNTA($B$23:$B$27)</f>
        <v>0</v>
      </c>
      <c r="D25" s="174">
        <f>INDEX('TAP Analysis'!$I:$I,MATCH('Model Parameters'!D$19,'TAP Analysis'!$C:$C,0),1)*2000*453.592/8760/3600/COUNTA($B$23:$B$27)</f>
        <v>0</v>
      </c>
      <c r="E25" s="174">
        <f>INDEX('TAP Analysis'!$I:$I,MATCH('Model Parameters'!E$19,'TAP Analysis'!$C:$C,0),1)*2000*453.592/8760/3600/COUNTA($B$23:$B$27)</f>
        <v>0</v>
      </c>
      <c r="F25" s="174">
        <f>INDEX('TAP Analysis'!$I:$I,MATCH('Model Parameters'!F$19,'TAP Analysis'!$C:$C,0),1)*2000*453.592/8760/3600/COUNTA($B$23:$B$27)</f>
        <v>0</v>
      </c>
      <c r="G25" s="174">
        <f>INDEX('TAP Analysis'!$I:$I,MATCH('Model Parameters'!G$19,'TAP Analysis'!$C:$C,0),1)*2000*453.592/8760/3600/COUNTA($B$23:$B$27)</f>
        <v>7.7475688356164383E-6</v>
      </c>
      <c r="H25" s="175">
        <f>INDEX('TAP Analysis'!$I:$I,MATCH('Model Parameters'!H$19,'TAP Analysis'!$C:$C,0),1)*2000*453.592/8760/3600/COUNTA($B$23:$B$27)</f>
        <v>1.4338288211567733E-3</v>
      </c>
      <c r="I25" s="23"/>
      <c r="J25" s="23"/>
      <c r="K25" s="23"/>
      <c r="L25" s="23"/>
      <c r="M25" s="23"/>
      <c r="N25" s="23"/>
      <c r="O25" s="23"/>
      <c r="P25" s="23"/>
      <c r="Q25" s="23"/>
    </row>
    <row r="26" spans="2:17" x14ac:dyDescent="0.3">
      <c r="B26" s="39" t="str">
        <f t="shared" si="0"/>
        <v>ASP_Z12</v>
      </c>
      <c r="C26" s="173">
        <f>INDEX('TAP Analysis'!$I:$I,MATCH('Model Parameters'!C$19,'TAP Analysis'!$C:$C,0),1)*2000*453.592/8760/3600/COUNTA($B$23:$B$27)</f>
        <v>0</v>
      </c>
      <c r="D26" s="174">
        <f>INDEX('TAP Analysis'!$I:$I,MATCH('Model Parameters'!D$19,'TAP Analysis'!$C:$C,0),1)*2000*453.592/8760/3600/COUNTA($B$23:$B$27)</f>
        <v>0</v>
      </c>
      <c r="E26" s="174">
        <f>INDEX('TAP Analysis'!$I:$I,MATCH('Model Parameters'!E$19,'TAP Analysis'!$C:$C,0),1)*2000*453.592/8760/3600/COUNTA($B$23:$B$27)</f>
        <v>0</v>
      </c>
      <c r="F26" s="174">
        <f>INDEX('TAP Analysis'!$I:$I,MATCH('Model Parameters'!F$19,'TAP Analysis'!$C:$C,0),1)*2000*453.592/8760/3600/COUNTA($B$23:$B$27)</f>
        <v>0</v>
      </c>
      <c r="G26" s="174">
        <f>INDEX('TAP Analysis'!$I:$I,MATCH('Model Parameters'!G$19,'TAP Analysis'!$C:$C,0),1)*2000*453.592/8760/3600/COUNTA($B$23:$B$27)</f>
        <v>7.7475688356164383E-6</v>
      </c>
      <c r="H26" s="175">
        <f>INDEX('TAP Analysis'!$I:$I,MATCH('Model Parameters'!H$19,'TAP Analysis'!$C:$C,0),1)*2000*453.592/8760/3600/COUNTA($B$23:$B$27)</f>
        <v>1.4338288211567733E-3</v>
      </c>
      <c r="I26" s="23"/>
      <c r="J26" s="23"/>
      <c r="K26" s="23"/>
      <c r="L26" s="23"/>
      <c r="M26" s="23"/>
      <c r="N26" s="23"/>
      <c r="O26" s="23"/>
      <c r="P26" s="23"/>
      <c r="Q26" s="23"/>
    </row>
    <row r="27" spans="2:17" x14ac:dyDescent="0.3">
      <c r="B27" s="39" t="str">
        <f t="shared" si="0"/>
        <v>ASP_Z13</v>
      </c>
      <c r="C27" s="173">
        <f>INDEX('TAP Analysis'!$I:$I,MATCH('Model Parameters'!C$19,'TAP Analysis'!$C:$C,0),1)*2000*453.592/8760/3600/COUNTA($B$23:$B$27)</f>
        <v>0</v>
      </c>
      <c r="D27" s="174">
        <f>INDEX('TAP Analysis'!$I:$I,MATCH('Model Parameters'!D$19,'TAP Analysis'!$C:$C,0),1)*2000*453.592/8760/3600/COUNTA($B$23:$B$27)</f>
        <v>0</v>
      </c>
      <c r="E27" s="174">
        <f>INDEX('TAP Analysis'!$I:$I,MATCH('Model Parameters'!E$19,'TAP Analysis'!$C:$C,0),1)*2000*453.592/8760/3600/COUNTA($B$23:$B$27)</f>
        <v>0</v>
      </c>
      <c r="F27" s="174">
        <f>INDEX('TAP Analysis'!$I:$I,MATCH('Model Parameters'!F$19,'TAP Analysis'!$C:$C,0),1)*2000*453.592/8760/3600/COUNTA($B$23:$B$27)</f>
        <v>0</v>
      </c>
      <c r="G27" s="174">
        <f>INDEX('TAP Analysis'!$I:$I,MATCH('Model Parameters'!G$19,'TAP Analysis'!$C:$C,0),1)*2000*453.592/8760/3600/COUNTA($B$23:$B$27)</f>
        <v>7.7475688356164383E-6</v>
      </c>
      <c r="H27" s="175">
        <f>INDEX('TAP Analysis'!$I:$I,MATCH('Model Parameters'!H$19,'TAP Analysis'!$C:$C,0),1)*2000*453.592/8760/3600/COUNTA($B$23:$B$27)</f>
        <v>1.4338288211567733E-3</v>
      </c>
      <c r="I27" s="23"/>
      <c r="J27" s="23"/>
      <c r="K27" s="23"/>
      <c r="L27" s="23"/>
      <c r="M27" s="23"/>
      <c r="N27" s="23"/>
      <c r="O27" s="23"/>
      <c r="P27" s="23"/>
      <c r="Q27" s="23"/>
    </row>
    <row r="28" spans="2:17" x14ac:dyDescent="0.3">
      <c r="B28" s="39" t="str">
        <f t="shared" si="0"/>
        <v>TW2</v>
      </c>
      <c r="C28" s="173">
        <f>INDEX('TAP Analysis'!$J:$J,MATCH('Model Parameters'!C$19,'TAP Analysis'!$C:$C,0),1)*2000*453.592/8760/3600</f>
        <v>1.6022201206153849E-4</v>
      </c>
      <c r="D28" s="174">
        <f>INDEX('TAP Analysis'!$J:$J,MATCH('Model Parameters'!D$19,'TAP Analysis'!$C:$C,0),1)*2000*453.592/8760/3600</f>
        <v>1.1081481940828403E-3</v>
      </c>
      <c r="E28" s="174">
        <f>INDEX('TAP Analysis'!$J:$J,MATCH('Model Parameters'!E$19,'TAP Analysis'!$C:$C,0),1)*2000*453.592/8760/3600</f>
        <v>7.4010727855973821E-3</v>
      </c>
      <c r="F28" s="174">
        <f>INDEX('TAP Analysis'!$J:$J,MATCH('Model Parameters'!F$19,'TAP Analysis'!$C:$C,0),1)*2000*453.592/8760/3600</f>
        <v>2.5791617283142394E-2</v>
      </c>
      <c r="G28" s="174">
        <f>INDEX('TAP Analysis'!$J:$J,MATCH('Model Parameters'!G$19,'TAP Analysis'!$C:$C,0),1)*2000*453.592/8760/3600</f>
        <v>8.6084098173515962E-4</v>
      </c>
      <c r="H28" s="175">
        <f>INDEX('TAP Analysis'!$J:$J,MATCH('Model Parameters'!H$19,'TAP Analysis'!$C:$C,0),1)*2000*453.592/8760/3600</f>
        <v>0.32686067351598175</v>
      </c>
      <c r="I28" s="23"/>
      <c r="J28" s="23"/>
      <c r="K28" s="23"/>
      <c r="L28" s="23"/>
      <c r="M28" s="23"/>
      <c r="N28" s="23"/>
      <c r="O28" s="23"/>
      <c r="P28" s="23"/>
      <c r="Q28" s="23"/>
    </row>
    <row r="29" spans="2:17" x14ac:dyDescent="0.3">
      <c r="B29" s="40" t="str">
        <f t="shared" si="0"/>
        <v>FIN</v>
      </c>
      <c r="C29" s="190">
        <f>IFERROR(INDEX('TAP Analysis'!$K:$K,MATCH('Model Parameters'!C$19,'TAP Analysis'!$C:$C,0),1)*2000*453.592/8760/3600,0)</f>
        <v>0</v>
      </c>
      <c r="D29" s="191">
        <f>IFERROR(INDEX('TAP Analysis'!$K:$K,MATCH('Model Parameters'!D$19,'TAP Analysis'!$C:$C,0),1)*2000*453.592/8760/3600,0)</f>
        <v>7.6257185741088204E-6</v>
      </c>
      <c r="E29" s="191">
        <f>IFERROR(INDEX('TAP Analysis'!$K:$K,MATCH('Model Parameters'!E$19,'TAP Analysis'!$C:$C,0),1)*2000*453.592/8760/3600,0)</f>
        <v>0</v>
      </c>
      <c r="F29" s="191">
        <f>IFERROR(INDEX('TAP Analysis'!$K:$K,MATCH('Model Parameters'!F$19,'TAP Analysis'!$C:$C,0),1)*2000*453.592/8760/3600,0)</f>
        <v>0</v>
      </c>
      <c r="G29" s="191">
        <f>IFERROR(INDEX('TAP Analysis'!$K:$K,MATCH('Model Parameters'!G$19,'TAP Analysis'!$C:$C,0),1)*2000*453.592/8760/3600,0)</f>
        <v>0</v>
      </c>
      <c r="H29" s="192">
        <f>IFERROR(INDEX('TAP Analysis'!$K:$K,MATCH('Model Parameters'!H$19,'TAP Analysis'!$C:$C,0),1)*2000*453.592/8760/3600,0)</f>
        <v>0</v>
      </c>
      <c r="I29" s="23"/>
      <c r="J29" s="23"/>
      <c r="K29" s="23"/>
      <c r="L29" s="23"/>
      <c r="M29" s="23"/>
      <c r="N29" s="23"/>
      <c r="O29" s="23"/>
      <c r="P29" s="23"/>
      <c r="Q29" s="23"/>
    </row>
    <row r="30" spans="2:17" x14ac:dyDescent="0.3">
      <c r="B30" s="23"/>
      <c r="C30" s="23"/>
      <c r="D30" s="23"/>
      <c r="E30" s="23"/>
      <c r="F30" s="23"/>
      <c r="G30" s="23"/>
      <c r="H30" s="23"/>
      <c r="I30" s="23"/>
      <c r="J30" s="23"/>
      <c r="K30" s="23"/>
      <c r="L30" s="23"/>
      <c r="M30" s="23"/>
      <c r="N30" s="23"/>
      <c r="O30" s="23"/>
      <c r="P30" s="23"/>
      <c r="Q30" s="23"/>
    </row>
    <row r="31" spans="2:17" x14ac:dyDescent="0.3">
      <c r="B31" s="23"/>
      <c r="C31" s="23"/>
      <c r="D31" s="23"/>
      <c r="E31" s="23"/>
      <c r="F31" s="23"/>
      <c r="G31" s="23"/>
      <c r="H31" s="23"/>
      <c r="I31" s="23"/>
      <c r="J31" s="23"/>
      <c r="K31" s="23"/>
      <c r="L31" s="23"/>
      <c r="M31" s="23"/>
      <c r="N31" s="23"/>
      <c r="O31" s="23"/>
      <c r="P31" s="23"/>
      <c r="Q31" s="23"/>
    </row>
    <row r="32" spans="2:17" x14ac:dyDescent="0.3">
      <c r="B32" s="23"/>
      <c r="C32" s="23"/>
      <c r="D32" s="23"/>
      <c r="E32" s="23"/>
      <c r="F32" s="23"/>
      <c r="G32" s="23"/>
      <c r="H32" s="23"/>
      <c r="I32" s="23"/>
      <c r="J32" s="23"/>
      <c r="K32" s="23"/>
      <c r="L32" s="23"/>
      <c r="M32" s="23"/>
      <c r="N32" s="23"/>
      <c r="O32" s="23"/>
      <c r="P32" s="23"/>
      <c r="Q32" s="23"/>
    </row>
    <row r="33" spans="2:17" x14ac:dyDescent="0.3">
      <c r="B33" s="23"/>
      <c r="C33" s="23"/>
      <c r="D33" s="23"/>
      <c r="E33" s="23"/>
      <c r="F33" s="23"/>
      <c r="G33" s="23"/>
      <c r="H33" s="23"/>
      <c r="I33" s="23"/>
      <c r="J33" s="23"/>
      <c r="K33" s="23"/>
      <c r="L33" s="23"/>
      <c r="M33" s="23"/>
      <c r="N33" s="23"/>
      <c r="O33" s="23"/>
      <c r="P33" s="23"/>
      <c r="Q33" s="23"/>
    </row>
    <row r="34" spans="2:17" x14ac:dyDescent="0.3">
      <c r="B34" s="23"/>
      <c r="C34" s="23"/>
      <c r="D34" s="23"/>
      <c r="E34" s="23"/>
      <c r="F34" s="23"/>
      <c r="G34" s="23"/>
      <c r="H34" s="23"/>
      <c r="I34" s="23"/>
      <c r="J34" s="23"/>
      <c r="K34" s="23"/>
      <c r="L34" s="23"/>
      <c r="M34" s="23"/>
      <c r="N34" s="23"/>
      <c r="O34" s="23"/>
      <c r="P34" s="23"/>
      <c r="Q34" s="23"/>
    </row>
    <row r="35" spans="2:17" x14ac:dyDescent="0.3">
      <c r="B35" s="23"/>
      <c r="C35" s="23"/>
      <c r="D35" s="23"/>
      <c r="E35" s="23"/>
      <c r="F35" s="23"/>
      <c r="G35" s="23"/>
      <c r="H35" s="23"/>
      <c r="I35" s="23"/>
      <c r="J35" s="23"/>
      <c r="K35" s="23"/>
      <c r="L35" s="23"/>
      <c r="M35" s="23"/>
      <c r="N35" s="23"/>
      <c r="O35" s="23"/>
      <c r="P35" s="23"/>
      <c r="Q35" s="23"/>
    </row>
    <row r="36" spans="2:17" x14ac:dyDescent="0.3">
      <c r="B36" s="23"/>
      <c r="C36" s="23"/>
      <c r="D36" s="23"/>
      <c r="E36" s="23"/>
      <c r="F36" s="23"/>
      <c r="G36" s="23"/>
      <c r="H36" s="23"/>
      <c r="I36" s="23"/>
      <c r="J36" s="23"/>
      <c r="K36" s="23"/>
      <c r="L36" s="23"/>
      <c r="M36" s="23"/>
      <c r="N36" s="23"/>
      <c r="O36" s="23"/>
      <c r="P36" s="23"/>
      <c r="Q36" s="23"/>
    </row>
    <row r="37" spans="2:17" x14ac:dyDescent="0.3">
      <c r="B37" s="23"/>
      <c r="C37" s="23"/>
      <c r="D37" s="23"/>
      <c r="E37" s="23"/>
      <c r="F37" s="23"/>
      <c r="G37" s="23"/>
      <c r="H37" s="23"/>
      <c r="I37" s="23"/>
      <c r="J37" s="23"/>
      <c r="K37" s="23"/>
      <c r="L37" s="23"/>
      <c r="M37" s="23"/>
      <c r="N37" s="23"/>
      <c r="O37" s="23"/>
      <c r="P37" s="23"/>
      <c r="Q37" s="23"/>
    </row>
  </sheetData>
  <mergeCells count="1">
    <mergeCell ref="C17:H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Summary</vt:lpstr>
      <vt:lpstr>Detailed Calculations --&gt;</vt:lpstr>
      <vt:lpstr>VOC</vt:lpstr>
      <vt:lpstr>NH3</vt:lpstr>
      <vt:lpstr>TAP Analysis</vt:lpstr>
      <vt:lpstr>Model Results</vt:lpstr>
      <vt:lpstr>Flux Density</vt:lpstr>
      <vt:lpstr>% He</vt:lpstr>
      <vt:lpstr>Model Parameters</vt:lpstr>
      <vt:lpstr>Thermal Buoyancy</vt:lpstr>
      <vt:lpstr>Provided by Lenz --&gt;</vt:lpstr>
      <vt:lpstr>EcologyLenzTests - MAXIMUM</vt:lpstr>
      <vt:lpstr>Reference --&gt;</vt:lpstr>
      <vt:lpstr>HAPList</vt:lpstr>
      <vt:lpstr>TAPList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2021-02-04T17:36:00Z</dcterms:modified>
</cp:coreProperties>
</file>